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24 北京市海淀区高梁桥斜街59号院6号楼一层商业02号房屋及三层房屋\"/>
    </mc:Choice>
  </mc:AlternateContent>
  <xr:revisionPtr revIDLastSave="0" documentId="13_ncr:1_{A5386D03-C9EA-4C82-92D1-9B703EBE7DD9}" xr6:coauthVersionLast="45" xr6:coauthVersionMax="45" xr10:uidLastSave="{00000000-0000-0000-0000-000000000000}"/>
  <bookViews>
    <workbookView xWindow="1035" yWindow="2310" windowWidth="12330" windowHeight="6975" tabRatio="899" firstSheet="1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1层)" sheetId="15" r:id="rId19"/>
    <sheet name="收益法 (3层)" sheetId="83" r:id="rId20"/>
    <sheet name="成本法" sheetId="68" r:id="rId21"/>
    <sheet name="成本法 (3层) 单价" sheetId="78" state="hidden" r:id="rId22"/>
    <sheet name="成本法 (3层)" sheetId="85" r:id="rId23"/>
    <sheet name="比较法-售价" sheetId="84" r:id="rId24"/>
    <sheet name="结果汇总" sheetId="79" r:id="rId25"/>
    <sheet name="比较法-租金2022" sheetId="33" r:id="rId26"/>
    <sheet name="成本法 (1层)" sheetId="69" state="hidden" r:id="rId27"/>
    <sheet name="假设开发法" sheetId="12" state="hidden" r:id="rId28"/>
    <sheet name="比较法-租金2017" sheetId="82" r:id="rId29"/>
    <sheet name="比较法-租金2012" sheetId="81" r:id="rId30"/>
    <sheet name="比较法-租金2007" sheetId="80" r:id="rId31"/>
    <sheet name="收益法 (层)"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3" hidden="1">'比较法-售价'!$A$1:$L$49</definedName>
    <definedName name="_xlnm._FilterDatabase" localSheetId="34" hidden="1">'比较法-住宅'!$A$1:$L$49</definedName>
    <definedName name="_xlnm._FilterDatabase" localSheetId="30" hidden="1">'比较法-租金2007'!$A$1:$L$49</definedName>
    <definedName name="_xlnm._FilterDatabase" localSheetId="29" hidden="1">'比较法-租金2012'!$A$1:$L$49</definedName>
    <definedName name="_xlnm._FilterDatabase" localSheetId="28" hidden="1">'比较法-租金2017'!$A$1:$L$49</definedName>
    <definedName name="_xlnm._FilterDatabase" localSheetId="25" hidden="1">'比较法-租金2022'!$A$1:$L$49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3">'比较法-售价'!$A$1:$K$54,'比较法-售价'!$A$57:$M$131</definedName>
    <definedName name="_xlnm.Print_Area" localSheetId="34">'比较法-住宅'!$A$1:$K$54,'比较法-住宅'!$A$57:$M$131</definedName>
    <definedName name="_xlnm.Print_Area" localSheetId="30">'比较法-租金2007'!$A$1:$K$54,'比较法-租金2007'!$A$57:$M$131</definedName>
    <definedName name="_xlnm.Print_Area" localSheetId="29">'比较法-租金2012'!$A$1:$K$54,'比较法-租金2012'!$A$57:$M$131</definedName>
    <definedName name="_xlnm.Print_Area" localSheetId="28">'比较法-租金2017'!$A$1:$K$54,'比较法-租金2017'!$A$57:$M$131</definedName>
    <definedName name="_xlnm.Print_Area" localSheetId="25">'比较法-租金2022'!$A$1:$K$54,'比较法-租金2022'!$A$57:$M$131</definedName>
    <definedName name="_xlnm.Print_Area" localSheetId="20">成本法!$A$1:$G$57</definedName>
    <definedName name="_xlnm.Print_Area" localSheetId="26">'成本法 (1层)'!$A$1:$G$57</definedName>
    <definedName name="_xlnm.Print_Area" localSheetId="22">'成本法 (3层)'!$A$1:$G$57</definedName>
    <definedName name="_xlnm.Print_Area" localSheetId="21">'成本法 (3层) 单价'!$A$1:$G$57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18">'收益法 (1层)'!$A$1:$F$43,'收益法 (1层)'!$H$3:$M$29,'收益法 (1层)'!$A$46:$F$71,'收益法 (1层)'!$I$46:$N$65</definedName>
    <definedName name="_xlnm.Print_Area" localSheetId="19">'收益法 (3层)'!$A$1:$F$43,'收益法 (3层)'!$H$3:$M$29,'收益法 (3层)'!$A$46:$F$71,'收益法 (3层)'!$I$46:$N$65</definedName>
    <definedName name="_xlnm.Print_Area" localSheetId="31">'收益法 (层)'!$A$1:$F$43,'收益法 (层)'!$H$3:$M$29,'收益法 (层)'!$A$45:$F$71,'收益法 (层)'!$I$46:$N$65</definedName>
    <definedName name="_xlnm.Print_Area" localSheetId="33">'收益法（汇总）'!$A$1:$F$13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23">'比较法-售价'!$B$116:$M$116</definedName>
    <definedName name="商业层高" localSheetId="30">'比较法-租金2007'!$B$116:$M$116</definedName>
    <definedName name="商业层高" localSheetId="29">'比较法-租金2012'!$B$116:$M$116</definedName>
    <definedName name="商业层高" localSheetId="28">'比较法-租金2017'!$B$116:$M$116</definedName>
    <definedName name="商业层高">'比较法-租金2022'!$B$116:$M$116</definedName>
    <definedName name="商业成新度" localSheetId="23">'比较法-售价'!$B$109:$M$109</definedName>
    <definedName name="商业成新度" localSheetId="30">'比较法-租金2007'!$B$109:$M$109</definedName>
    <definedName name="商业成新度" localSheetId="29">'比较法-租金2012'!$B$109:$M$109</definedName>
    <definedName name="商业成新度" localSheetId="28">'比较法-租金2017'!$B$109:$M$109</definedName>
    <definedName name="商业成新度">'比较法-租金2022'!$B$109:$M$109</definedName>
    <definedName name="商业繁华度">定义!$L$1:$L$6</definedName>
    <definedName name="商业公共部分装修" localSheetId="23">'比较法-售价'!$B$107:$M$107</definedName>
    <definedName name="商业公共部分装修" localSheetId="30">'比较法-租金2007'!$B$107:$M$107</definedName>
    <definedName name="商业公共部分装修" localSheetId="29">'比较法-租金2012'!$B$107:$M$107</definedName>
    <definedName name="商业公共部分装修" localSheetId="28">'比较法-租金2017'!$B$107:$M$107</definedName>
    <definedName name="商业公共部分装修">'比较法-租金2022'!$B$107:$M$107</definedName>
    <definedName name="商业基础设施水平" localSheetId="23">'比较法-售价'!$B$112:$M$112</definedName>
    <definedName name="商业基础设施水平" localSheetId="30">'比较法-租金2007'!$B$112:$M$112</definedName>
    <definedName name="商业基础设施水平" localSheetId="29">'比较法-租金2012'!$B$112:$M$112</definedName>
    <definedName name="商业基础设施水平" localSheetId="28">'比较法-租金2017'!$B$112:$M$112</definedName>
    <definedName name="商业基础设施水平">'比较法-租金2022'!$B$112:$M$112</definedName>
    <definedName name="商业建筑结构" localSheetId="23">'比较法-售价'!$B$105:$M$105</definedName>
    <definedName name="商业建筑结构" localSheetId="30">'比较法-租金2007'!$B$105:$M$105</definedName>
    <definedName name="商业建筑结构" localSheetId="29">'比较法-租金2012'!$B$105:$M$105</definedName>
    <definedName name="商业建筑结构" localSheetId="28">'比较法-租金2017'!$B$105:$M$105</definedName>
    <definedName name="商业建筑结构">'比较法-租金2022'!$B$105:$M$105</definedName>
    <definedName name="商业交易情况" localSheetId="23">'比较法-售价'!$A$61:$M$61</definedName>
    <definedName name="商业交易情况" localSheetId="30">'比较法-租金2007'!$A$61:$M$61</definedName>
    <definedName name="商业交易情况" localSheetId="29">'比较法-租金2012'!$A$61:$M$61</definedName>
    <definedName name="商业交易情况" localSheetId="28">'比较法-租金2017'!$A$61:$M$61</definedName>
    <definedName name="商业交易情况">'比较法-租金2022'!$A$61:$M$61</definedName>
    <definedName name="商业街名称">修正!$C$71:$C$138</definedName>
    <definedName name="商业进深比" localSheetId="23">'比较法-售价'!$B$120:$M$120</definedName>
    <definedName name="商业进深比" localSheetId="30">'比较法-租金2007'!$B$120:$M$120</definedName>
    <definedName name="商业进深比" localSheetId="29">'比较法-租金2012'!$B$120:$M$120</definedName>
    <definedName name="商业进深比" localSheetId="28">'比较法-租金2017'!$B$120:$M$120</definedName>
    <definedName name="商业进深比">'比较法-租金2022'!$B$120:$M$120</definedName>
    <definedName name="商业类型" localSheetId="23">'比较法-售价'!$B$100:$M$100</definedName>
    <definedName name="商业类型" localSheetId="30">'比较法-租金2007'!$B$100:$M$100</definedName>
    <definedName name="商业类型" localSheetId="29">'比较法-租金2012'!$B$100:$M$100</definedName>
    <definedName name="商业类型" localSheetId="28">'比较法-租金2017'!$B$100:$M$100</definedName>
    <definedName name="商业类型">'比较法-租金2022'!$B$100:$M$100</definedName>
    <definedName name="商业临街状况" localSheetId="23">'比较法-售价'!$B$86:$M$86</definedName>
    <definedName name="商业临街状况" localSheetId="30">'比较法-租金2007'!$B$86:$M$86</definedName>
    <definedName name="商业临街状况" localSheetId="29">'比较法-租金2012'!$B$86:$M$86</definedName>
    <definedName name="商业临街状况" localSheetId="28">'比较法-租金2017'!$B$86:$M$86</definedName>
    <definedName name="商业临街状况">'比较法-租金2022'!$B$86:$M$86</definedName>
    <definedName name="商业楼层" localSheetId="23">'比较法-售价'!$B$92:$M$92</definedName>
    <definedName name="商业楼层" localSheetId="30">'比较法-租金2007'!$B$92:$M$92</definedName>
    <definedName name="商业楼层" localSheetId="29">'比较法-租金2012'!$B$92:$M$92</definedName>
    <definedName name="商业楼层" localSheetId="28">'比较法-租金2017'!$B$92:$M$92</definedName>
    <definedName name="商业楼层">'比较法-租金2022'!$B$92:$M$92</definedName>
    <definedName name="商业内部装修" localSheetId="23">'比较法-售价'!$B$122:$M$122</definedName>
    <definedName name="商业内部装修" localSheetId="30">'比较法-租金2007'!$B$122:$M$122</definedName>
    <definedName name="商业内部装修" localSheetId="29">'比较法-租金2012'!$B$122:$M$122</definedName>
    <definedName name="商业内部装修" localSheetId="28">'比较法-租金2017'!$B$122:$M$122</definedName>
    <definedName name="商业内部装修">'比较法-租金2022'!$B$122:$M$122</definedName>
    <definedName name="商业人流量" localSheetId="23">'比较法-售价'!$B$90:$M$90</definedName>
    <definedName name="商业人流量" localSheetId="30">'比较法-租金2007'!$B$90:$M$90</definedName>
    <definedName name="商业人流量" localSheetId="29">'比较法-租金2012'!$B$90:$M$90</definedName>
    <definedName name="商业人流量" localSheetId="28">'比较法-租金2017'!$B$90:$M$90</definedName>
    <definedName name="商业人流量">'比较法-租金2022'!$B$90:$M$90</definedName>
    <definedName name="商业业态" localSheetId="23">'比较法-售价'!$B$114:$M$114</definedName>
    <definedName name="商业业态" localSheetId="30">'比较法-租金2007'!$B$114:$M$114</definedName>
    <definedName name="商业业态" localSheetId="29">'比较法-租金2012'!$B$114:$M$114</definedName>
    <definedName name="商业业态" localSheetId="28">'比较法-租金2017'!$B$114:$M$114</definedName>
    <definedName name="商业业态">'比较法-租金2022'!$B$114:$M$114</definedName>
    <definedName name="商业用途" localSheetId="23">'比较法-售价'!$B$63:$M$63</definedName>
    <definedName name="商业用途" localSheetId="30">'比较法-租金2007'!$B$63:$M$63</definedName>
    <definedName name="商业用途" localSheetId="29">'比较法-租金2012'!$B$63:$M$63</definedName>
    <definedName name="商业用途" localSheetId="28">'比较法-租金2017'!$B$63:$M$63</definedName>
    <definedName name="商业用途">'比较法-租金2022'!$B$63:$M$63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8" l="1"/>
  <c r="C6" i="85"/>
  <c r="C7" i="85" s="1"/>
  <c r="F38" i="85"/>
  <c r="E37" i="85"/>
  <c r="F36" i="85"/>
  <c r="F35" i="85"/>
  <c r="F21" i="85"/>
  <c r="F40" i="85" s="1"/>
  <c r="F20" i="85"/>
  <c r="F39" i="85" s="1"/>
  <c r="C19" i="85"/>
  <c r="E10" i="85"/>
  <c r="E9" i="85"/>
  <c r="F7" i="85"/>
  <c r="E2" i="85"/>
  <c r="C21" i="85" l="1"/>
  <c r="C40" i="85"/>
  <c r="F45" i="79" l="1"/>
  <c r="F46" i="79" l="1"/>
  <c r="D45" i="79"/>
  <c r="D42" i="79"/>
  <c r="B41" i="79"/>
  <c r="H50" i="79" l="1"/>
  <c r="H48" i="79"/>
  <c r="F49" i="79"/>
  <c r="D47" i="79"/>
  <c r="B44" i="79"/>
  <c r="B43" i="79"/>
  <c r="G44" i="84" l="1"/>
  <c r="I44" i="84"/>
  <c r="I45" i="84"/>
  <c r="D7" i="79" l="1"/>
  <c r="D126" i="84"/>
  <c r="C126" i="84"/>
  <c r="D5" i="79"/>
  <c r="I36" i="84"/>
  <c r="G36" i="84"/>
  <c r="I6" i="84"/>
  <c r="I5" i="84"/>
  <c r="Q59" i="84" l="1"/>
  <c r="R59" i="84" s="1"/>
  <c r="S59" i="84" s="1"/>
  <c r="T59" i="84" s="1"/>
  <c r="U59" i="84" s="1"/>
  <c r="V59" i="84" s="1"/>
  <c r="W59" i="84" s="1"/>
  <c r="X59" i="84" s="1"/>
  <c r="Y59" i="84" s="1"/>
  <c r="Z59" i="84" s="1"/>
  <c r="P59" i="84"/>
  <c r="B130" i="84"/>
  <c r="B128" i="84"/>
  <c r="J45" i="84" s="1"/>
  <c r="AC45" i="84" s="1"/>
  <c r="B126" i="84"/>
  <c r="E125" i="84"/>
  <c r="F125" i="84" s="1"/>
  <c r="G125" i="84" s="1"/>
  <c r="D125" i="84"/>
  <c r="E123" i="84"/>
  <c r="F123" i="84" s="1"/>
  <c r="G123" i="84" s="1"/>
  <c r="H123" i="84" s="1"/>
  <c r="I123" i="84" s="1"/>
  <c r="J123" i="84" s="1"/>
  <c r="K123" i="84" s="1"/>
  <c r="L123" i="84" s="1"/>
  <c r="M123" i="84" s="1"/>
  <c r="D123" i="84"/>
  <c r="E121" i="84"/>
  <c r="F121" i="84" s="1"/>
  <c r="G121" i="84" s="1"/>
  <c r="H121" i="84" s="1"/>
  <c r="I121" i="84" s="1"/>
  <c r="J121" i="84" s="1"/>
  <c r="K121" i="84" s="1"/>
  <c r="L121" i="84" s="1"/>
  <c r="M121" i="84" s="1"/>
  <c r="D121" i="84"/>
  <c r="D117" i="84"/>
  <c r="E117" i="84" s="1"/>
  <c r="F117" i="84" s="1"/>
  <c r="G117" i="84" s="1"/>
  <c r="D115" i="84"/>
  <c r="E115" i="84" s="1"/>
  <c r="F115" i="84" s="1"/>
  <c r="G115" i="84" s="1"/>
  <c r="H115" i="84" s="1"/>
  <c r="I115" i="84" s="1"/>
  <c r="J115" i="84" s="1"/>
  <c r="K115" i="84" s="1"/>
  <c r="L115" i="84" s="1"/>
  <c r="M115" i="84" s="1"/>
  <c r="E113" i="84"/>
  <c r="F113" i="84" s="1"/>
  <c r="G113" i="84" s="1"/>
  <c r="H113" i="84" s="1"/>
  <c r="I113" i="84" s="1"/>
  <c r="J113" i="84" s="1"/>
  <c r="K113" i="84" s="1"/>
  <c r="L113" i="84" s="1"/>
  <c r="M113" i="84" s="1"/>
  <c r="D113" i="84"/>
  <c r="D111" i="84"/>
  <c r="E111" i="84" s="1"/>
  <c r="F111" i="84" s="1"/>
  <c r="G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B98" i="84"/>
  <c r="B96" i="84"/>
  <c r="J30" i="84" s="1"/>
  <c r="AC30" i="84" s="1"/>
  <c r="B94" i="84"/>
  <c r="B92" i="84"/>
  <c r="J28" i="84" s="1"/>
  <c r="AC28" i="84" s="1"/>
  <c r="D91" i="84"/>
  <c r="E91" i="84" s="1"/>
  <c r="F91" i="84" s="1"/>
  <c r="G91" i="84" s="1"/>
  <c r="H91" i="84" s="1"/>
  <c r="I91" i="84" s="1"/>
  <c r="J91" i="84" s="1"/>
  <c r="K91" i="84" s="1"/>
  <c r="L91" i="84" s="1"/>
  <c r="M91" i="84" s="1"/>
  <c r="B90" i="84"/>
  <c r="B88" i="84"/>
  <c r="J26" i="84" s="1"/>
  <c r="AC26" i="84" s="1"/>
  <c r="D87" i="84"/>
  <c r="E87" i="84" s="1"/>
  <c r="F87" i="84" s="1"/>
  <c r="G87" i="84" s="1"/>
  <c r="H87" i="84" s="1"/>
  <c r="I87" i="84" s="1"/>
  <c r="J87" i="84" s="1"/>
  <c r="K87" i="84" s="1"/>
  <c r="L87" i="84" s="1"/>
  <c r="M87" i="84" s="1"/>
  <c r="D85" i="84"/>
  <c r="E85" i="84" s="1"/>
  <c r="F85" i="84" s="1"/>
  <c r="G85" i="84" s="1"/>
  <c r="E83" i="84"/>
  <c r="F83" i="84" s="1"/>
  <c r="G83" i="84" s="1"/>
  <c r="D83" i="84"/>
  <c r="E81" i="84"/>
  <c r="F81" i="84" s="1"/>
  <c r="G81" i="84" s="1"/>
  <c r="D81" i="84"/>
  <c r="E79" i="84"/>
  <c r="F79" i="84" s="1"/>
  <c r="G79" i="84" s="1"/>
  <c r="D79" i="84"/>
  <c r="D77" i="84"/>
  <c r="E77" i="84" s="1"/>
  <c r="F77" i="84" s="1"/>
  <c r="G77" i="84" s="1"/>
  <c r="B74" i="84"/>
  <c r="B72" i="84"/>
  <c r="J13" i="84" s="1"/>
  <c r="AC13" i="84" s="1"/>
  <c r="B70" i="84"/>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E54" i="84"/>
  <c r="F54" i="84" s="1"/>
  <c r="P49" i="84"/>
  <c r="P48" i="84"/>
  <c r="K48" i="84"/>
  <c r="T47" i="84"/>
  <c r="R47" i="84"/>
  <c r="P47" i="84"/>
  <c r="V47" i="84"/>
  <c r="Q46" i="84"/>
  <c r="Z46" i="84" s="1"/>
  <c r="J46" i="84"/>
  <c r="AC46" i="84" s="1"/>
  <c r="H46" i="84"/>
  <c r="AB46" i="84" s="1"/>
  <c r="F46" i="84"/>
  <c r="AA46" i="84" s="1"/>
  <c r="Q45" i="84"/>
  <c r="Z45" i="84" s="1"/>
  <c r="H45" i="84"/>
  <c r="AB45" i="84" s="1"/>
  <c r="Q44" i="84"/>
  <c r="Z44" i="84" s="1"/>
  <c r="J44" i="84"/>
  <c r="H44" i="84"/>
  <c r="AB44" i="84" s="1"/>
  <c r="F44" i="84"/>
  <c r="AA44" i="84" s="1"/>
  <c r="Q43" i="84"/>
  <c r="Z43" i="84" s="1"/>
  <c r="J43" i="84"/>
  <c r="AC43" i="84" s="1"/>
  <c r="H43" i="84"/>
  <c r="AB43" i="84" s="1"/>
  <c r="F43" i="84"/>
  <c r="AA43" i="84" s="1"/>
  <c r="Q42" i="84"/>
  <c r="Z42" i="84" s="1"/>
  <c r="Q41" i="84"/>
  <c r="Z41" i="84" s="1"/>
  <c r="J41" i="84"/>
  <c r="AC41" i="84" s="1"/>
  <c r="H41" i="84"/>
  <c r="AB41" i="84" s="1"/>
  <c r="F41" i="84"/>
  <c r="AA41" i="84" s="1"/>
  <c r="Q40" i="84"/>
  <c r="Z40" i="84" s="1"/>
  <c r="J40" i="84"/>
  <c r="AC40" i="84" s="1"/>
  <c r="H40" i="84"/>
  <c r="AB40" i="84" s="1"/>
  <c r="F40" i="84"/>
  <c r="AA40" i="84" s="1"/>
  <c r="Q39" i="84"/>
  <c r="Z39" i="84" s="1"/>
  <c r="J39" i="84"/>
  <c r="AC39" i="84" s="1"/>
  <c r="F39" i="84"/>
  <c r="AA39" i="84" s="1"/>
  <c r="Q38" i="84"/>
  <c r="Z38" i="84" s="1"/>
  <c r="J38" i="84"/>
  <c r="AC38" i="84" s="1"/>
  <c r="H38" i="84"/>
  <c r="AB38" i="84" s="1"/>
  <c r="F38" i="84"/>
  <c r="AA38" i="84" s="1"/>
  <c r="Q37" i="84"/>
  <c r="Z37" i="84" s="1"/>
  <c r="J37" i="84"/>
  <c r="AC37" i="84" s="1"/>
  <c r="H37" i="84"/>
  <c r="AB37" i="84" s="1"/>
  <c r="F37" i="84"/>
  <c r="AA37" i="84" s="1"/>
  <c r="Q36" i="84"/>
  <c r="Z36" i="84" s="1"/>
  <c r="Q35" i="84"/>
  <c r="Z35" i="84" s="1"/>
  <c r="J35" i="84"/>
  <c r="AC35" i="84" s="1"/>
  <c r="H35" i="84"/>
  <c r="AB35" i="84" s="1"/>
  <c r="F35" i="84"/>
  <c r="AA35" i="84" s="1"/>
  <c r="Q34" i="84"/>
  <c r="Z34" i="84" s="1"/>
  <c r="J34" i="84"/>
  <c r="AC34" i="84" s="1"/>
  <c r="H34" i="84"/>
  <c r="AB34" i="84" s="1"/>
  <c r="F34" i="84"/>
  <c r="AA34" i="84" s="1"/>
  <c r="Q33" i="84"/>
  <c r="Z33" i="84" s="1"/>
  <c r="C33" i="84"/>
  <c r="J33" i="84" s="1"/>
  <c r="Q32" i="84"/>
  <c r="Z32" i="84" s="1"/>
  <c r="Q31" i="84"/>
  <c r="Z31" i="84" s="1"/>
  <c r="J31" i="84"/>
  <c r="AC31" i="84" s="1"/>
  <c r="H31" i="84"/>
  <c r="AB31" i="84" s="1"/>
  <c r="F31" i="84"/>
  <c r="AA31" i="84" s="1"/>
  <c r="Q30" i="84"/>
  <c r="Z30" i="84" s="1"/>
  <c r="H30" i="84"/>
  <c r="AB30" i="84" s="1"/>
  <c r="Q29" i="84"/>
  <c r="Z29" i="84" s="1"/>
  <c r="J29" i="84"/>
  <c r="AC29" i="84" s="1"/>
  <c r="H29" i="84"/>
  <c r="AB29" i="84" s="1"/>
  <c r="F29" i="84"/>
  <c r="AA29" i="84" s="1"/>
  <c r="Q28" i="84"/>
  <c r="Z28" i="84" s="1"/>
  <c r="H28" i="84"/>
  <c r="AB28" i="84" s="1"/>
  <c r="Q27" i="84"/>
  <c r="Z27" i="84" s="1"/>
  <c r="H27" i="84"/>
  <c r="AB27" i="84" s="1"/>
  <c r="Q26" i="84"/>
  <c r="Z26" i="84" s="1"/>
  <c r="H26" i="84"/>
  <c r="AB26" i="84" s="1"/>
  <c r="Q25" i="84"/>
  <c r="Z25" i="84" s="1"/>
  <c r="H25" i="84"/>
  <c r="AB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H15" i="84"/>
  <c r="AB15" i="84" s="1"/>
  <c r="C15" i="84"/>
  <c r="Q14" i="84"/>
  <c r="Z14" i="84" s="1"/>
  <c r="J14" i="84"/>
  <c r="W14" i="84" s="1"/>
  <c r="H14" i="84"/>
  <c r="AB14" i="84" s="1"/>
  <c r="F14" i="84"/>
  <c r="AA14" i="84" s="1"/>
  <c r="Q13" i="84"/>
  <c r="Z13" i="84" s="1"/>
  <c r="H13" i="84"/>
  <c r="AB13" i="84" s="1"/>
  <c r="Q12" i="84"/>
  <c r="Z12" i="84" s="1"/>
  <c r="J12" i="84"/>
  <c r="AC12" i="84" s="1"/>
  <c r="H12" i="84"/>
  <c r="AB12" i="84" s="1"/>
  <c r="F12" i="84"/>
  <c r="AA12" i="84" s="1"/>
  <c r="Q11" i="84"/>
  <c r="Z11" i="84" s="1"/>
  <c r="I11" i="84"/>
  <c r="J11" i="84" s="1"/>
  <c r="AC11" i="84" s="1"/>
  <c r="G11" i="84"/>
  <c r="H11" i="84" s="1"/>
  <c r="AB11" i="84" s="1"/>
  <c r="E11" i="84"/>
  <c r="F11" i="84" s="1"/>
  <c r="AA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D2" i="84"/>
  <c r="F101" i="84" l="1"/>
  <c r="G101" i="84" s="1"/>
  <c r="H101" i="84" s="1"/>
  <c r="I101" i="84" s="1"/>
  <c r="J101" i="84" s="1"/>
  <c r="K101" i="84" s="1"/>
  <c r="L101" i="84" s="1"/>
  <c r="M101" i="84" s="1"/>
  <c r="H32" i="84"/>
  <c r="AB32" i="84" s="1"/>
  <c r="U8" i="84"/>
  <c r="F13" i="84"/>
  <c r="AA13" i="84" s="1"/>
  <c r="AC14" i="84"/>
  <c r="F15" i="84"/>
  <c r="S15" i="84" s="1"/>
  <c r="J15" i="84"/>
  <c r="AC15" i="84" s="1"/>
  <c r="F25" i="84"/>
  <c r="AA25" i="84" s="1"/>
  <c r="J25" i="84"/>
  <c r="AC25" i="84" s="1"/>
  <c r="F26" i="84"/>
  <c r="AA26" i="84" s="1"/>
  <c r="F27" i="84"/>
  <c r="AA27" i="84" s="1"/>
  <c r="J27" i="84"/>
  <c r="AC27" i="84" s="1"/>
  <c r="F28" i="84"/>
  <c r="AA28" i="84" s="1"/>
  <c r="F30" i="84"/>
  <c r="AA30" i="84" s="1"/>
  <c r="F32" i="84"/>
  <c r="AA32" i="84" s="1"/>
  <c r="J32" i="84"/>
  <c r="AC32" i="84" s="1"/>
  <c r="H39" i="84"/>
  <c r="AB39" i="84" s="1"/>
  <c r="F45" i="84"/>
  <c r="AA45" i="84" s="1"/>
  <c r="H42" i="84"/>
  <c r="AB42" i="84" s="1"/>
  <c r="F42" i="84"/>
  <c r="AA42" i="84" s="1"/>
  <c r="J42" i="84"/>
  <c r="AC42" i="84" s="1"/>
  <c r="H111" i="84"/>
  <c r="I111" i="84" s="1"/>
  <c r="J111" i="84" s="1"/>
  <c r="K111" i="84" s="1"/>
  <c r="L111" i="84" s="1"/>
  <c r="M111" i="84" s="1"/>
  <c r="H36" i="84"/>
  <c r="J36" i="84"/>
  <c r="W36" i="84" s="1"/>
  <c r="F36" i="84"/>
  <c r="AA36" i="84" s="1"/>
  <c r="AA8" i="84"/>
  <c r="AC8" i="84"/>
  <c r="U9" i="84"/>
  <c r="S9" i="84"/>
  <c r="W9" i="84"/>
  <c r="U10" i="84"/>
  <c r="U11" i="84"/>
  <c r="S12" i="84"/>
  <c r="W12" i="84"/>
  <c r="U13" i="84"/>
  <c r="S14" i="84"/>
  <c r="AB36" i="84"/>
  <c r="U36" i="84"/>
  <c r="S10" i="84"/>
  <c r="W10" i="84"/>
  <c r="S11" i="84"/>
  <c r="W11" i="84"/>
  <c r="U12" i="84"/>
  <c r="W13" i="84"/>
  <c r="U14" i="84"/>
  <c r="AA15" i="84"/>
  <c r="AC33" i="84"/>
  <c r="W33" i="84"/>
  <c r="AC36" i="84"/>
  <c r="U15" i="84"/>
  <c r="U17" i="84"/>
  <c r="U19" i="84"/>
  <c r="U21" i="84"/>
  <c r="U23" i="84"/>
  <c r="W25" i="84"/>
  <c r="U26" i="84"/>
  <c r="S27" i="84"/>
  <c r="U28" i="84"/>
  <c r="S29" i="84"/>
  <c r="W29" i="84"/>
  <c r="U30" i="84"/>
  <c r="S31" i="84"/>
  <c r="W31" i="84"/>
  <c r="U32" i="84"/>
  <c r="H33" i="84"/>
  <c r="S34" i="84"/>
  <c r="W34" i="84"/>
  <c r="U35" i="84"/>
  <c r="S37" i="84"/>
  <c r="W37" i="84"/>
  <c r="U38" i="84"/>
  <c r="S39" i="84"/>
  <c r="W39" i="84"/>
  <c r="U40" i="84"/>
  <c r="S41" i="84"/>
  <c r="W41" i="84"/>
  <c r="U42" i="84"/>
  <c r="S43" i="84"/>
  <c r="W43" i="84"/>
  <c r="U44" i="84"/>
  <c r="W15" i="84"/>
  <c r="S17" i="84"/>
  <c r="W17" i="84"/>
  <c r="S19" i="84"/>
  <c r="W19" i="84"/>
  <c r="S21" i="84"/>
  <c r="W21" i="84"/>
  <c r="S23" i="84"/>
  <c r="W23" i="84"/>
  <c r="U25" i="84"/>
  <c r="W26" i="84"/>
  <c r="U27" i="84"/>
  <c r="S28" i="84"/>
  <c r="W28" i="84"/>
  <c r="U29" i="84"/>
  <c r="W30" i="84"/>
  <c r="U31" i="84"/>
  <c r="S32" i="84"/>
  <c r="F33" i="84"/>
  <c r="U34" i="84"/>
  <c r="S35" i="84"/>
  <c r="W35" i="84"/>
  <c r="U37" i="84"/>
  <c r="S38" i="84"/>
  <c r="W38" i="84"/>
  <c r="U39" i="84"/>
  <c r="S40" i="84"/>
  <c r="W40" i="84"/>
  <c r="U41" i="84"/>
  <c r="U43" i="84"/>
  <c r="AC44" i="84"/>
  <c r="W44" i="84"/>
  <c r="S44" i="84"/>
  <c r="U45" i="84"/>
  <c r="S46" i="84"/>
  <c r="W46" i="84"/>
  <c r="G54" i="84"/>
  <c r="H54" i="84" s="1"/>
  <c r="I54" i="84"/>
  <c r="J54" i="84" s="1"/>
  <c r="S45" i="84"/>
  <c r="W45" i="84"/>
  <c r="U46" i="84"/>
  <c r="W32" i="84" l="1"/>
  <c r="S30" i="84"/>
  <c r="S26" i="84"/>
  <c r="W27" i="84"/>
  <c r="S25" i="84"/>
  <c r="S13" i="84"/>
  <c r="S42" i="84"/>
  <c r="W42" i="84"/>
  <c r="S36" i="84"/>
  <c r="AA33" i="84"/>
  <c r="S33" i="84"/>
  <c r="AB33" i="84"/>
  <c r="U33" i="84"/>
  <c r="Q7" i="1"/>
  <c r="Q6" i="1"/>
  <c r="I15" i="79" l="1"/>
  <c r="B26" i="79" l="1"/>
  <c r="B24" i="79"/>
  <c r="C21" i="79" l="1"/>
  <c r="C22" i="79"/>
  <c r="B23" i="79"/>
  <c r="B22" i="79"/>
  <c r="E23" i="79"/>
  <c r="E22" i="79"/>
  <c r="E21" i="79"/>
  <c r="D23" i="79"/>
  <c r="D22" i="79"/>
  <c r="D21" i="79"/>
  <c r="C23" i="79"/>
  <c r="E37" i="79"/>
  <c r="E36" i="79"/>
  <c r="E29" i="79"/>
  <c r="E30" i="79"/>
  <c r="E31" i="79"/>
  <c r="E32" i="79"/>
  <c r="E33" i="79"/>
  <c r="E34" i="79"/>
  <c r="E35" i="79"/>
  <c r="E28" i="79"/>
  <c r="E27" i="79"/>
  <c r="E25" i="79"/>
  <c r="E26" i="79"/>
  <c r="E24" i="79"/>
  <c r="E20" i="79"/>
  <c r="E19" i="79"/>
  <c r="D37" i="79"/>
  <c r="D36" i="79"/>
  <c r="D29" i="79"/>
  <c r="D30" i="79"/>
  <c r="D31" i="79"/>
  <c r="D32" i="79"/>
  <c r="D33" i="79"/>
  <c r="D34" i="79"/>
  <c r="D35" i="79"/>
  <c r="D28" i="79"/>
  <c r="D27" i="79"/>
  <c r="D26" i="79"/>
  <c r="D25" i="79"/>
  <c r="D24" i="79"/>
  <c r="D20" i="79"/>
  <c r="D19" i="79"/>
  <c r="C37" i="79"/>
  <c r="C36" i="79"/>
  <c r="C30" i="79"/>
  <c r="C31" i="79"/>
  <c r="C32" i="79"/>
  <c r="C33" i="79"/>
  <c r="C34" i="79"/>
  <c r="C35" i="79"/>
  <c r="C29" i="79"/>
  <c r="C28" i="79"/>
  <c r="C27" i="79"/>
  <c r="C26" i="79"/>
  <c r="C25" i="79"/>
  <c r="C24" i="79"/>
  <c r="C20" i="79"/>
  <c r="C19" i="79"/>
  <c r="B37" i="79"/>
  <c r="B36" i="79"/>
  <c r="B30" i="79"/>
  <c r="B31" i="79"/>
  <c r="B32" i="79"/>
  <c r="B33" i="79"/>
  <c r="B34" i="79"/>
  <c r="B35" i="79"/>
  <c r="B29" i="79"/>
  <c r="B28" i="79"/>
  <c r="B27" i="79"/>
  <c r="B25" i="79"/>
  <c r="B21" i="79"/>
  <c r="B20" i="79"/>
  <c r="B19" i="79"/>
  <c r="A37" i="79"/>
  <c r="A36" i="79"/>
  <c r="A35" i="79"/>
  <c r="A34" i="79"/>
  <c r="A33" i="79"/>
  <c r="A32" i="79"/>
  <c r="A31" i="79"/>
  <c r="A30" i="79"/>
  <c r="A29" i="79"/>
  <c r="A28" i="79"/>
  <c r="A27" i="79"/>
  <c r="A26" i="79"/>
  <c r="A25" i="79"/>
  <c r="A24" i="79"/>
  <c r="A23" i="79"/>
  <c r="A22" i="79"/>
  <c r="A21" i="79"/>
  <c r="A20" i="79"/>
  <c r="A19" i="79"/>
  <c r="D126" i="80" l="1"/>
  <c r="C126" i="80"/>
  <c r="I44" i="80"/>
  <c r="G44" i="80"/>
  <c r="AM7" i="1"/>
  <c r="AL7" i="1"/>
  <c r="AK7" i="1"/>
  <c r="W7" i="1"/>
  <c r="V7" i="1"/>
  <c r="Q72" i="83"/>
  <c r="Q59" i="83"/>
  <c r="K59" i="83"/>
  <c r="P74" i="83" s="1"/>
  <c r="F59" i="83"/>
  <c r="Q58" i="83"/>
  <c r="Q51" i="83"/>
  <c r="J50" i="83"/>
  <c r="M47" i="83"/>
  <c r="D46" i="83"/>
  <c r="F33" i="83"/>
  <c r="F61" i="83" s="1"/>
  <c r="F31" i="83"/>
  <c r="F23" i="83"/>
  <c r="D24" i="83" s="1"/>
  <c r="F21" i="83"/>
  <c r="F20" i="83"/>
  <c r="M19" i="83"/>
  <c r="F18" i="83"/>
  <c r="M17" i="83"/>
  <c r="F17" i="83"/>
  <c r="F15" i="83"/>
  <c r="P61" i="83" l="1"/>
  <c r="D22" i="83"/>
  <c r="D23" i="83"/>
  <c r="B130" i="82"/>
  <c r="H46" i="82" s="1"/>
  <c r="AB46" i="82" s="1"/>
  <c r="B128" i="82"/>
  <c r="B126" i="82"/>
  <c r="H44" i="82" s="1"/>
  <c r="U44" i="82" s="1"/>
  <c r="D125" i="82"/>
  <c r="E125" i="82" s="1"/>
  <c r="F125" i="82" s="1"/>
  <c r="G125" i="82" s="1"/>
  <c r="E123" i="82"/>
  <c r="F123" i="82" s="1"/>
  <c r="G123" i="82" s="1"/>
  <c r="H123" i="82" s="1"/>
  <c r="I123" i="82" s="1"/>
  <c r="J123" i="82" s="1"/>
  <c r="K123" i="82" s="1"/>
  <c r="L123" i="82" s="1"/>
  <c r="M123" i="82" s="1"/>
  <c r="D123" i="82"/>
  <c r="E121" i="82"/>
  <c r="F121" i="82" s="1"/>
  <c r="G121" i="82" s="1"/>
  <c r="H121" i="82" s="1"/>
  <c r="I121" i="82" s="1"/>
  <c r="J121" i="82" s="1"/>
  <c r="K121" i="82" s="1"/>
  <c r="L121" i="82" s="1"/>
  <c r="M121" i="82" s="1"/>
  <c r="D121"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H32" i="82" s="1"/>
  <c r="AB32" i="82" s="1"/>
  <c r="B98" i="82"/>
  <c r="H31" i="82" s="1"/>
  <c r="B96" i="82"/>
  <c r="B94" i="82"/>
  <c r="H29" i="82" s="1"/>
  <c r="B92" i="82"/>
  <c r="D91" i="82"/>
  <c r="E91" i="82" s="1"/>
  <c r="F91" i="82" s="1"/>
  <c r="G91" i="82" s="1"/>
  <c r="H91" i="82" s="1"/>
  <c r="I91" i="82" s="1"/>
  <c r="J91" i="82" s="1"/>
  <c r="K91" i="82" s="1"/>
  <c r="L91" i="82" s="1"/>
  <c r="M91" i="82" s="1"/>
  <c r="B90" i="82"/>
  <c r="B88" i="82"/>
  <c r="H26" i="82" s="1"/>
  <c r="AB26" i="82" s="1"/>
  <c r="D87" i="82"/>
  <c r="E87" i="82" s="1"/>
  <c r="D85" i="82"/>
  <c r="E85" i="82" s="1"/>
  <c r="F85" i="82" s="1"/>
  <c r="G85" i="82" s="1"/>
  <c r="D83" i="82"/>
  <c r="E83" i="82" s="1"/>
  <c r="F83" i="82" s="1"/>
  <c r="G83" i="82" s="1"/>
  <c r="D81" i="82"/>
  <c r="E81" i="82" s="1"/>
  <c r="F81" i="82" s="1"/>
  <c r="G81" i="82" s="1"/>
  <c r="E79" i="82"/>
  <c r="F79" i="82" s="1"/>
  <c r="G79" i="82" s="1"/>
  <c r="D79" i="82"/>
  <c r="D77" i="82"/>
  <c r="E77" i="82" s="1"/>
  <c r="B74" i="82"/>
  <c r="B72" i="82"/>
  <c r="J13" i="82" s="1"/>
  <c r="AC13" i="82" s="1"/>
  <c r="B70" i="82"/>
  <c r="D69" i="82"/>
  <c r="E69" i="82" s="1"/>
  <c r="F69" i="82" s="1"/>
  <c r="G69" i="82" s="1"/>
  <c r="H69" i="82" s="1"/>
  <c r="I69" i="82" s="1"/>
  <c r="J69" i="82" s="1"/>
  <c r="K69" i="82" s="1"/>
  <c r="L69" i="82" s="1"/>
  <c r="M69" i="82" s="1"/>
  <c r="M67" i="82"/>
  <c r="L67" i="82"/>
  <c r="K67" i="82"/>
  <c r="J67" i="82"/>
  <c r="I67" i="82"/>
  <c r="H67" i="82"/>
  <c r="G67" i="82"/>
  <c r="F67" i="82"/>
  <c r="E67" i="82"/>
  <c r="D67" i="82"/>
  <c r="C67" i="82"/>
  <c r="I66" i="82"/>
  <c r="G66" i="82"/>
  <c r="H66" i="82" s="1"/>
  <c r="C63" i="82"/>
  <c r="H9" i="82" s="1"/>
  <c r="AB9" i="82" s="1"/>
  <c r="C58" i="82"/>
  <c r="D58" i="82" s="1"/>
  <c r="E58" i="82" s="1"/>
  <c r="F58" i="82" s="1"/>
  <c r="G58" i="82" s="1"/>
  <c r="H58" i="82" s="1"/>
  <c r="I58" i="82" s="1"/>
  <c r="J58" i="82" s="1"/>
  <c r="K58" i="82" s="1"/>
  <c r="L58" i="82" s="1"/>
  <c r="M58" i="82" s="1"/>
  <c r="N58" i="82" s="1"/>
  <c r="O58" i="82" s="1"/>
  <c r="I54" i="82"/>
  <c r="J54" i="82" s="1"/>
  <c r="E54" i="82"/>
  <c r="F54" i="82" s="1"/>
  <c r="P49" i="82"/>
  <c r="P48" i="82"/>
  <c r="K48" i="82"/>
  <c r="T47" i="82"/>
  <c r="R47" i="82"/>
  <c r="P47" i="82"/>
  <c r="V47" i="82"/>
  <c r="Q46" i="82"/>
  <c r="Z46" i="82" s="1"/>
  <c r="J46" i="82"/>
  <c r="AC46" i="82" s="1"/>
  <c r="F46" i="82"/>
  <c r="AA46" i="82" s="1"/>
  <c r="Q45" i="82"/>
  <c r="Z45" i="82" s="1"/>
  <c r="H45" i="82"/>
  <c r="U45" i="82" s="1"/>
  <c r="Q44" i="82"/>
  <c r="Z44" i="82" s="1"/>
  <c r="J44" i="82"/>
  <c r="AC44" i="82" s="1"/>
  <c r="F44" i="82"/>
  <c r="AA44" i="82" s="1"/>
  <c r="Q43" i="82"/>
  <c r="Z43" i="82" s="1"/>
  <c r="J43" i="82"/>
  <c r="AC43" i="82" s="1"/>
  <c r="H43" i="82"/>
  <c r="AB43" i="82" s="1"/>
  <c r="F43" i="82"/>
  <c r="AA43" i="82" s="1"/>
  <c r="Q42" i="82"/>
  <c r="Z42" i="82" s="1"/>
  <c r="J42" i="82"/>
  <c r="AC42" i="82" s="1"/>
  <c r="F42" i="82"/>
  <c r="AA42" i="82" s="1"/>
  <c r="Q41" i="82"/>
  <c r="Z41" i="82" s="1"/>
  <c r="J41" i="82"/>
  <c r="AC41" i="82" s="1"/>
  <c r="H41" i="82"/>
  <c r="AB41" i="82" s="1"/>
  <c r="F41" i="82"/>
  <c r="AA41" i="82" s="1"/>
  <c r="Q40" i="82"/>
  <c r="Z40" i="82" s="1"/>
  <c r="J40" i="82"/>
  <c r="AC40" i="82" s="1"/>
  <c r="H40" i="82"/>
  <c r="U40" i="82" s="1"/>
  <c r="F40" i="82"/>
  <c r="AA40" i="82" s="1"/>
  <c r="Q39" i="82"/>
  <c r="Z39" i="82" s="1"/>
  <c r="J39" i="82"/>
  <c r="AC39" i="82" s="1"/>
  <c r="F39" i="82"/>
  <c r="AA39" i="82" s="1"/>
  <c r="Q38" i="82"/>
  <c r="Z38" i="82" s="1"/>
  <c r="J38" i="82"/>
  <c r="AC38" i="82" s="1"/>
  <c r="F38" i="82"/>
  <c r="AA38" i="82" s="1"/>
  <c r="Q37" i="82"/>
  <c r="Z37" i="82" s="1"/>
  <c r="J37" i="82"/>
  <c r="AC37" i="82" s="1"/>
  <c r="H37" i="82"/>
  <c r="AB37" i="82" s="1"/>
  <c r="F37" i="82"/>
  <c r="AA37" i="82" s="1"/>
  <c r="Q36" i="82"/>
  <c r="Z36" i="82" s="1"/>
  <c r="I36" i="82"/>
  <c r="G36" i="82"/>
  <c r="E36" i="82"/>
  <c r="Q35" i="82"/>
  <c r="Z35" i="82" s="1"/>
  <c r="J35" i="82"/>
  <c r="AC35" i="82" s="1"/>
  <c r="H35" i="82"/>
  <c r="AB35" i="82" s="1"/>
  <c r="F35" i="82"/>
  <c r="AA35" i="82" s="1"/>
  <c r="Q34" i="82"/>
  <c r="Z34" i="82" s="1"/>
  <c r="J34" i="82"/>
  <c r="W34" i="82" s="1"/>
  <c r="H34" i="82"/>
  <c r="AB34" i="82" s="1"/>
  <c r="F34" i="82"/>
  <c r="AA34" i="82" s="1"/>
  <c r="Q33" i="82"/>
  <c r="Z33" i="82" s="1"/>
  <c r="C33" i="82"/>
  <c r="H33" i="82" s="1"/>
  <c r="AB33" i="82" s="1"/>
  <c r="Q32" i="82"/>
  <c r="Z32" i="82" s="1"/>
  <c r="Q31" i="82"/>
  <c r="Z31" i="82" s="1"/>
  <c r="J31" i="82"/>
  <c r="AC31" i="82" s="1"/>
  <c r="Q30" i="82"/>
  <c r="Z30" i="82" s="1"/>
  <c r="J30" i="82"/>
  <c r="AC30" i="82" s="1"/>
  <c r="H30" i="82"/>
  <c r="AB30" i="82" s="1"/>
  <c r="F30" i="82"/>
  <c r="AA30" i="82" s="1"/>
  <c r="Q29" i="82"/>
  <c r="Z29" i="82" s="1"/>
  <c r="J29" i="82"/>
  <c r="AC29" i="82" s="1"/>
  <c r="Q28" i="82"/>
  <c r="Z28" i="82" s="1"/>
  <c r="J28" i="82"/>
  <c r="AC28" i="82" s="1"/>
  <c r="H28" i="82"/>
  <c r="AB28" i="82" s="1"/>
  <c r="F28" i="82"/>
  <c r="AA28" i="82" s="1"/>
  <c r="Q27" i="82"/>
  <c r="Z27" i="82" s="1"/>
  <c r="J27" i="82"/>
  <c r="AC27" i="82" s="1"/>
  <c r="Q26" i="82"/>
  <c r="Z26" i="82" s="1"/>
  <c r="J26" i="82"/>
  <c r="AC26" i="82" s="1"/>
  <c r="F26" i="82"/>
  <c r="AA26" i="82" s="1"/>
  <c r="Q25" i="82"/>
  <c r="Z25" i="82" s="1"/>
  <c r="J25" i="82"/>
  <c r="AC25" i="82" s="1"/>
  <c r="Q23" i="82"/>
  <c r="Z23" i="82" s="1"/>
  <c r="J23" i="82"/>
  <c r="AC23" i="82" s="1"/>
  <c r="F23" i="82"/>
  <c r="AA23" i="82" s="1"/>
  <c r="C23" i="82"/>
  <c r="Q21" i="82"/>
  <c r="Z21" i="82" s="1"/>
  <c r="J21" i="82"/>
  <c r="AC21" i="82" s="1"/>
  <c r="H21" i="82"/>
  <c r="U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U14" i="82" s="1"/>
  <c r="F14" i="82"/>
  <c r="AA14" i="82" s="1"/>
  <c r="Q13" i="82"/>
  <c r="Z13" i="82" s="1"/>
  <c r="H13" i="82"/>
  <c r="AB13" i="82" s="1"/>
  <c r="Q12" i="82"/>
  <c r="Z12" i="82" s="1"/>
  <c r="J12" i="82"/>
  <c r="AC12" i="82" s="1"/>
  <c r="H12" i="82"/>
  <c r="AB12" i="82" s="1"/>
  <c r="F12" i="82"/>
  <c r="AA12" i="82" s="1"/>
  <c r="Q11" i="82"/>
  <c r="Z11" i="82" s="1"/>
  <c r="J11" i="82"/>
  <c r="AC11" i="82" s="1"/>
  <c r="I11" i="82"/>
  <c r="G11" i="82"/>
  <c r="H11" i="82" s="1"/>
  <c r="E11" i="82"/>
  <c r="F11" i="82" s="1"/>
  <c r="AA11" i="82" s="1"/>
  <c r="Q10" i="82"/>
  <c r="Z10" i="82" s="1"/>
  <c r="J10" i="82"/>
  <c r="AC10" i="82" s="1"/>
  <c r="H10" i="82"/>
  <c r="AB10" i="82" s="1"/>
  <c r="F10" i="82"/>
  <c r="AA10" i="82" s="1"/>
  <c r="Q9" i="82"/>
  <c r="Z9" i="82" s="1"/>
  <c r="J9" i="82"/>
  <c r="AC9" i="82" s="1"/>
  <c r="F9" i="82"/>
  <c r="AA9" i="82" s="1"/>
  <c r="J8" i="82"/>
  <c r="W8" i="82" s="1"/>
  <c r="H8" i="82"/>
  <c r="AB8" i="82" s="1"/>
  <c r="F8" i="82"/>
  <c r="S8" i="82" s="1"/>
  <c r="E7" i="82"/>
  <c r="G7" i="82" s="1"/>
  <c r="B130" i="81"/>
  <c r="H46" i="81" s="1"/>
  <c r="B128" i="81"/>
  <c r="B126" i="81"/>
  <c r="H44" i="81" s="1"/>
  <c r="D125" i="81"/>
  <c r="E125" i="81" s="1"/>
  <c r="F125" i="81" s="1"/>
  <c r="G125" i="81" s="1"/>
  <c r="F123" i="81"/>
  <c r="G123" i="81" s="1"/>
  <c r="H123" i="81" s="1"/>
  <c r="I123" i="81" s="1"/>
  <c r="J123" i="81" s="1"/>
  <c r="K123" i="81" s="1"/>
  <c r="L123" i="81" s="1"/>
  <c r="M123" i="81" s="1"/>
  <c r="D123" i="81"/>
  <c r="E123" i="81" s="1"/>
  <c r="D121" i="81"/>
  <c r="E121" i="81" s="1"/>
  <c r="F121" i="81" s="1"/>
  <c r="G121" i="81" s="1"/>
  <c r="H121" i="81" s="1"/>
  <c r="I121" i="81" s="1"/>
  <c r="J121" i="81" s="1"/>
  <c r="K121" i="81" s="1"/>
  <c r="L121" i="81" s="1"/>
  <c r="M121" i="81" s="1"/>
  <c r="D117" i="81"/>
  <c r="H39" i="81" s="1"/>
  <c r="AB39"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F111" i="81"/>
  <c r="G111" i="81" s="1"/>
  <c r="H111" i="81" s="1"/>
  <c r="I111" i="81" s="1"/>
  <c r="J111" i="81" s="1"/>
  <c r="K111" i="81" s="1"/>
  <c r="L111" i="81" s="1"/>
  <c r="M111" i="81" s="1"/>
  <c r="D111" i="81"/>
  <c r="E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J32" i="81" s="1"/>
  <c r="B98" i="81"/>
  <c r="J31" i="81" s="1"/>
  <c r="AC31" i="81" s="1"/>
  <c r="B96" i="81"/>
  <c r="H30" i="81" s="1"/>
  <c r="B94" i="81"/>
  <c r="F29" i="81" s="1"/>
  <c r="AA29" i="81" s="1"/>
  <c r="B92" i="81"/>
  <c r="H28" i="81" s="1"/>
  <c r="D91" i="81"/>
  <c r="E91" i="81" s="1"/>
  <c r="F91" i="81" s="1"/>
  <c r="G91" i="81" s="1"/>
  <c r="H91" i="81" s="1"/>
  <c r="I91" i="81" s="1"/>
  <c r="J91" i="81" s="1"/>
  <c r="K91" i="81" s="1"/>
  <c r="L91" i="81" s="1"/>
  <c r="M91" i="81" s="1"/>
  <c r="B90" i="81"/>
  <c r="B88" i="81"/>
  <c r="D87" i="81"/>
  <c r="D85" i="81"/>
  <c r="E85" i="81" s="1"/>
  <c r="F85" i="81" s="1"/>
  <c r="G85" i="81" s="1"/>
  <c r="D83" i="81"/>
  <c r="E83" i="81" s="1"/>
  <c r="F83" i="81" s="1"/>
  <c r="G83" i="81" s="1"/>
  <c r="D81" i="81"/>
  <c r="E81" i="81" s="1"/>
  <c r="F81" i="81" s="1"/>
  <c r="G81" i="81" s="1"/>
  <c r="D79" i="81"/>
  <c r="F17" i="81" s="1"/>
  <c r="AA17" i="81" s="1"/>
  <c r="D77" i="81"/>
  <c r="B74" i="81"/>
  <c r="H14" i="81" s="1"/>
  <c r="AB14" i="81" s="1"/>
  <c r="B72" i="81"/>
  <c r="H13" i="81" s="1"/>
  <c r="AB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J9" i="81" s="1"/>
  <c r="AC9" i="81" s="1"/>
  <c r="C58" i="81"/>
  <c r="D58" i="81" s="1"/>
  <c r="E58" i="81" s="1"/>
  <c r="F58" i="81" s="1"/>
  <c r="G58" i="81" s="1"/>
  <c r="H58" i="81" s="1"/>
  <c r="I58" i="81" s="1"/>
  <c r="J58" i="81" s="1"/>
  <c r="K58" i="81" s="1"/>
  <c r="L58" i="81" s="1"/>
  <c r="M58" i="81" s="1"/>
  <c r="N58" i="81" s="1"/>
  <c r="O58" i="81" s="1"/>
  <c r="E54" i="81"/>
  <c r="F54" i="81" s="1"/>
  <c r="P49" i="81"/>
  <c r="P48" i="81"/>
  <c r="K48" i="81"/>
  <c r="T47" i="81"/>
  <c r="R47" i="81"/>
  <c r="P47" i="81"/>
  <c r="Q46" i="81"/>
  <c r="Z46" i="81" s="1"/>
  <c r="J46" i="81"/>
  <c r="AC46" i="81" s="1"/>
  <c r="Q45" i="81"/>
  <c r="Z45" i="81" s="1"/>
  <c r="Q44" i="81"/>
  <c r="Z44" i="81" s="1"/>
  <c r="U43" i="81"/>
  <c r="Q43" i="81"/>
  <c r="Z43" i="81" s="1"/>
  <c r="J43" i="81"/>
  <c r="AC43" i="81" s="1"/>
  <c r="H43" i="81"/>
  <c r="AB43" i="81" s="1"/>
  <c r="F43" i="81"/>
  <c r="AA43" i="81" s="1"/>
  <c r="Q42" i="81"/>
  <c r="Z42" i="81" s="1"/>
  <c r="J42" i="81"/>
  <c r="AC42" i="81" s="1"/>
  <c r="F42" i="81"/>
  <c r="AA42" i="81" s="1"/>
  <c r="Q41" i="81"/>
  <c r="Z41" i="81" s="1"/>
  <c r="J41" i="81"/>
  <c r="AC41" i="81" s="1"/>
  <c r="H41" i="81"/>
  <c r="AB41" i="81" s="1"/>
  <c r="F41" i="81"/>
  <c r="AA41" i="81" s="1"/>
  <c r="Q40" i="81"/>
  <c r="Z40" i="81" s="1"/>
  <c r="J40" i="81"/>
  <c r="W40" i="81" s="1"/>
  <c r="H40" i="81"/>
  <c r="AB40" i="81" s="1"/>
  <c r="F40" i="81"/>
  <c r="AA40" i="81" s="1"/>
  <c r="Q39" i="81"/>
  <c r="Z39" i="81" s="1"/>
  <c r="Q38" i="81"/>
  <c r="Z38" i="81" s="1"/>
  <c r="Q37" i="81"/>
  <c r="Z37" i="81" s="1"/>
  <c r="J37" i="81"/>
  <c r="AC37" i="81" s="1"/>
  <c r="H37" i="81"/>
  <c r="AB37" i="81" s="1"/>
  <c r="F37" i="81"/>
  <c r="AA37" i="81" s="1"/>
  <c r="Q36" i="81"/>
  <c r="Z36" i="81" s="1"/>
  <c r="I36" i="81"/>
  <c r="J36" i="81" s="1"/>
  <c r="W36" i="81" s="1"/>
  <c r="G36" i="81"/>
  <c r="H36" i="81" s="1"/>
  <c r="E36" i="81"/>
  <c r="F36" i="81" s="1"/>
  <c r="AA36" i="81" s="1"/>
  <c r="Q35" i="81"/>
  <c r="Z35" i="81" s="1"/>
  <c r="J35" i="81"/>
  <c r="AC35" i="81" s="1"/>
  <c r="H35" i="81"/>
  <c r="AB35" i="81" s="1"/>
  <c r="F35" i="81"/>
  <c r="AA35" i="81" s="1"/>
  <c r="Q34" i="81"/>
  <c r="Z34" i="81" s="1"/>
  <c r="J34" i="81"/>
  <c r="AC34" i="81" s="1"/>
  <c r="H34" i="81"/>
  <c r="AB34" i="81" s="1"/>
  <c r="F34" i="81"/>
  <c r="AA34" i="81" s="1"/>
  <c r="Q33" i="81"/>
  <c r="Z33" i="81" s="1"/>
  <c r="C33" i="81"/>
  <c r="H33" i="81" s="1"/>
  <c r="Q32" i="81"/>
  <c r="Z32" i="81" s="1"/>
  <c r="Q31" i="81"/>
  <c r="Z31" i="81" s="1"/>
  <c r="H31" i="81"/>
  <c r="AB31" i="81" s="1"/>
  <c r="Q30" i="81"/>
  <c r="Z30" i="81" s="1"/>
  <c r="F30" i="81"/>
  <c r="AA30" i="81" s="1"/>
  <c r="Q29" i="81"/>
  <c r="Z29" i="81" s="1"/>
  <c r="H29" i="81"/>
  <c r="AB29" i="81" s="1"/>
  <c r="Q28" i="81"/>
  <c r="Z28" i="81" s="1"/>
  <c r="Q27" i="81"/>
  <c r="Z27" i="81" s="1"/>
  <c r="F27" i="81"/>
  <c r="AA27" i="81" s="1"/>
  <c r="Q26" i="81"/>
  <c r="Z26" i="81" s="1"/>
  <c r="Q25" i="81"/>
  <c r="Z25" i="81" s="1"/>
  <c r="Q23" i="81"/>
  <c r="Z23" i="81" s="1"/>
  <c r="J23" i="81"/>
  <c r="AC23" i="81" s="1"/>
  <c r="F23" i="81"/>
  <c r="AA23" i="81" s="1"/>
  <c r="C23" i="81"/>
  <c r="Q21" i="81"/>
  <c r="Z21" i="81" s="1"/>
  <c r="J21" i="81"/>
  <c r="H21" i="81"/>
  <c r="AB21" i="81" s="1"/>
  <c r="F21" i="81"/>
  <c r="AA21" i="81" s="1"/>
  <c r="C21" i="81"/>
  <c r="Q19" i="81"/>
  <c r="Z19" i="81" s="1"/>
  <c r="J19" i="81"/>
  <c r="AC19" i="81" s="1"/>
  <c r="H19" i="81"/>
  <c r="AB19" i="81" s="1"/>
  <c r="F19" i="81"/>
  <c r="AA19" i="81" s="1"/>
  <c r="C19" i="81"/>
  <c r="Q17" i="81"/>
  <c r="Z17" i="81" s="1"/>
  <c r="C17" i="81"/>
  <c r="Q15" i="81"/>
  <c r="Z15" i="81" s="1"/>
  <c r="C15" i="81"/>
  <c r="Q14" i="81"/>
  <c r="Z14" i="81" s="1"/>
  <c r="J14" i="81"/>
  <c r="AC14" i="81" s="1"/>
  <c r="F14" i="81"/>
  <c r="AA14" i="81" s="1"/>
  <c r="Q13" i="81"/>
  <c r="Z13" i="81" s="1"/>
  <c r="Q12" i="81"/>
  <c r="Z12" i="81" s="1"/>
  <c r="J12" i="81"/>
  <c r="AC12" i="81" s="1"/>
  <c r="H12" i="81"/>
  <c r="AB12" i="81" s="1"/>
  <c r="F12" i="81"/>
  <c r="AA12" i="81" s="1"/>
  <c r="Q11" i="81"/>
  <c r="Z11" i="81" s="1"/>
  <c r="I11" i="81"/>
  <c r="J11" i="81" s="1"/>
  <c r="G11" i="81"/>
  <c r="H11" i="81" s="1"/>
  <c r="AB11" i="81" s="1"/>
  <c r="E11" i="81"/>
  <c r="F11" i="81" s="1"/>
  <c r="Q10" i="81"/>
  <c r="Z10" i="81" s="1"/>
  <c r="J10" i="81"/>
  <c r="AC10" i="81" s="1"/>
  <c r="H10" i="81"/>
  <c r="AB10" i="81" s="1"/>
  <c r="F10" i="81"/>
  <c r="AA10" i="81" s="1"/>
  <c r="Q9" i="81"/>
  <c r="Z9" i="81" s="1"/>
  <c r="H9" i="81"/>
  <c r="AB9" i="81" s="1"/>
  <c r="J8" i="81"/>
  <c r="AC8" i="81" s="1"/>
  <c r="H8" i="81"/>
  <c r="AB8" i="81" s="1"/>
  <c r="F8" i="81"/>
  <c r="AA8" i="81" s="1"/>
  <c r="B130" i="80"/>
  <c r="H46" i="80" s="1"/>
  <c r="AB46" i="80" s="1"/>
  <c r="B128" i="80"/>
  <c r="B126" i="80"/>
  <c r="J44" i="80" s="1"/>
  <c r="AC44" i="80" s="1"/>
  <c r="D125" i="80"/>
  <c r="E125" i="80" s="1"/>
  <c r="F125" i="80" s="1"/>
  <c r="G125" i="80" s="1"/>
  <c r="D123" i="80"/>
  <c r="E123" i="80" s="1"/>
  <c r="F42" i="80" s="1"/>
  <c r="AA42" i="80" s="1"/>
  <c r="E121" i="80"/>
  <c r="F121" i="80" s="1"/>
  <c r="G121" i="80" s="1"/>
  <c r="H121" i="80" s="1"/>
  <c r="I121" i="80" s="1"/>
  <c r="J121" i="80" s="1"/>
  <c r="K121" i="80" s="1"/>
  <c r="L121" i="80" s="1"/>
  <c r="M121" i="80" s="1"/>
  <c r="D121" i="80"/>
  <c r="D117" i="80"/>
  <c r="J39"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F108" i="80"/>
  <c r="G108" i="80" s="1"/>
  <c r="H108" i="80" s="1"/>
  <c r="I108" i="80" s="1"/>
  <c r="J108" i="80" s="1"/>
  <c r="K108" i="80" s="1"/>
  <c r="L108" i="80" s="1"/>
  <c r="M108" i="80" s="1"/>
  <c r="D108" i="80"/>
  <c r="E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H32" i="80" s="1"/>
  <c r="AB32" i="80" s="1"/>
  <c r="B98" i="80"/>
  <c r="H31" i="80" s="1"/>
  <c r="B96" i="80"/>
  <c r="H30" i="80" s="1"/>
  <c r="AB30" i="80" s="1"/>
  <c r="B94" i="80"/>
  <c r="H29" i="80" s="1"/>
  <c r="B92" i="80"/>
  <c r="D91" i="80"/>
  <c r="E91" i="80" s="1"/>
  <c r="F91" i="80" s="1"/>
  <c r="G91" i="80" s="1"/>
  <c r="H91" i="80" s="1"/>
  <c r="I91" i="80" s="1"/>
  <c r="J91" i="80" s="1"/>
  <c r="K91" i="80" s="1"/>
  <c r="L91" i="80" s="1"/>
  <c r="M91" i="80" s="1"/>
  <c r="B90" i="80"/>
  <c r="H27" i="80" s="1"/>
  <c r="B88" i="80"/>
  <c r="J26" i="80" s="1"/>
  <c r="AC26" i="80" s="1"/>
  <c r="D87" i="80"/>
  <c r="E87" i="80" s="1"/>
  <c r="D85" i="80"/>
  <c r="E85" i="80" s="1"/>
  <c r="F85" i="80" s="1"/>
  <c r="G85" i="80" s="1"/>
  <c r="D83" i="80"/>
  <c r="E83" i="80" s="1"/>
  <c r="F83" i="80" s="1"/>
  <c r="G83" i="80" s="1"/>
  <c r="D81" i="80"/>
  <c r="E81" i="80" s="1"/>
  <c r="F81" i="80" s="1"/>
  <c r="G81" i="80" s="1"/>
  <c r="E79" i="80"/>
  <c r="F79" i="80" s="1"/>
  <c r="G79" i="80" s="1"/>
  <c r="D79" i="80"/>
  <c r="F17" i="80" s="1"/>
  <c r="AA17" i="80" s="1"/>
  <c r="D77" i="80"/>
  <c r="E77" i="80" s="1"/>
  <c r="B74" i="80"/>
  <c r="J14" i="80" s="1"/>
  <c r="AC14" i="80" s="1"/>
  <c r="B72" i="80"/>
  <c r="J13" i="80" s="1"/>
  <c r="B70" i="80"/>
  <c r="J12" i="80" s="1"/>
  <c r="AC12" i="80" s="1"/>
  <c r="H69" i="80"/>
  <c r="I69" i="80" s="1"/>
  <c r="J69" i="80" s="1"/>
  <c r="K69" i="80" s="1"/>
  <c r="L69" i="80" s="1"/>
  <c r="M69" i="80" s="1"/>
  <c r="D69" i="80"/>
  <c r="E69" i="80" s="1"/>
  <c r="F69" i="80" s="1"/>
  <c r="G69" i="80" s="1"/>
  <c r="M67" i="80"/>
  <c r="L67" i="80"/>
  <c r="K67" i="80"/>
  <c r="J67" i="80"/>
  <c r="I67" i="80"/>
  <c r="H67" i="80"/>
  <c r="G67" i="80"/>
  <c r="F67" i="80"/>
  <c r="E67" i="80"/>
  <c r="D67" i="80"/>
  <c r="C67" i="80"/>
  <c r="G66" i="80"/>
  <c r="H66" i="80" s="1"/>
  <c r="I66" i="80" s="1"/>
  <c r="C63" i="80"/>
  <c r="H9" i="80" s="1"/>
  <c r="AB9" i="80" s="1"/>
  <c r="C58" i="80"/>
  <c r="D58" i="80" s="1"/>
  <c r="E58" i="80" s="1"/>
  <c r="E54" i="80"/>
  <c r="F54" i="80" s="1"/>
  <c r="P49" i="80"/>
  <c r="P48" i="80"/>
  <c r="K48" i="80"/>
  <c r="T47" i="80"/>
  <c r="R47" i="80"/>
  <c r="P47" i="80"/>
  <c r="V47" i="80"/>
  <c r="Q46" i="80"/>
  <c r="Z46" i="80" s="1"/>
  <c r="J46" i="80"/>
  <c r="Q45" i="80"/>
  <c r="Z45" i="80" s="1"/>
  <c r="H45" i="80"/>
  <c r="AB45" i="80" s="1"/>
  <c r="Q44" i="80"/>
  <c r="Z44" i="80" s="1"/>
  <c r="H44" i="80"/>
  <c r="AB44" i="80" s="1"/>
  <c r="Q43" i="80"/>
  <c r="Z43" i="80" s="1"/>
  <c r="J43" i="80"/>
  <c r="H43" i="80"/>
  <c r="AB43" i="80" s="1"/>
  <c r="F43" i="80"/>
  <c r="AA43" i="80" s="1"/>
  <c r="Q42" i="80"/>
  <c r="Z42" i="80" s="1"/>
  <c r="Q41" i="80"/>
  <c r="Z41" i="80" s="1"/>
  <c r="J41" i="80"/>
  <c r="AC41" i="80" s="1"/>
  <c r="H41" i="80"/>
  <c r="AB41" i="80" s="1"/>
  <c r="F41" i="80"/>
  <c r="AA41" i="80" s="1"/>
  <c r="Q40" i="80"/>
  <c r="Z40" i="80" s="1"/>
  <c r="J40" i="80"/>
  <c r="AC40" i="80" s="1"/>
  <c r="H40" i="80"/>
  <c r="AB40" i="80" s="1"/>
  <c r="F40" i="80"/>
  <c r="AA40" i="80" s="1"/>
  <c r="Q39" i="80"/>
  <c r="Z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C33" i="80"/>
  <c r="Q32" i="80"/>
  <c r="Z32" i="80" s="1"/>
  <c r="Q31" i="80"/>
  <c r="Z31" i="80" s="1"/>
  <c r="F31" i="80"/>
  <c r="AA31" i="80" s="1"/>
  <c r="Q30" i="80"/>
  <c r="Z30" i="80" s="1"/>
  <c r="J30" i="80"/>
  <c r="AC30" i="80" s="1"/>
  <c r="F30" i="80"/>
  <c r="AA30" i="80" s="1"/>
  <c r="Q29" i="80"/>
  <c r="Z29" i="80" s="1"/>
  <c r="J29" i="80"/>
  <c r="W29" i="80" s="1"/>
  <c r="F29" i="80"/>
  <c r="AA29" i="80" s="1"/>
  <c r="Q28" i="80"/>
  <c r="Z28" i="80" s="1"/>
  <c r="Q27" i="80"/>
  <c r="Z27" i="80" s="1"/>
  <c r="F27" i="80"/>
  <c r="AA27" i="80" s="1"/>
  <c r="Q26" i="80"/>
  <c r="Z26" i="80" s="1"/>
  <c r="H26" i="80"/>
  <c r="AB26" i="80" s="1"/>
  <c r="F26" i="80"/>
  <c r="AA26" i="80" s="1"/>
  <c r="Q25" i="80"/>
  <c r="Z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C17" i="80"/>
  <c r="Q15" i="80"/>
  <c r="Z15" i="80" s="1"/>
  <c r="C15" i="80"/>
  <c r="Q14" i="80"/>
  <c r="Z14" i="80" s="1"/>
  <c r="H14" i="80"/>
  <c r="AB14" i="80" s="1"/>
  <c r="F14" i="80"/>
  <c r="AA14" i="80" s="1"/>
  <c r="Q13" i="80"/>
  <c r="Z13" i="80" s="1"/>
  <c r="H13" i="80"/>
  <c r="AB13" i="80" s="1"/>
  <c r="AB12" i="80"/>
  <c r="Q12" i="80"/>
  <c r="Z12" i="80" s="1"/>
  <c r="H12" i="80"/>
  <c r="U12" i="80" s="1"/>
  <c r="F12" i="80"/>
  <c r="AA12" i="80" s="1"/>
  <c r="Q11" i="80"/>
  <c r="Z11" i="80" s="1"/>
  <c r="I11" i="80"/>
  <c r="J11" i="80" s="1"/>
  <c r="AC11" i="80" s="1"/>
  <c r="G11" i="80"/>
  <c r="H11" i="80" s="1"/>
  <c r="E11" i="80"/>
  <c r="F11" i="80" s="1"/>
  <c r="AA11" i="80" s="1"/>
  <c r="Q10" i="80"/>
  <c r="Z10" i="80" s="1"/>
  <c r="J10" i="80"/>
  <c r="W10" i="80" s="1"/>
  <c r="H10" i="80"/>
  <c r="AB10" i="80" s="1"/>
  <c r="F10" i="80"/>
  <c r="AA10" i="80" s="1"/>
  <c r="U9" i="80"/>
  <c r="Q9" i="80"/>
  <c r="Z9" i="80" s="1"/>
  <c r="J9" i="80"/>
  <c r="AC9" i="80" s="1"/>
  <c r="F9" i="80"/>
  <c r="AA9" i="80" s="1"/>
  <c r="J8" i="80"/>
  <c r="W8" i="80" s="1"/>
  <c r="H8" i="80"/>
  <c r="AB8" i="80" s="1"/>
  <c r="F8" i="80"/>
  <c r="S8" i="80" s="1"/>
  <c r="D2" i="81"/>
  <c r="D2" i="80"/>
  <c r="D2" i="82"/>
  <c r="U8" i="80" l="1"/>
  <c r="U8" i="81"/>
  <c r="W14" i="81"/>
  <c r="AC40" i="81"/>
  <c r="W11" i="82"/>
  <c r="W46" i="82"/>
  <c r="F13" i="80"/>
  <c r="AA13" i="80" s="1"/>
  <c r="F25" i="80"/>
  <c r="AA25" i="80" s="1"/>
  <c r="J27" i="80"/>
  <c r="AC29" i="80"/>
  <c r="F36" i="80"/>
  <c r="F44" i="80"/>
  <c r="AA44" i="80" s="1"/>
  <c r="F9" i="81"/>
  <c r="AA9" i="81" s="1"/>
  <c r="U10" i="81"/>
  <c r="H23" i="81"/>
  <c r="AB23" i="81" s="1"/>
  <c r="H27" i="81"/>
  <c r="AB27" i="81" s="1"/>
  <c r="J29" i="81"/>
  <c r="AC29" i="81" s="1"/>
  <c r="F31" i="81"/>
  <c r="AA31" i="81" s="1"/>
  <c r="H38" i="81"/>
  <c r="AB38" i="81" s="1"/>
  <c r="J44" i="81"/>
  <c r="AC44" i="81" s="1"/>
  <c r="J27" i="81"/>
  <c r="AC27" i="81" s="1"/>
  <c r="U8" i="82"/>
  <c r="F13" i="82"/>
  <c r="AA13" i="82" s="1"/>
  <c r="AB14" i="82"/>
  <c r="U17" i="82"/>
  <c r="U19" i="82"/>
  <c r="H23" i="82"/>
  <c r="AB23" i="82" s="1"/>
  <c r="AC34" i="82"/>
  <c r="H38" i="82"/>
  <c r="AB38" i="82" s="1"/>
  <c r="H39" i="82"/>
  <c r="AB39" i="82" s="1"/>
  <c r="H42" i="82"/>
  <c r="AB42" i="82" s="1"/>
  <c r="J33" i="81"/>
  <c r="W33" i="81" s="1"/>
  <c r="F33" i="81"/>
  <c r="AA33" i="81" s="1"/>
  <c r="F36" i="82"/>
  <c r="AA36" i="82" s="1"/>
  <c r="J36" i="82"/>
  <c r="AC36" i="82" s="1"/>
  <c r="AC36" i="81"/>
  <c r="F77" i="82"/>
  <c r="G77" i="82" s="1"/>
  <c r="J15" i="82"/>
  <c r="AC15" i="82" s="1"/>
  <c r="F15" i="82"/>
  <c r="AA15" i="82" s="1"/>
  <c r="H15" i="82"/>
  <c r="AB15" i="82" s="1"/>
  <c r="F38" i="81"/>
  <c r="AA38" i="81" s="1"/>
  <c r="J38" i="81"/>
  <c r="AC38" i="81" s="1"/>
  <c r="U38" i="80"/>
  <c r="AC39" i="80"/>
  <c r="W39" i="80"/>
  <c r="W27" i="80"/>
  <c r="AC27" i="80"/>
  <c r="F32" i="81"/>
  <c r="AA32" i="81" s="1"/>
  <c r="AC33" i="81"/>
  <c r="AB21" i="82"/>
  <c r="F77" i="80"/>
  <c r="G77" i="80" s="1"/>
  <c r="J15" i="80"/>
  <c r="AC15" i="80" s="1"/>
  <c r="H15" i="80"/>
  <c r="AB15" i="80" s="1"/>
  <c r="J28" i="80"/>
  <c r="AC28" i="80" s="1"/>
  <c r="H28" i="80"/>
  <c r="AB28" i="80" s="1"/>
  <c r="H26" i="81"/>
  <c r="AB26" i="81" s="1"/>
  <c r="F26" i="81"/>
  <c r="AA26" i="81" s="1"/>
  <c r="F15" i="80"/>
  <c r="AA15" i="80" s="1"/>
  <c r="AC46" i="80"/>
  <c r="W46" i="80"/>
  <c r="H39" i="80"/>
  <c r="AB39" i="80" s="1"/>
  <c r="F39" i="80"/>
  <c r="AA39" i="80" s="1"/>
  <c r="E117" i="80"/>
  <c r="F117" i="80" s="1"/>
  <c r="G117" i="80" s="1"/>
  <c r="F123" i="80"/>
  <c r="G123" i="80" s="1"/>
  <c r="H123" i="80" s="1"/>
  <c r="I123" i="80" s="1"/>
  <c r="J123" i="80" s="1"/>
  <c r="K123" i="80" s="1"/>
  <c r="L123" i="80" s="1"/>
  <c r="M123" i="80" s="1"/>
  <c r="H42" i="80"/>
  <c r="AC21" i="81"/>
  <c r="W21" i="81"/>
  <c r="J26" i="81"/>
  <c r="AC13" i="80"/>
  <c r="W13" i="80"/>
  <c r="AC10" i="80"/>
  <c r="F28" i="80"/>
  <c r="AA28" i="80" s="1"/>
  <c r="AC43" i="80"/>
  <c r="W43" i="80"/>
  <c r="F28" i="81"/>
  <c r="AA28" i="81" s="1"/>
  <c r="J45" i="81"/>
  <c r="AC45" i="81" s="1"/>
  <c r="H45" i="81"/>
  <c r="F45" i="81"/>
  <c r="AA45" i="81" s="1"/>
  <c r="AB40" i="82"/>
  <c r="AB44" i="82"/>
  <c r="AC8" i="82"/>
  <c r="W37" i="82"/>
  <c r="W41" i="82"/>
  <c r="H36" i="80"/>
  <c r="AB36" i="80" s="1"/>
  <c r="J25" i="80"/>
  <c r="AC25" i="80" s="1"/>
  <c r="J31" i="80"/>
  <c r="U35" i="80"/>
  <c r="J36" i="80"/>
  <c r="AC36" i="80" s="1"/>
  <c r="J42" i="80"/>
  <c r="AC42" i="80" s="1"/>
  <c r="F46" i="80"/>
  <c r="AA46" i="80" s="1"/>
  <c r="H42" i="81"/>
  <c r="AB42" i="81" s="1"/>
  <c r="U15" i="82"/>
  <c r="U23" i="82"/>
  <c r="U26" i="82"/>
  <c r="U28" i="82"/>
  <c r="U30" i="82"/>
  <c r="G54" i="82"/>
  <c r="H54" i="82" s="1"/>
  <c r="AB45" i="82"/>
  <c r="H27" i="82"/>
  <c r="AB27" i="82" s="1"/>
  <c r="G54" i="80"/>
  <c r="H54" i="80" s="1"/>
  <c r="I54" i="80"/>
  <c r="J54" i="80" s="1"/>
  <c r="H7" i="82"/>
  <c r="S10" i="82"/>
  <c r="S13" i="82"/>
  <c r="U32" i="82"/>
  <c r="U33" i="82"/>
  <c r="S36" i="82"/>
  <c r="W36" i="82"/>
  <c r="S39" i="82"/>
  <c r="S43" i="82"/>
  <c r="F87" i="82"/>
  <c r="G87" i="82" s="1"/>
  <c r="H87" i="82" s="1"/>
  <c r="I87" i="82" s="1"/>
  <c r="J87" i="82" s="1"/>
  <c r="K87" i="82" s="1"/>
  <c r="L87" i="82" s="1"/>
  <c r="M87" i="82" s="1"/>
  <c r="H25" i="82"/>
  <c r="AB29" i="82"/>
  <c r="U29" i="82"/>
  <c r="AB31" i="82"/>
  <c r="U31" i="82"/>
  <c r="F101" i="82"/>
  <c r="G101" i="82" s="1"/>
  <c r="H101" i="82" s="1"/>
  <c r="I101" i="82" s="1"/>
  <c r="J101" i="82" s="1"/>
  <c r="K101" i="82" s="1"/>
  <c r="L101" i="82" s="1"/>
  <c r="M101" i="82" s="1"/>
  <c r="J32" i="82"/>
  <c r="F32" i="82"/>
  <c r="F7" i="82"/>
  <c r="I7" i="82"/>
  <c r="J7" i="82" s="1"/>
  <c r="AA8" i="82"/>
  <c r="U9" i="82"/>
  <c r="W10" i="82"/>
  <c r="AB11" i="82"/>
  <c r="U11" i="82"/>
  <c r="S11" i="82"/>
  <c r="U12" i="82"/>
  <c r="W13" i="82"/>
  <c r="F25" i="82"/>
  <c r="W25" i="82"/>
  <c r="F27" i="82"/>
  <c r="W27" i="82"/>
  <c r="F29" i="82"/>
  <c r="W29" i="82"/>
  <c r="F31" i="82"/>
  <c r="W31" i="82"/>
  <c r="J33" i="82"/>
  <c r="F33" i="82"/>
  <c r="S34" i="82"/>
  <c r="U35" i="82"/>
  <c r="H36" i="82"/>
  <c r="S37" i="82"/>
  <c r="U38" i="82"/>
  <c r="W39" i="82"/>
  <c r="S41" i="82"/>
  <c r="U42" i="82"/>
  <c r="W43" i="82"/>
  <c r="J45" i="82"/>
  <c r="F45" i="82"/>
  <c r="S9" i="82"/>
  <c r="W9" i="82"/>
  <c r="U10" i="82"/>
  <c r="S12" i="82"/>
  <c r="W12" i="82"/>
  <c r="U13" i="82"/>
  <c r="S14" i="82"/>
  <c r="W14" i="82"/>
  <c r="S15" i="82"/>
  <c r="S17" i="82"/>
  <c r="W17" i="82"/>
  <c r="S19" i="82"/>
  <c r="W19" i="82"/>
  <c r="S21" i="82"/>
  <c r="W21" i="82"/>
  <c r="S23" i="82"/>
  <c r="W23" i="82"/>
  <c r="S26" i="82"/>
  <c r="W26" i="82"/>
  <c r="S28" i="82"/>
  <c r="W28" i="82"/>
  <c r="S30" i="82"/>
  <c r="W30" i="82"/>
  <c r="U34" i="82"/>
  <c r="S35" i="82"/>
  <c r="W35" i="82"/>
  <c r="U37" i="82"/>
  <c r="S38" i="82"/>
  <c r="W38" i="82"/>
  <c r="U39" i="82"/>
  <c r="S40" i="82"/>
  <c r="W40" i="82"/>
  <c r="U41" i="82"/>
  <c r="S42" i="82"/>
  <c r="W42" i="82"/>
  <c r="U43" i="82"/>
  <c r="S44" i="82"/>
  <c r="W44" i="82"/>
  <c r="S46" i="82"/>
  <c r="U46" i="82"/>
  <c r="J7" i="81"/>
  <c r="AC7" i="81" s="1"/>
  <c r="AC32" i="81"/>
  <c r="W32" i="81"/>
  <c r="H7" i="81"/>
  <c r="S19" i="81"/>
  <c r="S23" i="81"/>
  <c r="S35" i="81"/>
  <c r="U39" i="81"/>
  <c r="E79" i="81"/>
  <c r="F79" i="81" s="1"/>
  <c r="G79" i="81" s="1"/>
  <c r="H17" i="81"/>
  <c r="E87" i="81"/>
  <c r="J25" i="81" s="1"/>
  <c r="F7" i="81"/>
  <c r="S8" i="81"/>
  <c r="W8" i="81"/>
  <c r="W9" i="81"/>
  <c r="AA11" i="81"/>
  <c r="S11" i="81"/>
  <c r="AC11" i="81"/>
  <c r="W11" i="81"/>
  <c r="U11" i="81"/>
  <c r="W12" i="81"/>
  <c r="S14" i="81"/>
  <c r="S17" i="81"/>
  <c r="W19" i="81"/>
  <c r="S21" i="81"/>
  <c r="W23" i="81"/>
  <c r="J28" i="81"/>
  <c r="S28" i="81"/>
  <c r="U29" i="81"/>
  <c r="J30" i="81"/>
  <c r="S30" i="81"/>
  <c r="U31" i="81"/>
  <c r="AB33" i="81"/>
  <c r="U33" i="81"/>
  <c r="S33" i="81"/>
  <c r="U34" i="81"/>
  <c r="W35" i="81"/>
  <c r="AB36" i="81"/>
  <c r="U36" i="81"/>
  <c r="S36" i="81"/>
  <c r="U37" i="81"/>
  <c r="S40" i="81"/>
  <c r="U41" i="81"/>
  <c r="W42" i="81"/>
  <c r="F44" i="81"/>
  <c r="W44" i="81"/>
  <c r="F46" i="81"/>
  <c r="W46" i="81"/>
  <c r="J13" i="81"/>
  <c r="F13" i="81"/>
  <c r="E77" i="81"/>
  <c r="H15" i="81"/>
  <c r="S9" i="81"/>
  <c r="S12" i="81"/>
  <c r="U13" i="81"/>
  <c r="S38" i="81"/>
  <c r="S42" i="81"/>
  <c r="AB28" i="81"/>
  <c r="U28" i="81"/>
  <c r="AB30" i="81"/>
  <c r="U30" i="81"/>
  <c r="F101" i="81"/>
  <c r="G101" i="81" s="1"/>
  <c r="H101" i="81" s="1"/>
  <c r="I101" i="81" s="1"/>
  <c r="J101" i="81" s="1"/>
  <c r="K101" i="81" s="1"/>
  <c r="L101" i="81" s="1"/>
  <c r="M101" i="81" s="1"/>
  <c r="H32" i="81"/>
  <c r="E117" i="81"/>
  <c r="F117" i="81" s="1"/>
  <c r="G117" i="81" s="1"/>
  <c r="J39" i="81"/>
  <c r="F39" i="81"/>
  <c r="AB44" i="81"/>
  <c r="U44" i="81"/>
  <c r="AB46" i="81"/>
  <c r="U46" i="81"/>
  <c r="U9" i="81"/>
  <c r="S10" i="81"/>
  <c r="W10" i="81"/>
  <c r="U12" i="81"/>
  <c r="U14" i="81"/>
  <c r="U19" i="81"/>
  <c r="U21" i="81"/>
  <c r="U23" i="81"/>
  <c r="S27" i="81"/>
  <c r="W27" i="81"/>
  <c r="S29" i="81"/>
  <c r="W29" i="81"/>
  <c r="S31" i="81"/>
  <c r="W31" i="81"/>
  <c r="S34" i="81"/>
  <c r="W34" i="81"/>
  <c r="U35" i="81"/>
  <c r="S37" i="81"/>
  <c r="W37" i="81"/>
  <c r="U38" i="81"/>
  <c r="U40" i="81"/>
  <c r="S41" i="81"/>
  <c r="W41" i="81"/>
  <c r="S43" i="81"/>
  <c r="W43" i="81"/>
  <c r="W45" i="81"/>
  <c r="I54" i="81"/>
  <c r="J54" i="81" s="1"/>
  <c r="G54" i="81"/>
  <c r="H54" i="81" s="1"/>
  <c r="V47" i="81"/>
  <c r="AB11" i="80"/>
  <c r="U11" i="80"/>
  <c r="J33" i="80"/>
  <c r="F33" i="80"/>
  <c r="S34" i="80"/>
  <c r="S37" i="80"/>
  <c r="S41" i="80"/>
  <c r="U45" i="80"/>
  <c r="F58" i="80"/>
  <c r="G58" i="80" s="1"/>
  <c r="H58" i="80" s="1"/>
  <c r="I58" i="80" s="1"/>
  <c r="J58" i="80" s="1"/>
  <c r="K58" i="80" s="1"/>
  <c r="L58" i="80" s="1"/>
  <c r="M58" i="80" s="1"/>
  <c r="N58" i="80" s="1"/>
  <c r="O58" i="80" s="1"/>
  <c r="J45" i="80"/>
  <c r="F45" i="80"/>
  <c r="J7" i="80"/>
  <c r="AA8" i="80"/>
  <c r="S11" i="80"/>
  <c r="AC8" i="80"/>
  <c r="S10" i="80"/>
  <c r="W11" i="80"/>
  <c r="S13" i="80"/>
  <c r="U14" i="80"/>
  <c r="U17" i="80"/>
  <c r="U19" i="80"/>
  <c r="U21" i="80"/>
  <c r="U23" i="80"/>
  <c r="U26" i="80"/>
  <c r="S27" i="80"/>
  <c r="U28" i="80"/>
  <c r="S29" i="80"/>
  <c r="U30" i="80"/>
  <c r="S31" i="80"/>
  <c r="U32" i="80"/>
  <c r="H33" i="80"/>
  <c r="W34" i="80"/>
  <c r="AA36" i="80"/>
  <c r="S36" i="80"/>
  <c r="W36" i="80"/>
  <c r="W37" i="80"/>
  <c r="U40" i="80"/>
  <c r="W41" i="80"/>
  <c r="S43" i="80"/>
  <c r="U44" i="80"/>
  <c r="F87" i="80"/>
  <c r="G87" i="80" s="1"/>
  <c r="H87" i="80" s="1"/>
  <c r="I87" i="80" s="1"/>
  <c r="J87" i="80" s="1"/>
  <c r="K87" i="80" s="1"/>
  <c r="L87" i="80" s="1"/>
  <c r="M87" i="80" s="1"/>
  <c r="H25" i="80"/>
  <c r="AB27" i="80"/>
  <c r="U27" i="80"/>
  <c r="AB29" i="80"/>
  <c r="U29" i="80"/>
  <c r="AB31" i="80"/>
  <c r="U31" i="80"/>
  <c r="F101" i="80"/>
  <c r="G101" i="80" s="1"/>
  <c r="H101" i="80" s="1"/>
  <c r="I101" i="80" s="1"/>
  <c r="J101" i="80" s="1"/>
  <c r="K101" i="80" s="1"/>
  <c r="L101" i="80" s="1"/>
  <c r="M101" i="80" s="1"/>
  <c r="J32" i="80"/>
  <c r="F32" i="80"/>
  <c r="S9" i="80"/>
  <c r="W9" i="80"/>
  <c r="U10" i="80"/>
  <c r="S12" i="80"/>
  <c r="W12" i="80"/>
  <c r="U13" i="80"/>
  <c r="S14" i="80"/>
  <c r="W14" i="80"/>
  <c r="S17" i="80"/>
  <c r="W17" i="80"/>
  <c r="S19" i="80"/>
  <c r="W19" i="80"/>
  <c r="S21" i="80"/>
  <c r="W21" i="80"/>
  <c r="S23" i="80"/>
  <c r="W23" i="80"/>
  <c r="S26" i="80"/>
  <c r="W26" i="80"/>
  <c r="W28" i="80"/>
  <c r="S30" i="80"/>
  <c r="W30" i="80"/>
  <c r="U34" i="80"/>
  <c r="S35" i="80"/>
  <c r="W35" i="80"/>
  <c r="U37" i="80"/>
  <c r="S38" i="80"/>
  <c r="W38" i="80"/>
  <c r="U39" i="80"/>
  <c r="S40" i="80"/>
  <c r="W40" i="80"/>
  <c r="U41" i="80"/>
  <c r="S42" i="80"/>
  <c r="U43" i="80"/>
  <c r="W44" i="80"/>
  <c r="U46" i="80"/>
  <c r="J8" i="79"/>
  <c r="M6" i="79"/>
  <c r="C13" i="79"/>
  <c r="C12" i="79"/>
  <c r="S46" i="80" l="1"/>
  <c r="S44" i="80"/>
  <c r="S28" i="80"/>
  <c r="S39" i="80"/>
  <c r="U36" i="80"/>
  <c r="S25" i="80"/>
  <c r="H7" i="80"/>
  <c r="F7" i="80"/>
  <c r="S45" i="81"/>
  <c r="U26" i="81"/>
  <c r="W38" i="81"/>
  <c r="U27" i="81"/>
  <c r="W15" i="82"/>
  <c r="U42" i="81"/>
  <c r="S26" i="81"/>
  <c r="F77" i="81"/>
  <c r="G77" i="81" s="1"/>
  <c r="J15" i="81"/>
  <c r="F15" i="81"/>
  <c r="D12" i="79"/>
  <c r="U15" i="80"/>
  <c r="W7" i="81"/>
  <c r="S15" i="80"/>
  <c r="W42" i="80"/>
  <c r="U27" i="82"/>
  <c r="W15" i="80"/>
  <c r="S32" i="81"/>
  <c r="J17" i="81"/>
  <c r="AC17" i="81" s="1"/>
  <c r="AC31" i="80"/>
  <c r="W31" i="80"/>
  <c r="AB45" i="81"/>
  <c r="U45" i="81"/>
  <c r="AB42" i="80"/>
  <c r="U42" i="80"/>
  <c r="W25" i="80"/>
  <c r="AC26" i="81"/>
  <c r="W26" i="81"/>
  <c r="AA45" i="82"/>
  <c r="S45" i="82"/>
  <c r="AB36" i="82"/>
  <c r="U36" i="82"/>
  <c r="AC33" i="82"/>
  <c r="W33" i="82"/>
  <c r="AA31" i="82"/>
  <c r="S31" i="82"/>
  <c r="AA29" i="82"/>
  <c r="S29" i="82"/>
  <c r="AA27" i="82"/>
  <c r="S27" i="82"/>
  <c r="AA25" i="82"/>
  <c r="S25" i="82"/>
  <c r="AA7" i="82"/>
  <c r="S7" i="82"/>
  <c r="AC32" i="82"/>
  <c r="W32" i="82"/>
  <c r="AB25" i="82"/>
  <c r="U25" i="82"/>
  <c r="AC45" i="82"/>
  <c r="W45" i="82"/>
  <c r="AA33" i="82"/>
  <c r="S33" i="82"/>
  <c r="AC7" i="82"/>
  <c r="V48" i="82" s="1"/>
  <c r="I48" i="82" s="1"/>
  <c r="G49" i="79" s="1"/>
  <c r="W7" i="82"/>
  <c r="AA32" i="82"/>
  <c r="S32" i="82"/>
  <c r="U7" i="82"/>
  <c r="AB7" i="82"/>
  <c r="AC39" i="81"/>
  <c r="W39" i="81"/>
  <c r="AB32" i="81"/>
  <c r="U32" i="81"/>
  <c r="AC13" i="81"/>
  <c r="W13" i="81"/>
  <c r="AA46" i="81"/>
  <c r="S46" i="81"/>
  <c r="AA44" i="81"/>
  <c r="S44" i="81"/>
  <c r="AC28" i="81"/>
  <c r="W28" i="81"/>
  <c r="AC25" i="81"/>
  <c r="W25" i="81"/>
  <c r="AB17" i="81"/>
  <c r="U17" i="81"/>
  <c r="AB7" i="81"/>
  <c r="U7" i="81"/>
  <c r="AA39" i="81"/>
  <c r="S39" i="81"/>
  <c r="AB15" i="81"/>
  <c r="U15" i="81"/>
  <c r="AA13" i="81"/>
  <c r="S13" i="81"/>
  <c r="AC30" i="81"/>
  <c r="W30" i="81"/>
  <c r="S7" i="81"/>
  <c r="AA7" i="81"/>
  <c r="F87" i="81"/>
  <c r="G87" i="81" s="1"/>
  <c r="H87" i="81" s="1"/>
  <c r="I87" i="81" s="1"/>
  <c r="J87" i="81" s="1"/>
  <c r="K87" i="81" s="1"/>
  <c r="L87" i="81" s="1"/>
  <c r="M87" i="81" s="1"/>
  <c r="F25" i="81"/>
  <c r="H25" i="81"/>
  <c r="AC32" i="80"/>
  <c r="W32" i="80"/>
  <c r="AB25" i="80"/>
  <c r="U25" i="80"/>
  <c r="U7" i="80"/>
  <c r="AB7" i="80"/>
  <c r="AA45" i="80"/>
  <c r="S45" i="80"/>
  <c r="AA7" i="80"/>
  <c r="S7" i="80"/>
  <c r="AA33" i="80"/>
  <c r="S33" i="80"/>
  <c r="AA32" i="80"/>
  <c r="S32" i="80"/>
  <c r="AB33" i="80"/>
  <c r="U33" i="80"/>
  <c r="AC7" i="80"/>
  <c r="W7" i="80"/>
  <c r="AC45" i="80"/>
  <c r="W45" i="80"/>
  <c r="AC33" i="80"/>
  <c r="W33" i="80"/>
  <c r="T48" i="82" l="1"/>
  <c r="G48" i="82" s="1"/>
  <c r="G46" i="79" s="1"/>
  <c r="W15" i="81"/>
  <c r="AC15" i="81"/>
  <c r="AA15" i="81"/>
  <c r="S15" i="81"/>
  <c r="W17" i="81"/>
  <c r="V48" i="81"/>
  <c r="I48" i="81" s="1"/>
  <c r="V48" i="80"/>
  <c r="I48" i="80" s="1"/>
  <c r="I52" i="82"/>
  <c r="J52" i="82" s="1"/>
  <c r="R48" i="82"/>
  <c r="AB25" i="81"/>
  <c r="T48" i="81" s="1"/>
  <c r="G48" i="81" s="1"/>
  <c r="E45" i="79" s="1"/>
  <c r="U25" i="81"/>
  <c r="AA25" i="81"/>
  <c r="R48" i="81" s="1"/>
  <c r="S25" i="81"/>
  <c r="T48" i="80"/>
  <c r="G48" i="80" s="1"/>
  <c r="C43" i="79" s="1"/>
  <c r="R48" i="80"/>
  <c r="Y6" i="1"/>
  <c r="Y7" i="1" s="1"/>
  <c r="AD6" i="1"/>
  <c r="AD7" i="1" s="1"/>
  <c r="G53" i="82" l="1"/>
  <c r="H53" i="82" s="1"/>
  <c r="G52" i="82"/>
  <c r="H52" i="82" s="1"/>
  <c r="I52" i="81"/>
  <c r="J52" i="81" s="1"/>
  <c r="E47" i="79"/>
  <c r="I52" i="80"/>
  <c r="J52" i="80" s="1"/>
  <c r="C44" i="79"/>
  <c r="R49" i="82"/>
  <c r="E48" i="82"/>
  <c r="G45" i="79" s="1"/>
  <c r="G53" i="81"/>
  <c r="H53" i="81" s="1"/>
  <c r="G52" i="81"/>
  <c r="H52" i="81" s="1"/>
  <c r="R49" i="81"/>
  <c r="E48" i="81"/>
  <c r="E42" i="79" s="1"/>
  <c r="R49" i="80"/>
  <c r="E48" i="80"/>
  <c r="C41" i="79" s="1"/>
  <c r="G52" i="80"/>
  <c r="H52" i="80" s="1"/>
  <c r="G53" i="80"/>
  <c r="H53" i="80" s="1"/>
  <c r="AH6" i="1"/>
  <c r="E53" i="82" l="1"/>
  <c r="F53" i="82" s="1"/>
  <c r="E52" i="82"/>
  <c r="F52" i="82" s="1"/>
  <c r="I53" i="82"/>
  <c r="J53" i="82" s="1"/>
  <c r="C49" i="82"/>
  <c r="D16" i="79" s="1"/>
  <c r="C48" i="82"/>
  <c r="E53" i="81"/>
  <c r="F53" i="81" s="1"/>
  <c r="E52" i="81"/>
  <c r="F52" i="81" s="1"/>
  <c r="I53" i="81"/>
  <c r="J53" i="81" s="1"/>
  <c r="C48" i="81"/>
  <c r="C49" i="81"/>
  <c r="C16" i="79" s="1"/>
  <c r="E53" i="80"/>
  <c r="F53" i="80" s="1"/>
  <c r="E52" i="80"/>
  <c r="F52" i="80" s="1"/>
  <c r="I53" i="80"/>
  <c r="J53" i="80" s="1"/>
  <c r="C49" i="80"/>
  <c r="B16" i="79" s="1"/>
  <c r="C48" i="80"/>
  <c r="I47" i="33"/>
  <c r="H51" i="79" s="1"/>
  <c r="I36" i="33"/>
  <c r="G36" i="33"/>
  <c r="E36" i="33"/>
  <c r="C33" i="33"/>
  <c r="I11" i="33"/>
  <c r="G11" i="33"/>
  <c r="E11" i="33"/>
  <c r="B3" i="82" l="1"/>
  <c r="B3" i="81"/>
  <c r="B3" i="80"/>
  <c r="F38" i="78"/>
  <c r="E37" i="78"/>
  <c r="F36" i="78"/>
  <c r="F35" i="78"/>
  <c r="F21" i="78"/>
  <c r="C40" i="78" s="1"/>
  <c r="F20" i="78"/>
  <c r="F39" i="78" s="1"/>
  <c r="C19" i="78"/>
  <c r="E10" i="78"/>
  <c r="E9" i="78"/>
  <c r="F7" i="78"/>
  <c r="H1" i="78"/>
  <c r="N7" i="1"/>
  <c r="I7" i="1"/>
  <c r="L7" i="1"/>
  <c r="E2" i="78"/>
  <c r="F40" i="78" l="1"/>
  <c r="C21" i="78"/>
  <c r="F20" i="6"/>
  <c r="AH7" i="1" s="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6" i="71"/>
  <c r="AG6" i="71"/>
  <c r="AE6" i="71"/>
  <c r="AF6" i="71" s="1"/>
  <c r="AD6" i="71"/>
  <c r="Q6" i="71"/>
  <c r="P6" i="71"/>
  <c r="O6" i="71"/>
  <c r="N6" i="71"/>
  <c r="D7" i="77" l="1"/>
  <c r="C26" i="77" s="1"/>
  <c r="C32" i="77" s="1"/>
  <c r="C38" i="77" s="1"/>
  <c r="C39" i="77" s="1"/>
  <c r="R25" i="77"/>
  <c r="R19" i="77"/>
  <c r="E26" i="77"/>
  <c r="E38" i="77"/>
  <c r="E39" i="77" s="1"/>
  <c r="E29" i="77"/>
  <c r="AH7" i="71"/>
  <c r="AG7" i="71"/>
  <c r="AE7" i="71"/>
  <c r="AF7" i="71" s="1"/>
  <c r="AD7" i="71"/>
  <c r="Q7" i="71"/>
  <c r="P7" i="71"/>
  <c r="O7" i="71"/>
  <c r="N7" i="71"/>
  <c r="R5" i="77" l="1"/>
  <c r="U5" i="77" s="1"/>
  <c r="E32" i="77"/>
  <c r="C40" i="77"/>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Q67" i="71"/>
  <c r="P67" i="71"/>
  <c r="O67" i="71"/>
  <c r="N67" i="71"/>
  <c r="Q66" i="71"/>
  <c r="P66" i="71"/>
  <c r="O66" i="71"/>
  <c r="N66" i="71"/>
  <c r="D66" i="71"/>
  <c r="F65" i="71"/>
  <c r="V65" i="71" s="1"/>
  <c r="E65" i="71"/>
  <c r="P65" i="71" s="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s="1"/>
  <c r="Q35" i="71"/>
  <c r="AB35" i="71" s="1"/>
  <c r="P35" i="71"/>
  <c r="O35" i="71"/>
  <c r="Y35" i="71" s="1"/>
  <c r="Z35" i="71" s="1"/>
  <c r="N35" i="71"/>
  <c r="X35" i="71" s="1"/>
  <c r="Q34" i="71"/>
  <c r="F35" i="71" s="1"/>
  <c r="P34" i="71"/>
  <c r="AA34" i="71" s="1"/>
  <c r="O34" i="71"/>
  <c r="Y34" i="71" s="1"/>
  <c r="Z34" i="71" s="1"/>
  <c r="N34" i="71"/>
  <c r="X34" i="71" s="1"/>
  <c r="D34" i="71"/>
  <c r="Q33" i="71"/>
  <c r="P33" i="71"/>
  <c r="AA33" i="71" s="1"/>
  <c r="O33" i="71"/>
  <c r="N33" i="71"/>
  <c r="X33" i="71" s="1"/>
  <c r="Q32" i="71"/>
  <c r="P32" i="71"/>
  <c r="O32" i="71"/>
  <c r="N32" i="71"/>
  <c r="X30" i="71" s="1"/>
  <c r="Q31" i="71"/>
  <c r="AB31" i="71"/>
  <c r="P31" i="71"/>
  <c r="O31" i="71"/>
  <c r="N31" i="71"/>
  <c r="Q30" i="71"/>
  <c r="F31" i="71" s="1"/>
  <c r="F32" i="71" s="1"/>
  <c r="F33" i="71" s="1"/>
  <c r="V33" i="71" s="1"/>
  <c r="P30" i="71"/>
  <c r="E31" i="71" s="1"/>
  <c r="E32" i="71" s="1"/>
  <c r="O30" i="71"/>
  <c r="C31" i="71" s="1"/>
  <c r="N30" i="71"/>
  <c r="D30" i="71"/>
  <c r="Q29" i="71"/>
  <c r="P29" i="71"/>
  <c r="O29" i="71"/>
  <c r="N29" i="71"/>
  <c r="Q28" i="71"/>
  <c r="P28" i="71"/>
  <c r="O28" i="71"/>
  <c r="N28" i="71"/>
  <c r="Q27" i="71"/>
  <c r="P27" i="71"/>
  <c r="O27" i="71"/>
  <c r="N27" i="71"/>
  <c r="Q26" i="71"/>
  <c r="F27" i="71" s="1"/>
  <c r="P26" i="71"/>
  <c r="E27" i="71" s="1"/>
  <c r="E28" i="71" s="1"/>
  <c r="E29" i="71" s="1"/>
  <c r="U29" i="71" s="1"/>
  <c r="O26" i="71"/>
  <c r="C27" i="71" s="1"/>
  <c r="N26" i="71"/>
  <c r="D26" i="71"/>
  <c r="O25" i="71"/>
  <c r="C25" i="71" s="1"/>
  <c r="N25" i="71"/>
  <c r="B25" i="71" s="1"/>
  <c r="B27" i="71"/>
  <c r="B28" i="71" s="1"/>
  <c r="B29" i="71" s="1"/>
  <c r="S29" i="71" s="1"/>
  <c r="B31" i="71"/>
  <c r="B32" i="71" s="1"/>
  <c r="B35" i="71"/>
  <c r="B36" i="71" s="1"/>
  <c r="B37" i="71" s="1"/>
  <c r="S37" i="71" s="1"/>
  <c r="E35" i="71"/>
  <c r="E36" i="71" s="1"/>
  <c r="E37" i="71" s="1"/>
  <c r="U37" i="71" s="1"/>
  <c r="N65" i="71"/>
  <c r="AA30" i="71"/>
  <c r="AA35" i="71"/>
  <c r="P25" i="71"/>
  <c r="AA24" i="71" s="1"/>
  <c r="U65" i="71"/>
  <c r="Q25" i="71"/>
  <c r="F25" i="71" s="1"/>
  <c r="F24" i="71" s="1"/>
  <c r="F23" i="71" s="1"/>
  <c r="C56" i="71"/>
  <c r="D56" i="71" s="1"/>
  <c r="T65" i="71"/>
  <c r="D65" i="71"/>
  <c r="Q65" i="71"/>
  <c r="C68" i="71"/>
  <c r="D68" i="71" s="1"/>
  <c r="E68" i="71"/>
  <c r="E67" i="71" s="1"/>
  <c r="D69" i="71"/>
  <c r="C72" i="71"/>
  <c r="C71" i="71" s="1"/>
  <c r="D71" i="71" s="1"/>
  <c r="E72" i="71"/>
  <c r="E71" i="71" s="1"/>
  <c r="D73" i="71"/>
  <c r="C76" i="71"/>
  <c r="D76" i="71" s="1"/>
  <c r="E76" i="71"/>
  <c r="E75" i="71" s="1"/>
  <c r="D77" i="71"/>
  <c r="C80" i="71"/>
  <c r="C79" i="71" s="1"/>
  <c r="D79" i="71" s="1"/>
  <c r="C84" i="71"/>
  <c r="D84" i="71" s="1"/>
  <c r="E25" i="71"/>
  <c r="E24" i="71" s="1"/>
  <c r="E23" i="71" s="1"/>
  <c r="D80" i="71"/>
  <c r="D7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S25" i="40"/>
  <c r="H25" i="40"/>
  <c r="AB25" i="40" s="1"/>
  <c r="J25" i="40"/>
  <c r="AC25" i="40" s="1"/>
  <c r="H29" i="39"/>
  <c r="AB29" i="39" s="1"/>
  <c r="J29" i="39"/>
  <c r="AC29" i="39" s="1"/>
  <c r="J18" i="36"/>
  <c r="AC18" i="36" s="1"/>
  <c r="H18" i="35"/>
  <c r="AB18" i="35" s="1"/>
  <c r="S18" i="35"/>
  <c r="J18" i="35"/>
  <c r="AC18" i="35" s="1"/>
  <c r="H21" i="37"/>
  <c r="AB21" i="37" s="1"/>
  <c r="F21" i="37"/>
  <c r="AA21" i="37" s="1"/>
  <c r="H21" i="34"/>
  <c r="AB21" i="34" s="1"/>
  <c r="H21" i="33"/>
  <c r="U21" i="33" s="1"/>
  <c r="F21" i="33"/>
  <c r="AA21" i="33" s="1"/>
  <c r="E83" i="21"/>
  <c r="F83" i="21" s="1"/>
  <c r="G83" i="21" s="1"/>
  <c r="H1" i="69"/>
  <c r="W25" i="40"/>
  <c r="U25" i="40"/>
  <c r="U29" i="39"/>
  <c r="W18" i="36"/>
  <c r="U21" i="37"/>
  <c r="U21" i="34"/>
  <c r="U18" i="35"/>
  <c r="J21" i="37"/>
  <c r="AC21" i="37" s="1"/>
  <c r="J21" i="34"/>
  <c r="AC21" i="34" s="1"/>
  <c r="J21" i="33"/>
  <c r="AC21" i="33" s="1"/>
  <c r="H21" i="21"/>
  <c r="AB21" i="21" s="1"/>
  <c r="F38" i="69"/>
  <c r="E37" i="69"/>
  <c r="F36" i="69"/>
  <c r="F35" i="69"/>
  <c r="F21" i="69"/>
  <c r="F40" i="69" s="1"/>
  <c r="F20" i="69"/>
  <c r="F39" i="69" s="1"/>
  <c r="E10" i="69"/>
  <c r="E9" i="69"/>
  <c r="W21" i="37"/>
  <c r="U21" i="21"/>
  <c r="J21" i="21"/>
  <c r="W21" i="21" s="1"/>
  <c r="F38" i="68"/>
  <c r="E37" i="68"/>
  <c r="F36" i="68"/>
  <c r="F35" i="68"/>
  <c r="F21" i="68"/>
  <c r="F40" i="68" s="1"/>
  <c r="F20" i="68"/>
  <c r="F39" i="68" s="1"/>
  <c r="E10" i="68"/>
  <c r="E9" i="68"/>
  <c r="Q72" i="67"/>
  <c r="Q59" i="67"/>
  <c r="Q58"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4"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F36" i="39" s="1"/>
  <c r="J30" i="36"/>
  <c r="W30" i="36" s="1"/>
  <c r="H30" i="36"/>
  <c r="U30" i="36" s="1"/>
  <c r="F30" i="36"/>
  <c r="AA30" i="36" s="1"/>
  <c r="C26" i="35"/>
  <c r="J31" i="35"/>
  <c r="H31" i="35"/>
  <c r="AB31" i="35" s="1"/>
  <c r="F31" i="35"/>
  <c r="AA31" i="35" s="1"/>
  <c r="D87" i="35"/>
  <c r="E87" i="35" s="1"/>
  <c r="F87" i="35" s="1"/>
  <c r="G87" i="35" s="1"/>
  <c r="H87" i="35" s="1"/>
  <c r="I87" i="35" s="1"/>
  <c r="J87" i="35" s="1"/>
  <c r="K87" i="35" s="1"/>
  <c r="L87" i="35" s="1"/>
  <c r="M87" i="35" s="1"/>
  <c r="H34" i="37"/>
  <c r="AB34" i="37" s="1"/>
  <c r="D101" i="37"/>
  <c r="E101" i="37" s="1"/>
  <c r="F34" i="37"/>
  <c r="AA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J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C20" i="36"/>
  <c r="C20" i="35"/>
  <c r="C16" i="36"/>
  <c r="C16" i="35"/>
  <c r="C14" i="36"/>
  <c r="C14" i="35"/>
  <c r="B80" i="37"/>
  <c r="H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AC27" i="37" s="1"/>
  <c r="B82" i="37"/>
  <c r="D79" i="37"/>
  <c r="E79" i="37" s="1"/>
  <c r="D75" i="37"/>
  <c r="E75" i="37" s="1"/>
  <c r="F75" i="37" s="1"/>
  <c r="G75" i="37" s="1"/>
  <c r="D73" i="37"/>
  <c r="E73" i="37" s="1"/>
  <c r="F73" i="37" s="1"/>
  <c r="G73" i="37" s="1"/>
  <c r="D71" i="37"/>
  <c r="E71" i="37" s="1"/>
  <c r="F71" i="37" s="1"/>
  <c r="H15" i="37"/>
  <c r="B68" i="37"/>
  <c r="B66" i="37"/>
  <c r="J13" i="37" s="1"/>
  <c r="W13" i="37" s="1"/>
  <c r="B64" i="37"/>
  <c r="D63" i="37"/>
  <c r="E63" i="37" s="1"/>
  <c r="F63" i="37" s="1"/>
  <c r="G63" i="37" s="1"/>
  <c r="H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Q29" i="37"/>
  <c r="Z29" i="37" s="1"/>
  <c r="H29" i="37"/>
  <c r="Q28" i="37"/>
  <c r="Z28" i="37" s="1"/>
  <c r="Q27" i="37"/>
  <c r="Z27" i="37" s="1"/>
  <c r="Q26" i="37"/>
  <c r="Z26" i="37" s="1"/>
  <c r="J26" i="37"/>
  <c r="H26" i="37"/>
  <c r="F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J23" i="36" s="1"/>
  <c r="AC23" i="36" s="1"/>
  <c r="D70" i="36"/>
  <c r="H22" i="36"/>
  <c r="AB22" i="36" s="1"/>
  <c r="D68" i="36"/>
  <c r="E68" i="36" s="1"/>
  <c r="F68" i="36" s="1"/>
  <c r="G68" i="36" s="1"/>
  <c r="D64" i="36"/>
  <c r="E64" i="36" s="1"/>
  <c r="F64" i="36" s="1"/>
  <c r="G64" i="36" s="1"/>
  <c r="J16" i="36"/>
  <c r="D62" i="36"/>
  <c r="E62" i="36" s="1"/>
  <c r="F62" i="36" s="1"/>
  <c r="G62" i="36" s="1"/>
  <c r="B59" i="36"/>
  <c r="F13" i="36" s="1"/>
  <c r="S13" i="36" s="1"/>
  <c r="B57" i="36"/>
  <c r="F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H27" i="35"/>
  <c r="F27" i="35"/>
  <c r="J22" i="35"/>
  <c r="AC22" i="35" s="1"/>
  <c r="B101" i="35"/>
  <c r="J36" i="35" s="1"/>
  <c r="B99" i="35"/>
  <c r="B97" i="35"/>
  <c r="J34" i="35" s="1"/>
  <c r="AC34" i="35" s="1"/>
  <c r="B77" i="35"/>
  <c r="F25" i="35" s="1"/>
  <c r="S25" i="35" s="1"/>
  <c r="B75" i="35"/>
  <c r="J24" i="35" s="1"/>
  <c r="AC24" i="35" s="1"/>
  <c r="B73" i="35"/>
  <c r="B57" i="35"/>
  <c r="B61" i="35"/>
  <c r="B59" i="35"/>
  <c r="B131" i="34"/>
  <c r="F47" i="34" s="1"/>
  <c r="B129" i="34"/>
  <c r="J46" i="34" s="1"/>
  <c r="AC46" i="34" s="1"/>
  <c r="B127" i="34"/>
  <c r="B99" i="34"/>
  <c r="F32" i="34" s="1"/>
  <c r="AA32" i="34" s="1"/>
  <c r="B97" i="34"/>
  <c r="H31" i="34" s="1"/>
  <c r="B95" i="34"/>
  <c r="H30" i="34" s="1"/>
  <c r="AB30" i="34" s="1"/>
  <c r="B93" i="34"/>
  <c r="F29" i="34" s="1"/>
  <c r="B75" i="34"/>
  <c r="F14" i="34" s="1"/>
  <c r="B73" i="34"/>
  <c r="J13" i="34" s="1"/>
  <c r="W13" i="34" s="1"/>
  <c r="B71" i="34"/>
  <c r="H12" i="34" s="1"/>
  <c r="B130" i="33"/>
  <c r="B128" i="33"/>
  <c r="B126" i="33"/>
  <c r="J44" i="33" s="1"/>
  <c r="B98" i="33"/>
  <c r="H31" i="33" s="1"/>
  <c r="AB31" i="33" s="1"/>
  <c r="B96" i="33"/>
  <c r="B94" i="33"/>
  <c r="H29" i="33" s="1"/>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H39" i="33" s="1"/>
  <c r="AB39"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H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AB31" i="21" s="1"/>
  <c r="B96" i="21"/>
  <c r="B94" i="21"/>
  <c r="J29" i="21" s="1"/>
  <c r="AC29" i="21" s="1"/>
  <c r="B92" i="21"/>
  <c r="B90" i="21"/>
  <c r="H27" i="21" s="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H38" i="21"/>
  <c r="H43" i="21"/>
  <c r="F38" i="21"/>
  <c r="F36" i="21"/>
  <c r="S36" i="21" s="1"/>
  <c r="F39" i="21"/>
  <c r="AA39" i="21" s="1"/>
  <c r="J40" i="21"/>
  <c r="H35" i="21"/>
  <c r="J8" i="21"/>
  <c r="AC8" i="21" s="1"/>
  <c r="H8" i="21"/>
  <c r="H10" i="21"/>
  <c r="AB10" i="21" s="1"/>
  <c r="H39" i="21"/>
  <c r="J34" i="21"/>
  <c r="H36" i="21"/>
  <c r="U36" i="21" s="1"/>
  <c r="F35" i="21"/>
  <c r="J10" i="21"/>
  <c r="AC10" i="21" s="1"/>
  <c r="H26" i="21"/>
  <c r="AB26" i="21" s="1"/>
  <c r="AB19" i="21"/>
  <c r="J19" i="21"/>
  <c r="W19" i="21" s="1"/>
  <c r="J26" i="21"/>
  <c r="W26" i="21" s="1"/>
  <c r="F26" i="21"/>
  <c r="S26" i="21" s="1"/>
  <c r="AB41" i="21"/>
  <c r="U30" i="37"/>
  <c r="E103" i="37"/>
  <c r="F103" i="37" s="1"/>
  <c r="G103" i="37" s="1"/>
  <c r="H103" i="37" s="1"/>
  <c r="I103" i="37" s="1"/>
  <c r="J103" i="37" s="1"/>
  <c r="K103" i="37" s="1"/>
  <c r="L103" i="37" s="1"/>
  <c r="M103" i="37" s="1"/>
  <c r="F29" i="36"/>
  <c r="F16" i="36"/>
  <c r="AA16" i="36" s="1"/>
  <c r="H22" i="35"/>
  <c r="AB22" i="35" s="1"/>
  <c r="F36" i="34"/>
  <c r="S36" i="34" s="1"/>
  <c r="J35" i="34"/>
  <c r="H39" i="37"/>
  <c r="AB39" i="37" s="1"/>
  <c r="F11" i="40"/>
  <c r="AA11" i="40" s="1"/>
  <c r="H11" i="40"/>
  <c r="U34" i="40"/>
  <c r="F42" i="39"/>
  <c r="AA42" i="39" s="1"/>
  <c r="F41" i="39"/>
  <c r="H40" i="39"/>
  <c r="H39" i="39"/>
  <c r="U39" i="39" s="1"/>
  <c r="H34" i="39"/>
  <c r="F31" i="39"/>
  <c r="AA31" i="39" s="1"/>
  <c r="H19" i="39"/>
  <c r="F19" i="39"/>
  <c r="AA19" i="39" s="1"/>
  <c r="H17" i="39"/>
  <c r="F17" i="39"/>
  <c r="AA17" i="39" s="1"/>
  <c r="J23" i="40"/>
  <c r="F21" i="40"/>
  <c r="J21" i="40"/>
  <c r="W21" i="40" s="1"/>
  <c r="H42" i="39"/>
  <c r="AB42" i="39" s="1"/>
  <c r="J34" i="39"/>
  <c r="H27" i="39"/>
  <c r="U27" i="39" s="1"/>
  <c r="J19" i="39"/>
  <c r="AC19" i="39" s="1"/>
  <c r="J17" i="39"/>
  <c r="J27" i="39"/>
  <c r="F27" i="39"/>
  <c r="S27" i="39" s="1"/>
  <c r="F11" i="21"/>
  <c r="S11" i="21" s="1"/>
  <c r="H11" i="39"/>
  <c r="U11" i="39" s="1"/>
  <c r="S40" i="39"/>
  <c r="H11" i="21"/>
  <c r="U11" i="21" s="1"/>
  <c r="J11" i="21"/>
  <c r="H37" i="40"/>
  <c r="U37" i="40" s="1"/>
  <c r="H36" i="40"/>
  <c r="F35" i="40"/>
  <c r="H23" i="40"/>
  <c r="AB23" i="40" s="1"/>
  <c r="H17" i="40"/>
  <c r="J15" i="40"/>
  <c r="J11" i="40"/>
  <c r="AB8" i="39"/>
  <c r="F37" i="39"/>
  <c r="J30" i="35"/>
  <c r="W30" i="35" s="1"/>
  <c r="H30" i="35"/>
  <c r="F22" i="35"/>
  <c r="AA22" i="35" s="1"/>
  <c r="H10" i="35"/>
  <c r="U10" i="35" s="1"/>
  <c r="F33" i="36"/>
  <c r="AA33" i="36" s="1"/>
  <c r="H16" i="36"/>
  <c r="AB16" i="36" s="1"/>
  <c r="J29" i="36"/>
  <c r="AC29" i="36" s="1"/>
  <c r="F24" i="36"/>
  <c r="AA24" i="36" s="1"/>
  <c r="F34" i="36"/>
  <c r="S34" i="36" s="1"/>
  <c r="AB8" i="36"/>
  <c r="F14" i="35"/>
  <c r="AA14" i="35" s="1"/>
  <c r="J32" i="35"/>
  <c r="AC32" i="35" s="1"/>
  <c r="J16" i="35"/>
  <c r="H16" i="35"/>
  <c r="U16" i="35" s="1"/>
  <c r="F16" i="35"/>
  <c r="H14" i="35"/>
  <c r="AB14" i="35" s="1"/>
  <c r="J29" i="35"/>
  <c r="W29" i="35" s="1"/>
  <c r="H33" i="35"/>
  <c r="J20" i="35"/>
  <c r="W20" i="35" s="1"/>
  <c r="F35" i="37"/>
  <c r="S35" i="37" s="1"/>
  <c r="F101" i="37"/>
  <c r="G101" i="37" s="1"/>
  <c r="H101" i="37" s="1"/>
  <c r="I101" i="37" s="1"/>
  <c r="J101" i="37" s="1"/>
  <c r="K101" i="37" s="1"/>
  <c r="L101" i="37" s="1"/>
  <c r="M101" i="37" s="1"/>
  <c r="J34" i="37"/>
  <c r="S10" i="37"/>
  <c r="J33" i="37"/>
  <c r="H40" i="34"/>
  <c r="H36" i="34"/>
  <c r="U36" i="34" s="1"/>
  <c r="F37" i="34"/>
  <c r="AA37" i="34" s="1"/>
  <c r="F28" i="34"/>
  <c r="F25" i="34"/>
  <c r="H23" i="34"/>
  <c r="J23" i="34"/>
  <c r="W23" i="34" s="1"/>
  <c r="F19" i="34"/>
  <c r="H17" i="34"/>
  <c r="F15" i="34"/>
  <c r="J15" i="34"/>
  <c r="W15" i="34" s="1"/>
  <c r="H15" i="34"/>
  <c r="F41" i="33"/>
  <c r="E113" i="33"/>
  <c r="F113" i="33" s="1"/>
  <c r="G113" i="33" s="1"/>
  <c r="H113" i="33" s="1"/>
  <c r="I113" i="33" s="1"/>
  <c r="J113" i="33" s="1"/>
  <c r="K113" i="33" s="1"/>
  <c r="L113" i="33" s="1"/>
  <c r="M113" i="33" s="1"/>
  <c r="J19" i="33"/>
  <c r="J15" i="33"/>
  <c r="F11" i="33"/>
  <c r="F37" i="40"/>
  <c r="AA37" i="40" s="1"/>
  <c r="F36" i="40"/>
  <c r="AA36" i="40" s="1"/>
  <c r="H28" i="40"/>
  <c r="U28" i="40" s="1"/>
  <c r="F23" i="40"/>
  <c r="F17" i="40"/>
  <c r="AA17" i="40" s="1"/>
  <c r="J17" i="40"/>
  <c r="W17" i="40" s="1"/>
  <c r="F15" i="40"/>
  <c r="S15" i="40" s="1"/>
  <c r="H15" i="40"/>
  <c r="F29" i="35"/>
  <c r="S29" i="35" s="1"/>
  <c r="H29" i="35"/>
  <c r="AB29" i="35" s="1"/>
  <c r="H33" i="37"/>
  <c r="F33" i="37"/>
  <c r="AA33" i="37" s="1"/>
  <c r="S34" i="37"/>
  <c r="J43" i="34"/>
  <c r="W43" i="34" s="1"/>
  <c r="J40" i="34"/>
  <c r="W40" i="34" s="1"/>
  <c r="H38" i="34"/>
  <c r="AB38" i="34" s="1"/>
  <c r="J36" i="34"/>
  <c r="W36" i="34" s="1"/>
  <c r="H37" i="34"/>
  <c r="H25" i="34"/>
  <c r="AB25" i="34" s="1"/>
  <c r="J25" i="34"/>
  <c r="F23" i="34"/>
  <c r="AA23" i="34" s="1"/>
  <c r="J19" i="34"/>
  <c r="AC19" i="34" s="1"/>
  <c r="F17" i="34"/>
  <c r="J17" i="34"/>
  <c r="H37" i="33"/>
  <c r="AB37" i="33" s="1"/>
  <c r="H15" i="33"/>
  <c r="AB15" i="33" s="1"/>
  <c r="H11" i="33"/>
  <c r="F28" i="40"/>
  <c r="S42" i="34"/>
  <c r="J37" i="34"/>
  <c r="AC37" i="34" s="1"/>
  <c r="J11" i="33"/>
  <c r="J42" i="21"/>
  <c r="AC42" i="21" s="1"/>
  <c r="H42" i="21"/>
  <c r="U42" i="21" s="1"/>
  <c r="J44" i="34"/>
  <c r="W44" i="34" s="1"/>
  <c r="F44" i="34"/>
  <c r="J10" i="35"/>
  <c r="W10" i="35" s="1"/>
  <c r="J14" i="21"/>
  <c r="F14" i="21"/>
  <c r="S14" i="21" s="1"/>
  <c r="H14" i="21"/>
  <c r="U14" i="21" s="1"/>
  <c r="H28" i="21"/>
  <c r="F28" i="21"/>
  <c r="AA28" i="21" s="1"/>
  <c r="J28" i="21"/>
  <c r="W28" i="21" s="1"/>
  <c r="H30" i="21"/>
  <c r="F30" i="21"/>
  <c r="S30" i="21" s="1"/>
  <c r="J30" i="21"/>
  <c r="AC30" i="21" s="1"/>
  <c r="H28" i="33"/>
  <c r="U28" i="33" s="1"/>
  <c r="J28" i="33"/>
  <c r="W28" i="33" s="1"/>
  <c r="F33" i="35"/>
  <c r="S33" i="35" s="1"/>
  <c r="J33" i="35"/>
  <c r="F30" i="35"/>
  <c r="S30" i="35" s="1"/>
  <c r="E89" i="35"/>
  <c r="F89" i="35" s="1"/>
  <c r="G89" i="35" s="1"/>
  <c r="H89" i="35" s="1"/>
  <c r="I89" i="35" s="1"/>
  <c r="J89" i="35" s="1"/>
  <c r="K89" i="35" s="1"/>
  <c r="L89" i="35" s="1"/>
  <c r="M89" i="35" s="1"/>
  <c r="H10" i="36"/>
  <c r="AB10" i="36" s="1"/>
  <c r="J14" i="36"/>
  <c r="H14" i="36"/>
  <c r="U14" i="36" s="1"/>
  <c r="F28" i="36"/>
  <c r="AA28" i="36" s="1"/>
  <c r="J31" i="21"/>
  <c r="F31" i="21"/>
  <c r="S31" i="21" s="1"/>
  <c r="F45" i="21"/>
  <c r="F13" i="33"/>
  <c r="S13" i="33" s="1"/>
  <c r="J31" i="33"/>
  <c r="F31" i="33"/>
  <c r="AA31" i="33" s="1"/>
  <c r="J14" i="34"/>
  <c r="W14" i="34" s="1"/>
  <c r="H14" i="34"/>
  <c r="F30" i="34"/>
  <c r="J30" i="34"/>
  <c r="W30" i="34" s="1"/>
  <c r="J32" i="34"/>
  <c r="W32" i="34" s="1"/>
  <c r="H46" i="34"/>
  <c r="F46" i="34"/>
  <c r="H11" i="35"/>
  <c r="J11" i="35"/>
  <c r="AC11" i="35" s="1"/>
  <c r="F11" i="35"/>
  <c r="J26" i="36"/>
  <c r="W26" i="36" s="1"/>
  <c r="H28" i="36"/>
  <c r="U28" i="36" s="1"/>
  <c r="H13" i="36"/>
  <c r="AB13" i="36" s="1"/>
  <c r="J13" i="36"/>
  <c r="J29" i="37"/>
  <c r="W29" i="37" s="1"/>
  <c r="F29" i="37"/>
  <c r="S29" i="37" s="1"/>
  <c r="H36" i="37"/>
  <c r="AB36" i="37" s="1"/>
  <c r="J37" i="37"/>
  <c r="AC37" i="37" s="1"/>
  <c r="H37" i="37"/>
  <c r="U37" i="37" s="1"/>
  <c r="F30" i="33"/>
  <c r="AA30" i="33" s="1"/>
  <c r="H13" i="34"/>
  <c r="U13" i="34" s="1"/>
  <c r="F31" i="34"/>
  <c r="J13" i="35"/>
  <c r="J25" i="36"/>
  <c r="F28" i="37"/>
  <c r="AA28" i="37" s="1"/>
  <c r="J28" i="37"/>
  <c r="H28" i="37"/>
  <c r="U28" i="37" s="1"/>
  <c r="H38" i="37"/>
  <c r="J38" i="37"/>
  <c r="F38" i="37"/>
  <c r="F12" i="40"/>
  <c r="H30" i="40"/>
  <c r="AB30" i="40" s="1"/>
  <c r="H33" i="40"/>
  <c r="U33" i="40" s="1"/>
  <c r="J35" i="40"/>
  <c r="AC35" i="40" s="1"/>
  <c r="J37" i="40"/>
  <c r="F13" i="39"/>
  <c r="AA13" i="39" s="1"/>
  <c r="J13" i="39"/>
  <c r="H13" i="39"/>
  <c r="U13" i="39" s="1"/>
  <c r="J36" i="37"/>
  <c r="AC36" i="37" s="1"/>
  <c r="J10" i="36"/>
  <c r="U31" i="33"/>
  <c r="AC28" i="21"/>
  <c r="F17" i="21"/>
  <c r="H17" i="21"/>
  <c r="F15" i="21"/>
  <c r="S15" i="21" s="1"/>
  <c r="AB11" i="21"/>
  <c r="J41" i="39"/>
  <c r="W41" i="39" s="1"/>
  <c r="G504" i="3"/>
  <c r="BL554" i="3"/>
  <c r="BL552" i="3"/>
  <c r="BA568" i="3"/>
  <c r="BA502" i="3"/>
  <c r="BA553" i="3"/>
  <c r="BA499"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BQ521" i="3"/>
  <c r="G511" i="3"/>
  <c r="BQ519" i="3"/>
  <c r="BL519" i="3" s="1"/>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F39" i="33"/>
  <c r="E123" i="33"/>
  <c r="F123" i="33" s="1"/>
  <c r="G123" i="33" s="1"/>
  <c r="H123" i="33" s="1"/>
  <c r="I123" i="33" s="1"/>
  <c r="J123" i="33" s="1"/>
  <c r="K123" i="33" s="1"/>
  <c r="L123" i="33" s="1"/>
  <c r="M123" i="33" s="1"/>
  <c r="F14" i="36"/>
  <c r="AA14" i="36" s="1"/>
  <c r="F22" i="36"/>
  <c r="F26" i="36"/>
  <c r="S26" i="36" s="1"/>
  <c r="H27" i="34"/>
  <c r="H35" i="34"/>
  <c r="U35" i="34" s="1"/>
  <c r="F41" i="34"/>
  <c r="S41" i="34" s="1"/>
  <c r="H41" i="34"/>
  <c r="U41" i="34" s="1"/>
  <c r="J41" i="34"/>
  <c r="F10" i="35"/>
  <c r="S10" i="35" s="1"/>
  <c r="F24" i="35"/>
  <c r="AA24" i="35" s="1"/>
  <c r="H24" i="35"/>
  <c r="AB24" i="35" s="1"/>
  <c r="H23" i="37"/>
  <c r="AB23" i="37" s="1"/>
  <c r="J32" i="37"/>
  <c r="AC32" i="37" s="1"/>
  <c r="F36" i="37"/>
  <c r="AA36" i="37" s="1"/>
  <c r="F37" i="37"/>
  <c r="AA37" i="37" s="1"/>
  <c r="F31" i="40"/>
  <c r="AA31" i="40" s="1"/>
  <c r="H32" i="40"/>
  <c r="AB32" i="40" s="1"/>
  <c r="J36" i="40"/>
  <c r="W36" i="40" s="1"/>
  <c r="H19" i="37"/>
  <c r="J43" i="33"/>
  <c r="AC43" i="33" s="1"/>
  <c r="S28" i="31"/>
  <c r="S27" i="31"/>
  <c r="S26" i="31"/>
  <c r="AB28" i="37"/>
  <c r="AC8" i="37"/>
  <c r="W37" i="34"/>
  <c r="U19" i="21"/>
  <c r="U26" i="21"/>
  <c r="F43" i="33"/>
  <c r="AC15" i="34"/>
  <c r="H37" i="21"/>
  <c r="U37" i="21" s="1"/>
  <c r="S42" i="21"/>
  <c r="H19" i="34"/>
  <c r="H9" i="37"/>
  <c r="J12" i="37"/>
  <c r="W12" i="37" s="1"/>
  <c r="H12" i="37"/>
  <c r="F12" i="37"/>
  <c r="F15" i="37"/>
  <c r="AA15" i="37" s="1"/>
  <c r="F31" i="37"/>
  <c r="S31" i="37" s="1"/>
  <c r="F12" i="39"/>
  <c r="J42" i="39"/>
  <c r="AC42" i="39" s="1"/>
  <c r="H21" i="40"/>
  <c r="H31" i="37"/>
  <c r="U31" i="37" s="1"/>
  <c r="G71" i="37"/>
  <c r="J15" i="37"/>
  <c r="W15" i="37" s="1"/>
  <c r="AT6" i="3"/>
  <c r="C12" i="43"/>
  <c r="H19" i="40"/>
  <c r="U19" i="40" s="1"/>
  <c r="F19" i="40"/>
  <c r="S19" i="40" s="1"/>
  <c r="AB33" i="40"/>
  <c r="W23" i="39"/>
  <c r="H37" i="39"/>
  <c r="W37" i="39"/>
  <c r="H25" i="39"/>
  <c r="J25" i="39"/>
  <c r="W25" i="39" s="1"/>
  <c r="F25" i="39"/>
  <c r="AA25" i="39" s="1"/>
  <c r="F15" i="39"/>
  <c r="AA15" i="39" s="1"/>
  <c r="H15" i="39"/>
  <c r="U15" i="39" s="1"/>
  <c r="J15" i="39"/>
  <c r="W15" i="39" s="1"/>
  <c r="H41" i="39"/>
  <c r="S42" i="39"/>
  <c r="W9" i="39"/>
  <c r="J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F11" i="39"/>
  <c r="AA11" i="39" s="1"/>
  <c r="A12" i="52"/>
  <c r="B56" i="72" s="1"/>
  <c r="G4" i="4"/>
  <c r="I4" i="4"/>
  <c r="A2" i="9"/>
  <c r="F59" i="43"/>
  <c r="H65" i="43" s="1"/>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204" i="3" s="1"/>
  <c r="G512"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202" i="3"/>
  <c r="BA16" i="3"/>
  <c r="BL303" i="3"/>
  <c r="G304" i="3"/>
  <c r="BA306" i="3"/>
  <c r="AZ306" i="3" s="1"/>
  <c r="BL307" i="3"/>
  <c r="G308" i="3"/>
  <c r="BA310" i="3"/>
  <c r="BL311" i="3"/>
  <c r="G312" i="3"/>
  <c r="BA314" i="3"/>
  <c r="BL315" i="3"/>
  <c r="G316" i="3"/>
  <c r="BA318" i="3"/>
  <c r="BL319" i="3"/>
  <c r="G320" i="3"/>
  <c r="BA322" i="3"/>
  <c r="BL323" i="3"/>
  <c r="G324" i="3"/>
  <c r="BA326" i="3"/>
  <c r="BL327" i="3"/>
  <c r="G328" i="3"/>
  <c r="BA330" i="3"/>
  <c r="BL331" i="3"/>
  <c r="G332" i="3"/>
  <c r="BA334" i="3"/>
  <c r="BL335" i="3"/>
  <c r="AZ335" i="3" s="1"/>
  <c r="G336" i="3"/>
  <c r="BA338" i="3"/>
  <c r="BL339" i="3"/>
  <c r="AZ339" i="3" s="1"/>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H5" i="3"/>
  <c r="BQ5" i="3"/>
  <c r="BP5" i="3"/>
  <c r="G17" i="3"/>
  <c r="BA17" i="3"/>
  <c r="BA15" i="3"/>
  <c r="F36" i="43"/>
  <c r="F81" i="43"/>
  <c r="F48" i="43"/>
  <c r="H53" i="43" s="1"/>
  <c r="F70" i="43"/>
  <c r="M11" i="43"/>
  <c r="F39" i="43"/>
  <c r="F35" i="43"/>
  <c r="F6" i="1"/>
  <c r="S14" i="35"/>
  <c r="U10" i="21"/>
  <c r="G8" i="1"/>
  <c r="G9" i="1"/>
  <c r="G10" i="1"/>
  <c r="AC44" i="34"/>
  <c r="J37" i="33"/>
  <c r="W37" i="33" s="1"/>
  <c r="F106" i="33"/>
  <c r="G106" i="33" s="1"/>
  <c r="H106" i="33" s="1"/>
  <c r="I106" i="33" s="1"/>
  <c r="J106" i="33" s="1"/>
  <c r="K106" i="33" s="1"/>
  <c r="L106" i="33" s="1"/>
  <c r="M106" i="33" s="1"/>
  <c r="J34" i="33"/>
  <c r="F33" i="34"/>
  <c r="H20" i="36"/>
  <c r="J20" i="36"/>
  <c r="J27" i="36"/>
  <c r="G111" i="40"/>
  <c r="H111" i="40" s="1"/>
  <c r="I111" i="40" s="1"/>
  <c r="J111" i="40" s="1"/>
  <c r="K111" i="40" s="1"/>
  <c r="L111" i="40" s="1"/>
  <c r="M111" i="40" s="1"/>
  <c r="H35" i="40"/>
  <c r="AB35" i="40" s="1"/>
  <c r="AC29" i="35"/>
  <c r="H35" i="37"/>
  <c r="U35" i="37" s="1"/>
  <c r="H20" i="35"/>
  <c r="F20" i="35"/>
  <c r="AB29" i="36"/>
  <c r="U29" i="36"/>
  <c r="H32" i="37"/>
  <c r="F96" i="37"/>
  <c r="G96" i="37" s="1"/>
  <c r="H96" i="37" s="1"/>
  <c r="I96" i="37" s="1"/>
  <c r="J96" i="37" s="1"/>
  <c r="K96" i="37" s="1"/>
  <c r="L96" i="37" s="1"/>
  <c r="M96" i="37" s="1"/>
  <c r="J27" i="40"/>
  <c r="J30" i="40"/>
  <c r="F30" i="40"/>
  <c r="S31" i="39"/>
  <c r="S11" i="40"/>
  <c r="F10" i="33"/>
  <c r="S10" i="33" s="1"/>
  <c r="F34" i="33"/>
  <c r="H34" i="33"/>
  <c r="F35" i="33"/>
  <c r="S35" i="33" s="1"/>
  <c r="F39" i="34"/>
  <c r="J39" i="34"/>
  <c r="W39" i="34" s="1"/>
  <c r="F40" i="34"/>
  <c r="F43" i="34"/>
  <c r="H44" i="34"/>
  <c r="F39" i="39"/>
  <c r="J39" i="39"/>
  <c r="AC39" i="39" s="1"/>
  <c r="C40" i="11"/>
  <c r="I20" i="43"/>
  <c r="F23" i="39"/>
  <c r="H27" i="36"/>
  <c r="U27" i="36" s="1"/>
  <c r="F27" i="36"/>
  <c r="H33" i="34"/>
  <c r="F32" i="37"/>
  <c r="F20" i="36"/>
  <c r="J33" i="34"/>
  <c r="AC33" i="34" s="1"/>
  <c r="H23" i="39"/>
  <c r="U23" i="39" s="1"/>
  <c r="D48" i="9"/>
  <c r="M52" i="9" s="1"/>
  <c r="K9" i="1"/>
  <c r="M9" i="1" s="1"/>
  <c r="O9" i="1" s="1"/>
  <c r="AE9" i="1"/>
  <c r="D93" i="9"/>
  <c r="K6" i="1"/>
  <c r="M6" i="1" s="1"/>
  <c r="O6" i="1" s="1"/>
  <c r="W27" i="34"/>
  <c r="AC27" i="34"/>
  <c r="AB33" i="36"/>
  <c r="U33" i="36"/>
  <c r="W12" i="39"/>
  <c r="AC39" i="40"/>
  <c r="W39" i="40"/>
  <c r="BL14" i="3"/>
  <c r="AC13" i="34"/>
  <c r="S19" i="39"/>
  <c r="H12" i="39"/>
  <c r="F39" i="40"/>
  <c r="S39" i="40" s="1"/>
  <c r="BA14" i="3"/>
  <c r="AZ197" i="3"/>
  <c r="S12" i="1"/>
  <c r="AQ12" i="1" s="1"/>
  <c r="R12" i="1"/>
  <c r="B12" i="1"/>
  <c r="E12" i="1" s="1"/>
  <c r="S10" i="1"/>
  <c r="AQ10" i="1" s="1"/>
  <c r="R10" i="1"/>
  <c r="B10" i="1"/>
  <c r="E10" i="1" s="1"/>
  <c r="K12" i="1"/>
  <c r="M12" i="1" s="1"/>
  <c r="O12" i="1" s="1"/>
  <c r="S13" i="1"/>
  <c r="AR13" i="1" s="1"/>
  <c r="R13" i="1"/>
  <c r="S11" i="1"/>
  <c r="R11" i="1"/>
  <c r="S9" i="1"/>
  <c r="AR9" i="1" s="1"/>
  <c r="R9" i="1"/>
  <c r="C42" i="1"/>
  <c r="C13" i="12" s="1"/>
  <c r="H100" i="43"/>
  <c r="B41" i="1"/>
  <c r="J100" i="43"/>
  <c r="AB37" i="40"/>
  <c r="AC36" i="40"/>
  <c r="S17" i="40"/>
  <c r="F32" i="39"/>
  <c r="S32" i="39" s="1"/>
  <c r="F106" i="39"/>
  <c r="G106" i="39" s="1"/>
  <c r="H106" i="39" s="1"/>
  <c r="I106" i="39" s="1"/>
  <c r="J106" i="39" s="1"/>
  <c r="K106" i="39" s="1"/>
  <c r="L106" i="39" s="1"/>
  <c r="M106" i="39" s="1"/>
  <c r="AB27" i="39"/>
  <c r="J21" i="39"/>
  <c r="W21" i="39" s="1"/>
  <c r="F21" i="39"/>
  <c r="S21" i="39" s="1"/>
  <c r="G94" i="39"/>
  <c r="H21" i="39"/>
  <c r="U21" i="39" s="1"/>
  <c r="S17" i="39"/>
  <c r="S9" i="39"/>
  <c r="U13" i="36"/>
  <c r="U26" i="36"/>
  <c r="AA34" i="36"/>
  <c r="AC26" i="36"/>
  <c r="S24" i="36"/>
  <c r="U16" i="36"/>
  <c r="S14" i="36"/>
  <c r="U10" i="36"/>
  <c r="W24" i="35"/>
  <c r="U28" i="35"/>
  <c r="U32" i="35"/>
  <c r="AA33" i="35"/>
  <c r="AC30" i="35"/>
  <c r="S32" i="35"/>
  <c r="W32" i="35"/>
  <c r="S28" i="35"/>
  <c r="AB16" i="35"/>
  <c r="U22" i="35"/>
  <c r="AC20" i="35"/>
  <c r="S22" i="35"/>
  <c r="AC10" i="35"/>
  <c r="AB10" i="35"/>
  <c r="S25" i="37"/>
  <c r="AC29" i="37"/>
  <c r="S36" i="37"/>
  <c r="J17" i="37"/>
  <c r="W17" i="37" s="1"/>
  <c r="F17" i="37"/>
  <c r="AB17" i="37"/>
  <c r="F19" i="37"/>
  <c r="AA19" i="37" s="1"/>
  <c r="F79" i="37"/>
  <c r="G79" i="37" s="1"/>
  <c r="F23" i="37"/>
  <c r="S23" i="37" s="1"/>
  <c r="H10" i="37"/>
  <c r="F11" i="37"/>
  <c r="AB8" i="34"/>
  <c r="U39" i="34"/>
  <c r="W34" i="34"/>
  <c r="S23" i="34"/>
  <c r="H10" i="34"/>
  <c r="F11" i="34"/>
  <c r="S11" i="34" s="1"/>
  <c r="F70" i="34"/>
  <c r="G70" i="34" s="1"/>
  <c r="H70" i="34" s="1"/>
  <c r="I70" i="34" s="1"/>
  <c r="J70" i="34" s="1"/>
  <c r="K70" i="34" s="1"/>
  <c r="L70" i="34" s="1"/>
  <c r="M70" i="34" s="1"/>
  <c r="H41" i="33"/>
  <c r="AB41" i="33" s="1"/>
  <c r="F36" i="33"/>
  <c r="AA36" i="33" s="1"/>
  <c r="H108" i="33"/>
  <c r="I108" i="33" s="1"/>
  <c r="J108" i="33" s="1"/>
  <c r="K108" i="33" s="1"/>
  <c r="L108" i="33" s="1"/>
  <c r="M108" i="33" s="1"/>
  <c r="J35" i="33"/>
  <c r="W35" i="33" s="1"/>
  <c r="S37" i="33"/>
  <c r="AA37" i="33"/>
  <c r="F91" i="33"/>
  <c r="G91" i="33" s="1"/>
  <c r="H91" i="33" s="1"/>
  <c r="I91" i="33" s="1"/>
  <c r="J91" i="33" s="1"/>
  <c r="K91" i="33" s="1"/>
  <c r="L91" i="33" s="1"/>
  <c r="M91" i="33" s="1"/>
  <c r="H25" i="33"/>
  <c r="U25" i="33" s="1"/>
  <c r="J23" i="33"/>
  <c r="AC23" i="33" s="1"/>
  <c r="F85" i="33"/>
  <c r="G85" i="33" s="1"/>
  <c r="H23" i="33"/>
  <c r="U23" i="33" s="1"/>
  <c r="F81" i="33"/>
  <c r="G81" i="33" s="1"/>
  <c r="F19" i="33"/>
  <c r="S19" i="33" s="1"/>
  <c r="J17" i="33"/>
  <c r="W17" i="33" s="1"/>
  <c r="I66" i="33"/>
  <c r="J10" i="33"/>
  <c r="AC10" i="33" s="1"/>
  <c r="H10" i="33"/>
  <c r="AB10" i="33" s="1"/>
  <c r="W36" i="21"/>
  <c r="W41" i="21"/>
  <c r="AA36" i="21"/>
  <c r="J15" i="21"/>
  <c r="F77" i="21"/>
  <c r="G77" i="21" s="1"/>
  <c r="F23" i="21"/>
  <c r="S23" i="21" s="1"/>
  <c r="E85" i="21"/>
  <c r="F85" i="21" s="1"/>
  <c r="AA14" i="21"/>
  <c r="S8" i="21"/>
  <c r="M3" i="43"/>
  <c r="M1" i="43"/>
  <c r="N8" i="43"/>
  <c r="D120" i="9"/>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F33" i="43"/>
  <c r="F34" i="43"/>
  <c r="N6" i="43"/>
  <c r="C6" i="43"/>
  <c r="N3" i="43"/>
  <c r="F38" i="43"/>
  <c r="M9" i="43"/>
  <c r="N5" i="43"/>
  <c r="M12" i="43"/>
  <c r="B19" i="53"/>
  <c r="B37" i="72" s="1"/>
  <c r="C7" i="39"/>
  <c r="C67" i="39" s="1"/>
  <c r="C7" i="35"/>
  <c r="C48" i="35" s="1"/>
  <c r="D48" i="35" s="1"/>
  <c r="C58" i="33"/>
  <c r="C7" i="21"/>
  <c r="C58" i="21" s="1"/>
  <c r="C7" i="40"/>
  <c r="C63" i="40" s="1"/>
  <c r="M47" i="9"/>
  <c r="G19" i="43"/>
  <c r="O19" i="43" s="1"/>
  <c r="C19" i="43" s="1"/>
  <c r="T35" i="4"/>
  <c r="A19" i="51" s="1"/>
  <c r="B14" i="72" s="1"/>
  <c r="C46" i="36"/>
  <c r="D46" i="36" s="1"/>
  <c r="E46" i="36" s="1"/>
  <c r="F46" i="36" s="1"/>
  <c r="G46" i="36" s="1"/>
  <c r="H46" i="36" s="1"/>
  <c r="I46" i="36" s="1"/>
  <c r="C52" i="37"/>
  <c r="D52" i="37" s="1"/>
  <c r="A4" i="51"/>
  <c r="B6" i="72" s="1"/>
  <c r="C4" i="12"/>
  <c r="L20" i="6"/>
  <c r="B6" i="1"/>
  <c r="E6" i="1" s="1"/>
  <c r="S8" i="1"/>
  <c r="AQ8" i="1" s="1"/>
  <c r="K11" i="1"/>
  <c r="M11" i="1" s="1"/>
  <c r="O11" i="1" s="1"/>
  <c r="AP6" i="1"/>
  <c r="B9" i="1"/>
  <c r="E9" i="1" s="1"/>
  <c r="K7" i="1"/>
  <c r="G1" i="15"/>
  <c r="G1" i="69"/>
  <c r="G1" i="67"/>
  <c r="U32" i="40"/>
  <c r="S37" i="40"/>
  <c r="AB28" i="40"/>
  <c r="S36" i="40"/>
  <c r="AA15" i="40"/>
  <c r="U8" i="40"/>
  <c r="AC41" i="39"/>
  <c r="AB13" i="39"/>
  <c r="S13" i="39"/>
  <c r="AB11" i="39"/>
  <c r="AA27" i="39"/>
  <c r="W17" i="39"/>
  <c r="AC17" i="39"/>
  <c r="W31" i="39"/>
  <c r="AC31" i="39"/>
  <c r="AB39" i="39"/>
  <c r="U38" i="39"/>
  <c r="W29" i="36"/>
  <c r="AB28" i="36"/>
  <c r="AA13" i="36"/>
  <c r="W9" i="36"/>
  <c r="S24" i="35"/>
  <c r="AA30" i="35"/>
  <c r="U24" i="35"/>
  <c r="AA35" i="37"/>
  <c r="W36" i="37"/>
  <c r="S28" i="37"/>
  <c r="W32" i="37"/>
  <c r="U36" i="37"/>
  <c r="AB37" i="37"/>
  <c r="S33" i="37"/>
  <c r="AA31" i="37"/>
  <c r="AA29" i="37"/>
  <c r="AA8" i="37"/>
  <c r="U25" i="34"/>
  <c r="W33" i="34"/>
  <c r="AC32" i="34"/>
  <c r="W46" i="34"/>
  <c r="U30" i="34"/>
  <c r="S37" i="34"/>
  <c r="U38" i="34"/>
  <c r="AA19" i="34"/>
  <c r="S19" i="34"/>
  <c r="AA8" i="34"/>
  <c r="S8" i="34"/>
  <c r="S46" i="34"/>
  <c r="AA46" i="34"/>
  <c r="U14" i="34"/>
  <c r="AB14" i="34"/>
  <c r="AC43" i="34"/>
  <c r="AC35" i="34"/>
  <c r="W35" i="34"/>
  <c r="U12" i="34"/>
  <c r="AB12" i="34"/>
  <c r="AB28" i="33"/>
  <c r="S33" i="33"/>
  <c r="S31" i="33"/>
  <c r="U37" i="33"/>
  <c r="AA11" i="21"/>
  <c r="F33" i="21"/>
  <c r="S33" i="21" s="1"/>
  <c r="J33" i="21"/>
  <c r="W33" i="21" s="1"/>
  <c r="H33" i="21"/>
  <c r="AB33" i="21" s="1"/>
  <c r="F37" i="21"/>
  <c r="AA37" i="21" s="1"/>
  <c r="AA26" i="21"/>
  <c r="U40" i="21"/>
  <c r="W8" i="21"/>
  <c r="J37" i="21"/>
  <c r="W37" i="21" s="1"/>
  <c r="H15" i="21"/>
  <c r="U15" i="21"/>
  <c r="J17" i="21"/>
  <c r="AC17" i="21" s="1"/>
  <c r="AC19" i="21"/>
  <c r="W39" i="21"/>
  <c r="H45" i="21"/>
  <c r="F13" i="21"/>
  <c r="AA13" i="21" s="1"/>
  <c r="AC38" i="21"/>
  <c r="H32" i="21"/>
  <c r="AB32" i="21" s="1"/>
  <c r="J9" i="21"/>
  <c r="W9" i="21" s="1"/>
  <c r="J32" i="21"/>
  <c r="AC32" i="21" s="1"/>
  <c r="F32" i="21"/>
  <c r="AA32" i="21" s="1"/>
  <c r="AA31" i="21"/>
  <c r="W29" i="21"/>
  <c r="S19" i="21"/>
  <c r="S9" i="21"/>
  <c r="K141" i="21"/>
  <c r="K144" i="21"/>
  <c r="K143" i="21"/>
  <c r="AB25" i="21"/>
  <c r="AA30" i="21"/>
  <c r="W42" i="21"/>
  <c r="AC45" i="21"/>
  <c r="F10" i="21"/>
  <c r="K145" i="21"/>
  <c r="S28" i="21"/>
  <c r="C19" i="39"/>
  <c r="C17" i="40"/>
  <c r="C21" i="40"/>
  <c r="B65" i="43"/>
  <c r="B52" i="43"/>
  <c r="D23" i="15"/>
  <c r="D22" i="15"/>
  <c r="E4" i="4"/>
  <c r="B5" i="62" s="1"/>
  <c r="B73" i="72" s="1"/>
  <c r="C4" i="4"/>
  <c r="M18" i="15"/>
  <c r="AA39" i="40"/>
  <c r="J32" i="39"/>
  <c r="W32" i="39" s="1"/>
  <c r="H32" i="39"/>
  <c r="AB32" i="39" s="1"/>
  <c r="AA32" i="39"/>
  <c r="AA21" i="39"/>
  <c r="J19" i="37"/>
  <c r="W19" i="37" s="1"/>
  <c r="J23" i="37"/>
  <c r="W23" i="37" s="1"/>
  <c r="J10" i="37"/>
  <c r="I60" i="37"/>
  <c r="H11" i="37"/>
  <c r="AB11" i="37" s="1"/>
  <c r="H11" i="34"/>
  <c r="AB11" i="34" s="1"/>
  <c r="J10" i="34"/>
  <c r="AC10" i="34" s="1"/>
  <c r="I67" i="34"/>
  <c r="J36" i="33"/>
  <c r="W36" i="33" s="1"/>
  <c r="S36" i="33"/>
  <c r="F23" i="33"/>
  <c r="AA23" i="33" s="1"/>
  <c r="H19" i="33"/>
  <c r="AB19" i="33" s="1"/>
  <c r="H17" i="33"/>
  <c r="U17" i="33" s="1"/>
  <c r="F17" i="33"/>
  <c r="AA17" i="33" s="1"/>
  <c r="AB15" i="21"/>
  <c r="J23" i="21"/>
  <c r="AC23" i="21" s="1"/>
  <c r="G85" i="21"/>
  <c r="H23" i="21"/>
  <c r="S13" i="21"/>
  <c r="AP7" i="1"/>
  <c r="AC33" i="21"/>
  <c r="A18" i="62"/>
  <c r="B64" i="72" s="1"/>
  <c r="U32" i="39"/>
  <c r="AC32" i="39"/>
  <c r="I63" i="37"/>
  <c r="J63" i="37" s="1"/>
  <c r="K63" i="37" s="1"/>
  <c r="L63" i="37" s="1"/>
  <c r="M63" i="37" s="1"/>
  <c r="J11" i="37"/>
  <c r="AC11" i="37" s="1"/>
  <c r="W10" i="34"/>
  <c r="J11" i="34"/>
  <c r="W11" i="34" s="1"/>
  <c r="U23" i="21"/>
  <c r="AB23" i="21"/>
  <c r="F34" i="11"/>
  <c r="C36" i="11" s="1"/>
  <c r="F11" i="12"/>
  <c r="R8" i="1"/>
  <c r="AE8" i="1"/>
  <c r="AG6" i="1"/>
  <c r="H109" i="9"/>
  <c r="M49" i="9" s="1"/>
  <c r="H112" i="9"/>
  <c r="D21" i="53" s="1"/>
  <c r="B39" i="72" s="1"/>
  <c r="H111" i="9"/>
  <c r="D126" i="9" s="1"/>
  <c r="AD3" i="71"/>
  <c r="J1" i="73"/>
  <c r="H77" i="43"/>
  <c r="H67"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F34" i="68"/>
  <c r="E2" i="68"/>
  <c r="AO10" i="1"/>
  <c r="E10" i="76"/>
  <c r="B13" i="76"/>
  <c r="AO13" i="1"/>
  <c r="D2" i="33"/>
  <c r="M23" i="67"/>
  <c r="B10" i="76"/>
  <c r="E12" i="76"/>
  <c r="B8" i="76"/>
  <c r="E8" i="76"/>
  <c r="M9" i="67"/>
  <c r="E2" i="69"/>
  <c r="E7" i="76"/>
  <c r="D2" i="21"/>
  <c r="E13" i="76"/>
  <c r="D35" i="9"/>
  <c r="B11" i="76"/>
  <c r="F38" i="67"/>
  <c r="B9" i="76"/>
  <c r="F40" i="67"/>
  <c r="AO11" i="1"/>
  <c r="AO9" i="1"/>
  <c r="L48" i="67"/>
  <c r="D2" i="34"/>
  <c r="F4" i="73"/>
  <c r="AO12" i="1"/>
  <c r="F20" i="31"/>
  <c r="D2" i="35"/>
  <c r="F38" i="15"/>
  <c r="F6" i="73"/>
  <c r="E9" i="76"/>
  <c r="M22" i="15"/>
  <c r="D2" i="37"/>
  <c r="M9" i="15"/>
  <c r="J15" i="67"/>
  <c r="AO8" i="1"/>
  <c r="F3" i="73"/>
  <c r="E11" i="76"/>
  <c r="F5" i="73"/>
  <c r="M23" i="15"/>
  <c r="B7" i="76"/>
  <c r="D2" i="36"/>
  <c r="D34" i="9"/>
  <c r="F7" i="73"/>
  <c r="D3" i="73"/>
  <c r="M6" i="67"/>
  <c r="F42" i="67"/>
  <c r="B12" i="76"/>
  <c r="D6" i="73"/>
  <c r="S10" i="21" l="1"/>
  <c r="AA10" i="21"/>
  <c r="U10" i="34"/>
  <c r="AB10" i="34"/>
  <c r="AB10" i="37"/>
  <c r="U10" i="37"/>
  <c r="W10" i="37"/>
  <c r="AC10" i="37"/>
  <c r="AB21" i="39"/>
  <c r="F52" i="9"/>
  <c r="F30" i="85"/>
  <c r="F32" i="83"/>
  <c r="F60" i="83" s="1"/>
  <c r="F28" i="83"/>
  <c r="C28" i="83" s="1"/>
  <c r="M18" i="83"/>
  <c r="S34" i="33"/>
  <c r="AA34" i="33"/>
  <c r="H71" i="43"/>
  <c r="H76" i="43"/>
  <c r="H83" i="43"/>
  <c r="H86" i="43"/>
  <c r="H81" i="43"/>
  <c r="AB37" i="21"/>
  <c r="AC25" i="39"/>
  <c r="AB41" i="34"/>
  <c r="AB35" i="34"/>
  <c r="AC15" i="37"/>
  <c r="AB31" i="37"/>
  <c r="AA10" i="35"/>
  <c r="AA26" i="36"/>
  <c r="AA19" i="40"/>
  <c r="AZ380" i="3"/>
  <c r="AZ377" i="3"/>
  <c r="AZ369" i="3"/>
  <c r="AZ361" i="3"/>
  <c r="AZ345" i="3"/>
  <c r="AZ371" i="3"/>
  <c r="AZ351" i="3"/>
  <c r="AZ200" i="3"/>
  <c r="U40" i="33"/>
  <c r="W8" i="34"/>
  <c r="S40" i="21"/>
  <c r="S31" i="35"/>
  <c r="J12" i="21"/>
  <c r="F38" i="33"/>
  <c r="J38" i="33"/>
  <c r="G505" i="3"/>
  <c r="M20" i="15"/>
  <c r="F34" i="83"/>
  <c r="F62" i="83" s="1"/>
  <c r="M20" i="83"/>
  <c r="G14" i="3"/>
  <c r="F34" i="85"/>
  <c r="G41" i="85"/>
  <c r="G22" i="85"/>
  <c r="BL400" i="3"/>
  <c r="G405" i="3"/>
  <c r="BL408" i="3"/>
  <c r="BA418" i="3"/>
  <c r="AZ418" i="3" s="1"/>
  <c r="BA422" i="3"/>
  <c r="G441" i="3"/>
  <c r="BL444" i="3"/>
  <c r="BL472" i="3"/>
  <c r="BA474" i="3"/>
  <c r="G485" i="3"/>
  <c r="BA486" i="3"/>
  <c r="BL314" i="3"/>
  <c r="AZ314" i="3" s="1"/>
  <c r="G315" i="3"/>
  <c r="BA317" i="3"/>
  <c r="AZ317" i="3" s="1"/>
  <c r="BL317" i="3"/>
  <c r="BL107" i="3"/>
  <c r="BL108" i="3"/>
  <c r="G109" i="3"/>
  <c r="BL112" i="3"/>
  <c r="Y28" i="71"/>
  <c r="Z28" i="71" s="1"/>
  <c r="Y29" i="71"/>
  <c r="Z29" i="71" s="1"/>
  <c r="E19" i="78"/>
  <c r="E19" i="85"/>
  <c r="BL365" i="3"/>
  <c r="AZ365" i="3" s="1"/>
  <c r="G378" i="3"/>
  <c r="BL385" i="3"/>
  <c r="BL393" i="3"/>
  <c r="AZ393" i="3" s="1"/>
  <c r="G208" i="3"/>
  <c r="G232" i="3"/>
  <c r="G236" i="3"/>
  <c r="G138" i="3"/>
  <c r="G162" i="3"/>
  <c r="BL165" i="3"/>
  <c r="BL169" i="3"/>
  <c r="G178" i="3"/>
  <c r="BL181" i="3"/>
  <c r="BL185" i="3"/>
  <c r="G190" i="3"/>
  <c r="BL193" i="3"/>
  <c r="BA194" i="3"/>
  <c r="BA198" i="3"/>
  <c r="BL198" i="3"/>
  <c r="BA201" i="3"/>
  <c r="BL201" i="3"/>
  <c r="AZ201" i="3" s="1"/>
  <c r="G204" i="3"/>
  <c r="G207" i="3"/>
  <c r="BA207" i="3"/>
  <c r="G20" i="3"/>
  <c r="G22" i="3"/>
  <c r="G24" i="3"/>
  <c r="G28" i="3"/>
  <c r="BA29" i="3"/>
  <c r="G30" i="3"/>
  <c r="BL31" i="3"/>
  <c r="G32" i="3"/>
  <c r="G34" i="3"/>
  <c r="G36" i="3"/>
  <c r="G38" i="3"/>
  <c r="G1" i="78"/>
  <c r="G1" i="85"/>
  <c r="G1" i="83"/>
  <c r="C7" i="84"/>
  <c r="C58" i="84" s="1"/>
  <c r="J51" i="83"/>
  <c r="S21" i="37"/>
  <c r="AA28" i="71"/>
  <c r="AB10" i="43"/>
  <c r="U15" i="33"/>
  <c r="B67" i="43"/>
  <c r="AZ310" i="3"/>
  <c r="H42" i="33"/>
  <c r="G560" i="3"/>
  <c r="BA544" i="3"/>
  <c r="BL504" i="3"/>
  <c r="AZ378" i="3"/>
  <c r="AZ360" i="3"/>
  <c r="S11" i="39"/>
  <c r="AC30" i="34"/>
  <c r="G585" i="3"/>
  <c r="BA577" i="3"/>
  <c r="AZ577" i="3" s="1"/>
  <c r="G571" i="3"/>
  <c r="W17" i="21"/>
  <c r="W23" i="21"/>
  <c r="U32" i="21"/>
  <c r="AC37" i="21"/>
  <c r="W25" i="21"/>
  <c r="AC14" i="34"/>
  <c r="S28" i="36"/>
  <c r="H88" i="43"/>
  <c r="AC39" i="34"/>
  <c r="U23" i="37"/>
  <c r="S37" i="37"/>
  <c r="U14" i="35"/>
  <c r="H87" i="43"/>
  <c r="AZ338" i="3"/>
  <c r="AZ327" i="3"/>
  <c r="AZ347" i="3"/>
  <c r="H32" i="34"/>
  <c r="S8" i="33"/>
  <c r="F27" i="34"/>
  <c r="AA27" i="34" s="1"/>
  <c r="C15" i="39"/>
  <c r="H31" i="39"/>
  <c r="H12" i="21"/>
  <c r="H27" i="33"/>
  <c r="U27" i="33" s="1"/>
  <c r="J12" i="34"/>
  <c r="AZ191" i="3"/>
  <c r="AZ343" i="3"/>
  <c r="J12" i="35"/>
  <c r="W12" i="35" s="1"/>
  <c r="H12" i="35"/>
  <c r="BL401" i="3"/>
  <c r="BA403" i="3"/>
  <c r="BL405" i="3"/>
  <c r="G418" i="3"/>
  <c r="G422" i="3"/>
  <c r="BL473" i="3"/>
  <c r="G245" i="3"/>
  <c r="G297" i="3"/>
  <c r="G301" i="3"/>
  <c r="BA302" i="3"/>
  <c r="G115" i="3"/>
  <c r="G119" i="3"/>
  <c r="G143" i="3"/>
  <c r="P27" i="6"/>
  <c r="Y24" i="71"/>
  <c r="Z24" i="71" s="1"/>
  <c r="Y30" i="71"/>
  <c r="Z30" i="71" s="1"/>
  <c r="AI10" i="43"/>
  <c r="B72" i="71"/>
  <c r="B71" i="71" s="1"/>
  <c r="AA10" i="43"/>
  <c r="N56" i="9"/>
  <c r="D3" i="81"/>
  <c r="B2" i="81" s="1"/>
  <c r="D3" i="82"/>
  <c r="B2" i="82" s="1"/>
  <c r="D3" i="80"/>
  <c r="B2" i="80" s="1"/>
  <c r="BL407" i="3"/>
  <c r="BA409" i="3"/>
  <c r="BL415" i="3"/>
  <c r="BA138" i="3"/>
  <c r="C67" i="71"/>
  <c r="D67" i="71" s="1"/>
  <c r="C35" i="71"/>
  <c r="B68" i="71"/>
  <c r="B67" i="71" s="1"/>
  <c r="G566" i="3"/>
  <c r="BA517" i="3"/>
  <c r="BL498" i="3"/>
  <c r="G403" i="3"/>
  <c r="G407" i="3"/>
  <c r="G415" i="3"/>
  <c r="BA416" i="3"/>
  <c r="BA428" i="3"/>
  <c r="BL442" i="3"/>
  <c r="BL446" i="3"/>
  <c r="BA488" i="3"/>
  <c r="G491" i="3"/>
  <c r="BL312" i="3"/>
  <c r="AZ312" i="3" s="1"/>
  <c r="G323" i="3"/>
  <c r="G327" i="3"/>
  <c r="BL383" i="3"/>
  <c r="AZ383" i="3" s="1"/>
  <c r="BA385" i="3"/>
  <c r="G392" i="3"/>
  <c r="BL395" i="3"/>
  <c r="BL209" i="3"/>
  <c r="G218" i="3"/>
  <c r="G234" i="3"/>
  <c r="BL237" i="3"/>
  <c r="BA239" i="3"/>
  <c r="BA141" i="3"/>
  <c r="BL143" i="3"/>
  <c r="AZ143" i="3" s="1"/>
  <c r="G168" i="3"/>
  <c r="G172" i="3"/>
  <c r="BA173" i="3"/>
  <c r="BL175" i="3"/>
  <c r="AZ175" i="3" s="1"/>
  <c r="G184" i="3"/>
  <c r="G188" i="3"/>
  <c r="BA189" i="3"/>
  <c r="BL191" i="3"/>
  <c r="BA193" i="3"/>
  <c r="AZ193" i="3" s="1"/>
  <c r="BL199" i="3"/>
  <c r="AZ199" i="3" s="1"/>
  <c r="BL203" i="3"/>
  <c r="AZ203" i="3" s="1"/>
  <c r="BL206" i="3"/>
  <c r="AZ206" i="3" s="1"/>
  <c r="BL207" i="3"/>
  <c r="AZ207" i="3" s="1"/>
  <c r="BA23" i="3"/>
  <c r="BL25" i="3"/>
  <c r="BA27" i="3"/>
  <c r="BL33" i="3"/>
  <c r="BA35" i="3"/>
  <c r="BL37" i="3"/>
  <c r="BA39" i="3"/>
  <c r="BL41" i="3"/>
  <c r="BL49" i="3"/>
  <c r="BL65" i="3"/>
  <c r="BA75" i="3"/>
  <c r="BA79" i="3"/>
  <c r="BL81" i="3"/>
  <c r="BL85" i="3"/>
  <c r="BA87" i="3"/>
  <c r="BL93" i="3"/>
  <c r="BA95" i="3"/>
  <c r="BL97" i="3"/>
  <c r="BA99" i="3"/>
  <c r="BL101" i="3"/>
  <c r="BA103" i="3"/>
  <c r="AZ103" i="3" s="1"/>
  <c r="BA104" i="3"/>
  <c r="AZ104" i="3" s="1"/>
  <c r="BA105" i="3"/>
  <c r="AZ105" i="3" s="1"/>
  <c r="BA107" i="3"/>
  <c r="BL110" i="3"/>
  <c r="G111" i="3"/>
  <c r="BA112" i="3"/>
  <c r="AA32" i="71"/>
  <c r="AB27" i="71"/>
  <c r="AB28" i="71"/>
  <c r="AB29" i="71"/>
  <c r="Y31" i="71"/>
  <c r="Z31" i="71" s="1"/>
  <c r="S29" i="34"/>
  <c r="AA29" i="34"/>
  <c r="AC36" i="34"/>
  <c r="H28" i="34"/>
  <c r="H12" i="40"/>
  <c r="H25" i="35"/>
  <c r="H47" i="34"/>
  <c r="F44" i="33"/>
  <c r="S44" i="33" s="1"/>
  <c r="H14" i="33"/>
  <c r="U34" i="37"/>
  <c r="W40" i="33"/>
  <c r="AC9" i="40"/>
  <c r="W22" i="35"/>
  <c r="S30" i="36"/>
  <c r="W31" i="37"/>
  <c r="W25" i="37"/>
  <c r="W41" i="33"/>
  <c r="AC30" i="36"/>
  <c r="BA584" i="3"/>
  <c r="G583" i="3"/>
  <c r="G582" i="3"/>
  <c r="G581" i="3"/>
  <c r="BL580" i="3"/>
  <c r="G580" i="3"/>
  <c r="G579" i="3"/>
  <c r="G576" i="3"/>
  <c r="G575" i="3"/>
  <c r="BL574" i="3"/>
  <c r="G574" i="3"/>
  <c r="G570" i="3"/>
  <c r="G569" i="3"/>
  <c r="G568" i="3"/>
  <c r="G567" i="3"/>
  <c r="BA565" i="3"/>
  <c r="G565" i="3"/>
  <c r="G564" i="3"/>
  <c r="G563" i="3"/>
  <c r="G559" i="3"/>
  <c r="BA558" i="3"/>
  <c r="G555" i="3"/>
  <c r="G554" i="3"/>
  <c r="G553" i="3"/>
  <c r="G550" i="3"/>
  <c r="G543" i="3"/>
  <c r="G534" i="3"/>
  <c r="G532" i="3"/>
  <c r="BA529" i="3"/>
  <c r="BL524" i="3"/>
  <c r="BA524" i="3"/>
  <c r="AZ524" i="3" s="1"/>
  <c r="G524" i="3"/>
  <c r="G522" i="3"/>
  <c r="G520" i="3"/>
  <c r="G519" i="3"/>
  <c r="G518" i="3"/>
  <c r="BL516" i="3"/>
  <c r="AZ516" i="3" s="1"/>
  <c r="G516" i="3"/>
  <c r="G515" i="3"/>
  <c r="BL511" i="3"/>
  <c r="BA510" i="3"/>
  <c r="G510" i="3"/>
  <c r="G509" i="3"/>
  <c r="BA507" i="3"/>
  <c r="G506" i="3"/>
  <c r="G502" i="3"/>
  <c r="G501" i="3"/>
  <c r="G498" i="3"/>
  <c r="G497" i="3"/>
  <c r="G496" i="3"/>
  <c r="BI5" i="3"/>
  <c r="BA494" i="3"/>
  <c r="G494" i="3"/>
  <c r="G398" i="3"/>
  <c r="BA399" i="3"/>
  <c r="BL399" i="3"/>
  <c r="BA400" i="3"/>
  <c r="AZ400" i="3" s="1"/>
  <c r="BA401" i="3"/>
  <c r="BA402" i="3"/>
  <c r="AZ402" i="3" s="1"/>
  <c r="BL402" i="3"/>
  <c r="BA404" i="3"/>
  <c r="BL404" i="3"/>
  <c r="BA405" i="3"/>
  <c r="BA406" i="3"/>
  <c r="BL406" i="3"/>
  <c r="BA407" i="3"/>
  <c r="BA408" i="3"/>
  <c r="AZ408" i="3" s="1"/>
  <c r="D16" i="53"/>
  <c r="B34" i="72" s="1"/>
  <c r="C23" i="12"/>
  <c r="W11" i="37"/>
  <c r="W32" i="21"/>
  <c r="W23" i="33"/>
  <c r="AA23" i="37"/>
  <c r="AC37" i="33"/>
  <c r="AB35" i="37"/>
  <c r="H84" i="43"/>
  <c r="H85" i="43"/>
  <c r="AZ17" i="3"/>
  <c r="U35" i="40"/>
  <c r="H82" i="43"/>
  <c r="AZ390" i="3"/>
  <c r="BL410" i="3"/>
  <c r="G411" i="3"/>
  <c r="BA412" i="3"/>
  <c r="G413" i="3"/>
  <c r="BA414" i="3"/>
  <c r="BL414" i="3"/>
  <c r="BA415" i="3"/>
  <c r="BA417" i="3"/>
  <c r="BL417" i="3"/>
  <c r="G420" i="3"/>
  <c r="BA421" i="3"/>
  <c r="BL421" i="3"/>
  <c r="BA423" i="3"/>
  <c r="G424" i="3"/>
  <c r="BA425" i="3"/>
  <c r="G426" i="3"/>
  <c r="BA427" i="3"/>
  <c r="BL427" i="3"/>
  <c r="BL429" i="3"/>
  <c r="G430" i="3"/>
  <c r="BL431" i="3"/>
  <c r="G434" i="3"/>
  <c r="BA441" i="3"/>
  <c r="G444" i="3"/>
  <c r="BA445" i="3"/>
  <c r="BA447" i="3"/>
  <c r="G450" i="3"/>
  <c r="G454" i="3"/>
  <c r="G456" i="3"/>
  <c r="BL457" i="3"/>
  <c r="BA459" i="3"/>
  <c r="BL459" i="3"/>
  <c r="G460" i="3"/>
  <c r="BL461" i="3"/>
  <c r="BL463" i="3"/>
  <c r="G466" i="3"/>
  <c r="BA467" i="3"/>
  <c r="G468" i="3"/>
  <c r="G470" i="3"/>
  <c r="BA471" i="3"/>
  <c r="BL471" i="3"/>
  <c r="BA472" i="3"/>
  <c r="AZ472" i="3" s="1"/>
  <c r="BA473" i="3"/>
  <c r="AZ473" i="3" s="1"/>
  <c r="BL475" i="3"/>
  <c r="G476" i="3"/>
  <c r="BA477" i="3"/>
  <c r="AZ477" i="3" s="1"/>
  <c r="BL477" i="3"/>
  <c r="G478" i="3"/>
  <c r="BL479" i="3"/>
  <c r="BL481" i="3"/>
  <c r="BL485" i="3"/>
  <c r="BL487" i="3"/>
  <c r="BL348" i="3"/>
  <c r="BA352" i="3"/>
  <c r="AZ352" i="3" s="1"/>
  <c r="BL354" i="3"/>
  <c r="BA358" i="3"/>
  <c r="AZ358" i="3" s="1"/>
  <c r="G369" i="3"/>
  <c r="BL208" i="3"/>
  <c r="BA210" i="3"/>
  <c r="G213" i="3"/>
  <c r="G215" i="3"/>
  <c r="BA218" i="3"/>
  <c r="G221" i="3"/>
  <c r="BL222" i="3"/>
  <c r="BL224" i="3"/>
  <c r="G229" i="3"/>
  <c r="BA232" i="3"/>
  <c r="BA234" i="3"/>
  <c r="BL236" i="3"/>
  <c r="BL238" i="3"/>
  <c r="G241" i="3"/>
  <c r="K100" i="43"/>
  <c r="AC21" i="21"/>
  <c r="W18" i="35"/>
  <c r="W29" i="39"/>
  <c r="C83" i="71"/>
  <c r="D83" i="71" s="1"/>
  <c r="AA22" i="71"/>
  <c r="X22" i="71"/>
  <c r="Y22" i="71"/>
  <c r="Z22" i="71" s="1"/>
  <c r="AB34" i="71"/>
  <c r="AA31" i="71"/>
  <c r="B33" i="71"/>
  <c r="S33" i="71" s="1"/>
  <c r="AA26" i="71"/>
  <c r="AA27" i="71"/>
  <c r="Y32" i="71"/>
  <c r="Z32" i="71" s="1"/>
  <c r="Y33" i="71"/>
  <c r="Z33" i="71" s="1"/>
  <c r="AB33" i="71"/>
  <c r="BA241" i="3"/>
  <c r="BA245" i="3"/>
  <c r="G248" i="3"/>
  <c r="G250" i="3"/>
  <c r="G252" i="3"/>
  <c r="BL253" i="3"/>
  <c r="BA255" i="3"/>
  <c r="G256" i="3"/>
  <c r="BA257" i="3"/>
  <c r="G258" i="3"/>
  <c r="BL259" i="3"/>
  <c r="G260" i="3"/>
  <c r="BA261" i="3"/>
  <c r="G262" i="3"/>
  <c r="BL263" i="3"/>
  <c r="G264" i="3"/>
  <c r="BA265" i="3"/>
  <c r="G266" i="3"/>
  <c r="BL267" i="3"/>
  <c r="BL269" i="3"/>
  <c r="BL271" i="3"/>
  <c r="G274" i="3"/>
  <c r="BL275" i="3"/>
  <c r="G276" i="3"/>
  <c r="BL277" i="3"/>
  <c r="G280" i="3"/>
  <c r="G282" i="3"/>
  <c r="BL283" i="3"/>
  <c r="G290" i="3"/>
  <c r="BL291" i="3"/>
  <c r="BA295" i="3"/>
  <c r="BA297" i="3"/>
  <c r="BL301" i="3"/>
  <c r="BA113" i="3"/>
  <c r="BL115" i="3"/>
  <c r="AZ115" i="3" s="1"/>
  <c r="BL119" i="3"/>
  <c r="AZ119" i="3" s="1"/>
  <c r="G122" i="3"/>
  <c r="G124" i="3"/>
  <c r="BL125" i="3"/>
  <c r="BA129" i="3"/>
  <c r="G130" i="3"/>
  <c r="BL131" i="3"/>
  <c r="AZ131" i="3" s="1"/>
  <c r="BL133" i="3"/>
  <c r="G134" i="3"/>
  <c r="BL135" i="3"/>
  <c r="AZ135" i="3" s="1"/>
  <c r="BA137" i="3"/>
  <c r="BL137" i="3"/>
  <c r="BL139" i="3"/>
  <c r="AZ139" i="3" s="1"/>
  <c r="G140" i="3"/>
  <c r="BA142" i="3"/>
  <c r="BL142" i="3"/>
  <c r="BA144" i="3"/>
  <c r="AZ144" i="3" s="1"/>
  <c r="BA146" i="3"/>
  <c r="G147" i="3"/>
  <c r="BL150" i="3"/>
  <c r="BA152" i="3"/>
  <c r="AZ152" i="3" s="1"/>
  <c r="BL154" i="3"/>
  <c r="BA156" i="3"/>
  <c r="AZ156" i="3" s="1"/>
  <c r="G159" i="3"/>
  <c r="BA162" i="3"/>
  <c r="BL166" i="3"/>
  <c r="BA168" i="3"/>
  <c r="AZ168" i="3" s="1"/>
  <c r="BL170" i="3"/>
  <c r="BA172" i="3"/>
  <c r="AZ172" i="3" s="1"/>
  <c r="G175" i="3"/>
  <c r="G61" i="3"/>
  <c r="G65" i="3"/>
  <c r="BL66" i="3"/>
  <c r="BA68" i="3"/>
  <c r="BL70" i="3"/>
  <c r="BL72" i="3"/>
  <c r="G75" i="3"/>
  <c r="G79" i="3"/>
  <c r="G81" i="3"/>
  <c r="BL82" i="3"/>
  <c r="BL84" i="3"/>
  <c r="BL86" i="3"/>
  <c r="G89" i="3"/>
  <c r="AE10" i="43"/>
  <c r="AA12" i="36"/>
  <c r="S12" i="36"/>
  <c r="AB44" i="34"/>
  <c r="U44" i="34"/>
  <c r="AC27" i="40"/>
  <c r="W27" i="40"/>
  <c r="AC41" i="34"/>
  <c r="W41" i="34"/>
  <c r="AB30" i="35"/>
  <c r="U30" i="35"/>
  <c r="AC34" i="39"/>
  <c r="W34" i="39"/>
  <c r="AC23" i="40"/>
  <c r="W23" i="40"/>
  <c r="AA29" i="36"/>
  <c r="S29" i="36"/>
  <c r="AA15" i="33"/>
  <c r="S15" i="33"/>
  <c r="AB33" i="33"/>
  <c r="U33" i="33"/>
  <c r="AA38" i="33"/>
  <c r="S38" i="33"/>
  <c r="J12" i="33"/>
  <c r="F12" i="33"/>
  <c r="U27" i="35"/>
  <c r="AB27" i="35"/>
  <c r="AA8" i="36"/>
  <c r="S8" i="36"/>
  <c r="AC22" i="36"/>
  <c r="W22" i="36"/>
  <c r="AA26" i="37"/>
  <c r="S26" i="37"/>
  <c r="AC26" i="37"/>
  <c r="W26" i="37"/>
  <c r="AB29" i="37"/>
  <c r="U29" i="37"/>
  <c r="AA30" i="37"/>
  <c r="S30" i="37"/>
  <c r="AC30" i="37"/>
  <c r="W30" i="37"/>
  <c r="F13" i="37"/>
  <c r="H13" i="37"/>
  <c r="AC40" i="39"/>
  <c r="W40" i="39"/>
  <c r="AA14" i="39"/>
  <c r="S14" i="39"/>
  <c r="J43" i="39"/>
  <c r="F43" i="39"/>
  <c r="H45" i="39"/>
  <c r="J45" i="39"/>
  <c r="W45" i="39" s="1"/>
  <c r="AA38" i="39"/>
  <c r="S38" i="39"/>
  <c r="W38" i="39"/>
  <c r="AC38" i="39"/>
  <c r="S9" i="40"/>
  <c r="AA9" i="40"/>
  <c r="AA34" i="40"/>
  <c r="S34" i="40"/>
  <c r="J31" i="40"/>
  <c r="H31" i="40"/>
  <c r="W33" i="40"/>
  <c r="AC33" i="40"/>
  <c r="F38" i="40"/>
  <c r="AA38" i="40" s="1"/>
  <c r="H38" i="40"/>
  <c r="AA40" i="33"/>
  <c r="S40" i="33"/>
  <c r="C79" i="35"/>
  <c r="J26" i="35" s="1"/>
  <c r="BL582" i="3"/>
  <c r="BA581" i="3"/>
  <c r="AZ581" i="3" s="1"/>
  <c r="BA580" i="3"/>
  <c r="BL569" i="3"/>
  <c r="AZ569" i="3" s="1"/>
  <c r="BA569" i="3"/>
  <c r="BL568" i="3"/>
  <c r="AZ568" i="3" s="1"/>
  <c r="BA564" i="3"/>
  <c r="BL562" i="3"/>
  <c r="BA561" i="3"/>
  <c r="BA554" i="3"/>
  <c r="AZ554" i="3" s="1"/>
  <c r="BA545" i="3"/>
  <c r="BA536" i="3"/>
  <c r="BL528" i="3"/>
  <c r="BL526" i="3"/>
  <c r="BA523" i="3"/>
  <c r="BA521" i="3"/>
  <c r="BA520" i="3"/>
  <c r="BL515" i="3"/>
  <c r="AZ515" i="3" s="1"/>
  <c r="BL514" i="3"/>
  <c r="BA514" i="3"/>
  <c r="BA513" i="3"/>
  <c r="BL508" i="3"/>
  <c r="AZ508" i="3" s="1"/>
  <c r="BL506" i="3"/>
  <c r="BA506" i="3"/>
  <c r="AZ506" i="3" s="1"/>
  <c r="BA503" i="3"/>
  <c r="BA498" i="3"/>
  <c r="BL496" i="3"/>
  <c r="BA495" i="3"/>
  <c r="BT5" i="3"/>
  <c r="BL493" i="3"/>
  <c r="AB12" i="39"/>
  <c r="U12" i="39"/>
  <c r="AA23" i="39"/>
  <c r="S23" i="39"/>
  <c r="AB32" i="37"/>
  <c r="U32" i="37"/>
  <c r="S12" i="39"/>
  <c r="AA12" i="39"/>
  <c r="AB27" i="34"/>
  <c r="U27" i="34"/>
  <c r="S22" i="36"/>
  <c r="AA22" i="36"/>
  <c r="AB28" i="34"/>
  <c r="U28" i="34"/>
  <c r="AC37" i="40"/>
  <c r="W37" i="40"/>
  <c r="S12" i="40"/>
  <c r="AA12" i="40"/>
  <c r="AB38" i="37"/>
  <c r="U38" i="37"/>
  <c r="AC28" i="37"/>
  <c r="W28" i="37"/>
  <c r="W13" i="36"/>
  <c r="AC13" i="36"/>
  <c r="AC33" i="35"/>
  <c r="W33" i="35"/>
  <c r="AC25" i="34"/>
  <c r="W25" i="34"/>
  <c r="AB15" i="40"/>
  <c r="U15" i="40"/>
  <c r="AA23" i="40"/>
  <c r="S23" i="40"/>
  <c r="U17" i="34"/>
  <c r="AB17" i="34"/>
  <c r="U40" i="34"/>
  <c r="AB40" i="34"/>
  <c r="U39" i="21"/>
  <c r="AB39" i="21"/>
  <c r="AB35" i="21"/>
  <c r="U35" i="21"/>
  <c r="J44" i="21"/>
  <c r="H44" i="21"/>
  <c r="AB44" i="21" s="1"/>
  <c r="U12" i="35"/>
  <c r="AB12" i="35"/>
  <c r="H30" i="33"/>
  <c r="J30" i="33"/>
  <c r="J46" i="33"/>
  <c r="H46" i="33"/>
  <c r="J29" i="34"/>
  <c r="H29" i="34"/>
  <c r="H45" i="34"/>
  <c r="F45" i="34"/>
  <c r="AA45" i="34" s="1"/>
  <c r="F13" i="35"/>
  <c r="H13" i="35"/>
  <c r="AB13" i="35" s="1"/>
  <c r="J35" i="35"/>
  <c r="H35" i="35"/>
  <c r="AB35" i="35" s="1"/>
  <c r="AA10" i="36"/>
  <c r="S10" i="36"/>
  <c r="F32" i="36"/>
  <c r="H32" i="36"/>
  <c r="C24" i="12"/>
  <c r="H49" i="43"/>
  <c r="H48" i="43"/>
  <c r="H54" i="43"/>
  <c r="C77" i="9"/>
  <c r="C74" i="9" s="1"/>
  <c r="H110" i="9"/>
  <c r="D18" i="53" s="1"/>
  <c r="B35" i="72" s="1"/>
  <c r="AC23" i="37"/>
  <c r="S32" i="21"/>
  <c r="S37" i="21"/>
  <c r="U10" i="33"/>
  <c r="H36" i="33"/>
  <c r="U30" i="40"/>
  <c r="C23" i="40"/>
  <c r="C15" i="40"/>
  <c r="AC26" i="21"/>
  <c r="H9" i="21"/>
  <c r="W8" i="33"/>
  <c r="S30" i="33"/>
  <c r="AC23" i="34"/>
  <c r="AA36" i="34"/>
  <c r="AB36" i="34"/>
  <c r="U8" i="37"/>
  <c r="W23" i="36"/>
  <c r="S31" i="40"/>
  <c r="W34" i="40"/>
  <c r="H56" i="43"/>
  <c r="AC42" i="34"/>
  <c r="AC35" i="37"/>
  <c r="S8" i="35"/>
  <c r="U22" i="36"/>
  <c r="AB19" i="40"/>
  <c r="AC17" i="40"/>
  <c r="AA20" i="36"/>
  <c r="S20" i="36"/>
  <c r="S39" i="39"/>
  <c r="AA39" i="39"/>
  <c r="AC21" i="40"/>
  <c r="W27" i="36"/>
  <c r="AC27" i="36"/>
  <c r="AB25" i="39"/>
  <c r="U25" i="39"/>
  <c r="AB37" i="39"/>
  <c r="U37" i="39"/>
  <c r="AB13" i="34"/>
  <c r="U39" i="37"/>
  <c r="AC32" i="36"/>
  <c r="U43" i="33"/>
  <c r="AA41" i="34"/>
  <c r="AC28" i="34"/>
  <c r="BL497" i="3"/>
  <c r="BL501" i="3"/>
  <c r="BL581" i="3"/>
  <c r="F33" i="40"/>
  <c r="H43" i="39"/>
  <c r="AB43" i="39" s="1"/>
  <c r="H25" i="36"/>
  <c r="F35" i="35"/>
  <c r="J25" i="35"/>
  <c r="J47" i="34"/>
  <c r="J45" i="34"/>
  <c r="J31" i="34"/>
  <c r="F13" i="34"/>
  <c r="F46" i="33"/>
  <c r="H44" i="33"/>
  <c r="J14" i="33"/>
  <c r="S11" i="35"/>
  <c r="AA11" i="35"/>
  <c r="S30" i="34"/>
  <c r="AA30" i="34"/>
  <c r="U29" i="33"/>
  <c r="AB29" i="33"/>
  <c r="AA44" i="34"/>
  <c r="S44" i="34"/>
  <c r="W11" i="33"/>
  <c r="AC11" i="33"/>
  <c r="AA38" i="34"/>
  <c r="AB30" i="36"/>
  <c r="AC8" i="35"/>
  <c r="S16" i="35"/>
  <c r="AA16" i="35"/>
  <c r="AC16" i="35"/>
  <c r="W16" i="35"/>
  <c r="U34" i="39"/>
  <c r="AB34" i="39"/>
  <c r="AC40" i="40"/>
  <c r="U35" i="33"/>
  <c r="U31" i="35"/>
  <c r="AC31" i="36"/>
  <c r="W28" i="36"/>
  <c r="W8" i="36"/>
  <c r="J36" i="39"/>
  <c r="H36" i="39"/>
  <c r="F45" i="39"/>
  <c r="AA10" i="34"/>
  <c r="S10" i="34"/>
  <c r="AC36" i="35"/>
  <c r="W36" i="35"/>
  <c r="W14" i="35"/>
  <c r="AC14" i="35"/>
  <c r="H36" i="35"/>
  <c r="F36" i="35"/>
  <c r="AA27" i="35"/>
  <c r="S27" i="35"/>
  <c r="W27" i="35"/>
  <c r="AC27" i="35"/>
  <c r="F40" i="40"/>
  <c r="AC12" i="40"/>
  <c r="W12" i="40"/>
  <c r="H14" i="40"/>
  <c r="F14" i="40"/>
  <c r="AA14" i="40" s="1"/>
  <c r="H27" i="40"/>
  <c r="F27" i="40"/>
  <c r="AA41" i="21"/>
  <c r="S41" i="21"/>
  <c r="AZ334" i="3"/>
  <c r="AZ326" i="3"/>
  <c r="AZ318" i="3"/>
  <c r="AZ344" i="3"/>
  <c r="AZ336" i="3"/>
  <c r="AZ329" i="3"/>
  <c r="AZ305" i="3"/>
  <c r="BL507" i="3"/>
  <c r="AZ507" i="3" s="1"/>
  <c r="BL521" i="3"/>
  <c r="BL525" i="3"/>
  <c r="AZ525" i="3" s="1"/>
  <c r="BL549" i="3"/>
  <c r="BL553" i="3"/>
  <c r="BL565" i="3"/>
  <c r="G584" i="3"/>
  <c r="G552" i="3"/>
  <c r="G551" i="3"/>
  <c r="G549" i="3"/>
  <c r="G546" i="3"/>
  <c r="G544" i="3"/>
  <c r="BA537" i="3"/>
  <c r="BL536" i="3"/>
  <c r="BA532" i="3"/>
  <c r="BA525" i="3"/>
  <c r="G525" i="3"/>
  <c r="G523" i="3"/>
  <c r="BL522" i="3"/>
  <c r="BA522" i="3"/>
  <c r="BL520" i="3"/>
  <c r="BA519" i="3"/>
  <c r="BL518" i="3"/>
  <c r="BA518" i="3"/>
  <c r="G517" i="3"/>
  <c r="BA516" i="3"/>
  <c r="BA515" i="3"/>
  <c r="G514" i="3"/>
  <c r="G513" i="3"/>
  <c r="BL512" i="3"/>
  <c r="BA512" i="3"/>
  <c r="AZ512" i="3" s="1"/>
  <c r="BA511" i="3"/>
  <c r="BL510" i="3"/>
  <c r="AZ510" i="3" s="1"/>
  <c r="BA509" i="3"/>
  <c r="BA508" i="3"/>
  <c r="G508" i="3"/>
  <c r="G507" i="3"/>
  <c r="BA505" i="3"/>
  <c r="BA504" i="3"/>
  <c r="G503" i="3"/>
  <c r="BL502" i="3"/>
  <c r="AZ502" i="3" s="1"/>
  <c r="BA501" i="3"/>
  <c r="BL500" i="3"/>
  <c r="BA500" i="3"/>
  <c r="G500" i="3"/>
  <c r="G499" i="3"/>
  <c r="BA497" i="3"/>
  <c r="BA496" i="3"/>
  <c r="AZ496" i="3" s="1"/>
  <c r="G495" i="3"/>
  <c r="BL494" i="3"/>
  <c r="AZ494" i="3" s="1"/>
  <c r="BA493" i="3"/>
  <c r="G493" i="3"/>
  <c r="C5" i="11"/>
  <c r="G412" i="3"/>
  <c r="BL424" i="3"/>
  <c r="G431" i="3"/>
  <c r="BA432" i="3"/>
  <c r="G433" i="3"/>
  <c r="BA434" i="3"/>
  <c r="AZ434" i="3" s="1"/>
  <c r="BL434" i="3"/>
  <c r="G435" i="3"/>
  <c r="BL436" i="3"/>
  <c r="G437" i="3"/>
  <c r="G439" i="3"/>
  <c r="BA440" i="3"/>
  <c r="BL440" i="3"/>
  <c r="BA442" i="3"/>
  <c r="AZ442" i="3" s="1"/>
  <c r="BA443" i="3"/>
  <c r="BL443" i="3"/>
  <c r="BA444" i="3"/>
  <c r="AZ444" i="3" s="1"/>
  <c r="BA446" i="3"/>
  <c r="AZ446" i="3" s="1"/>
  <c r="BL448" i="3"/>
  <c r="G449" i="3"/>
  <c r="BA450" i="3"/>
  <c r="BL450" i="3"/>
  <c r="G451" i="3"/>
  <c r="BL452" i="3"/>
  <c r="G453" i="3"/>
  <c r="BA454" i="3"/>
  <c r="AZ454" i="3" s="1"/>
  <c r="BL454" i="3"/>
  <c r="G455" i="3"/>
  <c r="BL456" i="3"/>
  <c r="G459" i="3"/>
  <c r="G461" i="3"/>
  <c r="G463" i="3"/>
  <c r="BA464" i="3"/>
  <c r="G465" i="3"/>
  <c r="BL466" i="3"/>
  <c r="G477" i="3"/>
  <c r="G479" i="3"/>
  <c r="BA480" i="3"/>
  <c r="G481" i="3"/>
  <c r="BA482" i="3"/>
  <c r="G483" i="3"/>
  <c r="BA484" i="3"/>
  <c r="BL484" i="3"/>
  <c r="BA485" i="3"/>
  <c r="AZ485" i="3" s="1"/>
  <c r="BA487" i="3"/>
  <c r="G490" i="3"/>
  <c r="BA491" i="3"/>
  <c r="G492" i="3"/>
  <c r="BA303" i="3"/>
  <c r="AZ303" i="3" s="1"/>
  <c r="BA307" i="3"/>
  <c r="AZ307" i="3" s="1"/>
  <c r="BA332" i="3"/>
  <c r="G345" i="3"/>
  <c r="G347" i="3"/>
  <c r="BA348" i="3"/>
  <c r="AZ348" i="3" s="1"/>
  <c r="BA349" i="3"/>
  <c r="AZ349" i="3" s="1"/>
  <c r="BA353" i="3"/>
  <c r="G358" i="3"/>
  <c r="BL359" i="3"/>
  <c r="AZ359" i="3" s="1"/>
  <c r="BL363" i="3"/>
  <c r="AZ363" i="3" s="1"/>
  <c r="G364" i="3"/>
  <c r="BA366" i="3"/>
  <c r="AZ366" i="3" s="1"/>
  <c r="BA368" i="3"/>
  <c r="BL368" i="3"/>
  <c r="G374" i="3"/>
  <c r="BL375" i="3"/>
  <c r="AZ375" i="3" s="1"/>
  <c r="BA388" i="3"/>
  <c r="AZ388" i="3" s="1"/>
  <c r="G396" i="3"/>
  <c r="BA397" i="3"/>
  <c r="BL397" i="3"/>
  <c r="BA208" i="3"/>
  <c r="AZ208" i="3" s="1"/>
  <c r="BA209"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L270" i="3"/>
  <c r="BA272" i="3"/>
  <c r="G273" i="3"/>
  <c r="G277" i="3"/>
  <c r="BA278" i="3"/>
  <c r="G279" i="3"/>
  <c r="BA280" i="3"/>
  <c r="G281" i="3"/>
  <c r="BL282" i="3"/>
  <c r="BA284" i="3"/>
  <c r="G285" i="3"/>
  <c r="BL286" i="3"/>
  <c r="G287" i="3"/>
  <c r="BL288" i="3"/>
  <c r="G289" i="3"/>
  <c r="BL290" i="3"/>
  <c r="BA292" i="3"/>
  <c r="G293" i="3"/>
  <c r="BA294" i="3"/>
  <c r="BL294" i="3"/>
  <c r="BA296" i="3"/>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BL171" i="3"/>
  <c r="AZ171" i="3" s="1"/>
  <c r="BA174" i="3"/>
  <c r="BL174" i="3"/>
  <c r="BA176" i="3"/>
  <c r="AZ176" i="3" s="1"/>
  <c r="BA178" i="3"/>
  <c r="G179" i="3"/>
  <c r="BL182" i="3"/>
  <c r="BA184" i="3"/>
  <c r="AZ184" i="3" s="1"/>
  <c r="BL186" i="3"/>
  <c r="BA188" i="3"/>
  <c r="AZ188" i="3" s="1"/>
  <c r="G191" i="3"/>
  <c r="BA18" i="3"/>
  <c r="G19" i="3"/>
  <c r="BA20" i="3"/>
  <c r="G21" i="3"/>
  <c r="BL22" i="3"/>
  <c r="G25" i="3"/>
  <c r="BL26" i="3"/>
  <c r="G29" i="3"/>
  <c r="AA29" i="71"/>
  <c r="G35" i="3"/>
  <c r="G39" i="3"/>
  <c r="G45" i="3"/>
  <c r="G49" i="3"/>
  <c r="BL50" i="3"/>
  <c r="BA52" i="3"/>
  <c r="G53" i="3"/>
  <c r="BL54" i="3"/>
  <c r="BA56" i="3"/>
  <c r="G57" i="3"/>
  <c r="BL58" i="3"/>
  <c r="G59" i="3"/>
  <c r="BA60" i="3"/>
  <c r="BL60" i="3"/>
  <c r="BL62" i="3"/>
  <c r="G63" i="3"/>
  <c r="BA64" i="3"/>
  <c r="BL64" i="3"/>
  <c r="BA65" i="3"/>
  <c r="AZ65" i="3" s="1"/>
  <c r="BA66" i="3"/>
  <c r="AZ66" i="3" s="1"/>
  <c r="BA67" i="3"/>
  <c r="AZ67" i="3" s="1"/>
  <c r="BA69" i="3"/>
  <c r="BL69" i="3"/>
  <c r="BA70" i="3"/>
  <c r="AZ70" i="3" s="1"/>
  <c r="BA71" i="3"/>
  <c r="AZ71" i="3" s="1"/>
  <c r="BA72" i="3"/>
  <c r="BA74" i="3"/>
  <c r="BL74" i="3"/>
  <c r="BL76" i="3"/>
  <c r="G77" i="3"/>
  <c r="BA78" i="3"/>
  <c r="BL78" i="3"/>
  <c r="BA80" i="3"/>
  <c r="BL80" i="3"/>
  <c r="BA81" i="3"/>
  <c r="AZ81" i="3" s="1"/>
  <c r="BA82" i="3"/>
  <c r="BA83" i="3"/>
  <c r="AZ83" i="3" s="1"/>
  <c r="BA84" i="3"/>
  <c r="AZ84" i="3" s="1"/>
  <c r="BA85" i="3"/>
  <c r="AZ85" i="3" s="1"/>
  <c r="BA86" i="3"/>
  <c r="BA88" i="3"/>
  <c r="BL88" i="3"/>
  <c r="BL90" i="3"/>
  <c r="G91" i="3"/>
  <c r="BL92" i="3"/>
  <c r="BL94" i="3"/>
  <c r="G99" i="3"/>
  <c r="J51" i="15"/>
  <c r="C75" i="71"/>
  <c r="D75" i="71" s="1"/>
  <c r="AB22" i="71"/>
  <c r="AB26" i="71"/>
  <c r="X24" i="71"/>
  <c r="B64" i="71"/>
  <c r="AC12" i="35"/>
  <c r="AC11" i="34"/>
  <c r="AB31" i="34"/>
  <c r="U31" i="34"/>
  <c r="AC44" i="33"/>
  <c r="W44" i="33"/>
  <c r="W31" i="33"/>
  <c r="AC31" i="33"/>
  <c r="U37" i="34"/>
  <c r="AB37" i="34"/>
  <c r="H13" i="21"/>
  <c r="J13" i="21"/>
  <c r="J27" i="21"/>
  <c r="F27" i="21"/>
  <c r="H46" i="21"/>
  <c r="AB46" i="21" s="1"/>
  <c r="F46" i="21"/>
  <c r="E117" i="33"/>
  <c r="F117" i="33" s="1"/>
  <c r="G117" i="33" s="1"/>
  <c r="J39" i="33"/>
  <c r="AC39" i="33" s="1"/>
  <c r="AA9" i="34"/>
  <c r="S9" i="34"/>
  <c r="W12" i="34"/>
  <c r="AC12" i="34"/>
  <c r="AA34" i="34"/>
  <c r="S34" i="34"/>
  <c r="H9" i="34"/>
  <c r="U9" i="34" s="1"/>
  <c r="J9" i="34"/>
  <c r="AB8" i="35"/>
  <c r="U8" i="35"/>
  <c r="J13" i="33"/>
  <c r="AC13" i="33" s="1"/>
  <c r="H13" i="33"/>
  <c r="J29" i="33"/>
  <c r="AC29" i="33" s="1"/>
  <c r="F29" i="33"/>
  <c r="H45" i="33"/>
  <c r="U45" i="33" s="1"/>
  <c r="J45" i="33"/>
  <c r="H34" i="35"/>
  <c r="AB34" i="35" s="1"/>
  <c r="F34" i="35"/>
  <c r="W16" i="36"/>
  <c r="AC16" i="36"/>
  <c r="H34" i="36"/>
  <c r="J34" i="36"/>
  <c r="AB31" i="36"/>
  <c r="U31" i="36"/>
  <c r="AB26" i="37"/>
  <c r="U26" i="37"/>
  <c r="J9" i="37"/>
  <c r="W9" i="37" s="1"/>
  <c r="F9" i="37"/>
  <c r="S9" i="37" s="1"/>
  <c r="H14" i="37"/>
  <c r="F14" i="37"/>
  <c r="J14" i="37"/>
  <c r="AC14" i="37" s="1"/>
  <c r="H44" i="39"/>
  <c r="F44" i="39"/>
  <c r="AA34" i="39"/>
  <c r="S34" i="39"/>
  <c r="AC8" i="40"/>
  <c r="W8" i="40"/>
  <c r="AB40" i="40"/>
  <c r="U40" i="40"/>
  <c r="J32" i="40"/>
  <c r="W32" i="40" s="1"/>
  <c r="F32" i="40"/>
  <c r="W31" i="35"/>
  <c r="AC31" i="35"/>
  <c r="H35" i="39"/>
  <c r="J35" i="39"/>
  <c r="AC35" i="39" s="1"/>
  <c r="BL584" i="3"/>
  <c r="BL583" i="3"/>
  <c r="AZ583" i="3" s="1"/>
  <c r="BA583" i="3"/>
  <c r="BA582" i="3"/>
  <c r="AZ582" i="3" s="1"/>
  <c r="BA549" i="3"/>
  <c r="AZ549" i="3" s="1"/>
  <c r="BL548" i="3"/>
  <c r="BL542" i="3"/>
  <c r="BA540" i="3"/>
  <c r="BL503" i="3"/>
  <c r="AZ503" i="3" s="1"/>
  <c r="U11" i="37"/>
  <c r="AC9" i="21"/>
  <c r="AA33" i="21"/>
  <c r="AC17" i="33"/>
  <c r="AC17" i="37"/>
  <c r="AA35" i="33"/>
  <c r="S15" i="39"/>
  <c r="S15" i="37"/>
  <c r="W37" i="37"/>
  <c r="AZ357" i="3"/>
  <c r="AZ355" i="3"/>
  <c r="S25" i="21"/>
  <c r="AA25" i="21"/>
  <c r="AZ553" i="3"/>
  <c r="AZ498" i="3"/>
  <c r="AZ580" i="3"/>
  <c r="W11" i="35"/>
  <c r="U11" i="35"/>
  <c r="AB11" i="35"/>
  <c r="U46" i="34"/>
  <c r="AB46" i="34"/>
  <c r="S14" i="34"/>
  <c r="AA14" i="34"/>
  <c r="AA29" i="35"/>
  <c r="AA15" i="34"/>
  <c r="S15" i="34"/>
  <c r="AC33" i="37"/>
  <c r="W33" i="37"/>
  <c r="AB40" i="39"/>
  <c r="U40" i="39"/>
  <c r="W34" i="35"/>
  <c r="J33" i="36"/>
  <c r="B77" i="43"/>
  <c r="C25" i="39"/>
  <c r="F12" i="34"/>
  <c r="F12" i="35"/>
  <c r="AC28" i="35"/>
  <c r="W28" i="35"/>
  <c r="J39" i="37"/>
  <c r="F39" i="37"/>
  <c r="J14" i="39"/>
  <c r="AC14" i="39" s="1"/>
  <c r="H14" i="39"/>
  <c r="BA579" i="3"/>
  <c r="BL578" i="3"/>
  <c r="BA578" i="3"/>
  <c r="BL577" i="3"/>
  <c r="BA573" i="3"/>
  <c r="BL572" i="3"/>
  <c r="BA567" i="3"/>
  <c r="BL566" i="3"/>
  <c r="BA566" i="3"/>
  <c r="BL564" i="3"/>
  <c r="AZ564" i="3" s="1"/>
  <c r="BA563" i="3"/>
  <c r="BA562" i="3"/>
  <c r="BL558" i="3"/>
  <c r="BL557" i="3"/>
  <c r="G557" i="3"/>
  <c r="BL556" i="3"/>
  <c r="BA556" i="3"/>
  <c r="BA555" i="3"/>
  <c r="BA552" i="3"/>
  <c r="AZ552" i="3" s="1"/>
  <c r="AZ372" i="3"/>
  <c r="AZ337" i="3"/>
  <c r="AZ304" i="3"/>
  <c r="AZ394" i="3"/>
  <c r="AZ325" i="3"/>
  <c r="BL495" i="3"/>
  <c r="BL499" i="3"/>
  <c r="AZ499" i="3" s="1"/>
  <c r="BL505" i="3"/>
  <c r="AZ505" i="3" s="1"/>
  <c r="BL509" i="3"/>
  <c r="BL513" i="3"/>
  <c r="AZ513" i="3" s="1"/>
  <c r="BL517" i="3"/>
  <c r="AZ517" i="3" s="1"/>
  <c r="BL523" i="3"/>
  <c r="AZ523" i="3" s="1"/>
  <c r="BL551" i="3"/>
  <c r="BL555" i="3"/>
  <c r="BL559" i="3"/>
  <c r="BL563" i="3"/>
  <c r="BL567" i="3"/>
  <c r="AZ567" i="3" s="1"/>
  <c r="BL573" i="3"/>
  <c r="BL579" i="3"/>
  <c r="G558" i="3"/>
  <c r="G556" i="3"/>
  <c r="G548" i="3"/>
  <c r="G547" i="3"/>
  <c r="G545" i="3"/>
  <c r="G526" i="3"/>
  <c r="BL398" i="3"/>
  <c r="G399" i="3"/>
  <c r="BL403" i="3"/>
  <c r="G404" i="3"/>
  <c r="G410" i="3"/>
  <c r="BA411" i="3"/>
  <c r="BL411" i="3"/>
  <c r="BL413" i="3"/>
  <c r="G414" i="3"/>
  <c r="G417" i="3"/>
  <c r="BL418" i="3"/>
  <c r="G419" i="3"/>
  <c r="BL420" i="3"/>
  <c r="G421" i="3"/>
  <c r="BL422" i="3"/>
  <c r="G423" i="3"/>
  <c r="BL423" i="3"/>
  <c r="AZ423" i="3" s="1"/>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BA458" i="3"/>
  <c r="BL458" i="3"/>
  <c r="BA460" i="3"/>
  <c r="BL460" i="3"/>
  <c r="BA461" i="3"/>
  <c r="AZ461" i="3" s="1"/>
  <c r="BA462" i="3"/>
  <c r="BL462" i="3"/>
  <c r="BA463" i="3"/>
  <c r="AZ463" i="3" s="1"/>
  <c r="BA465" i="3"/>
  <c r="BL465" i="3"/>
  <c r="BA466" i="3"/>
  <c r="AZ466" i="3" s="1"/>
  <c r="BL468" i="3"/>
  <c r="G469" i="3"/>
  <c r="BL470" i="3"/>
  <c r="G471" i="3"/>
  <c r="G475" i="3"/>
  <c r="BA476" i="3"/>
  <c r="BL476" i="3"/>
  <c r="BA478" i="3"/>
  <c r="BL478" i="3"/>
  <c r="BA479" i="3"/>
  <c r="AZ479" i="3" s="1"/>
  <c r="BA481" i="3"/>
  <c r="BL483" i="3"/>
  <c r="G484" i="3"/>
  <c r="G487"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6" i="3"/>
  <c r="BL256" i="3"/>
  <c r="BL258" i="3"/>
  <c r="G259" i="3"/>
  <c r="BA260" i="3"/>
  <c r="BL260" i="3"/>
  <c r="BL262" i="3"/>
  <c r="G263" i="3"/>
  <c r="BA264" i="3"/>
  <c r="BL264" i="3"/>
  <c r="BA266" i="3"/>
  <c r="BL266" i="3"/>
  <c r="BA267" i="3"/>
  <c r="BA268" i="3"/>
  <c r="AZ268" i="3" s="1"/>
  <c r="BA269" i="3"/>
  <c r="AZ269" i="3" s="1"/>
  <c r="BA270" i="3"/>
  <c r="AZ270" i="3" s="1"/>
  <c r="BA271" i="3"/>
  <c r="BA273" i="3"/>
  <c r="BL273" i="3"/>
  <c r="BL274" i="3"/>
  <c r="G275" i="3"/>
  <c r="BA276" i="3"/>
  <c r="BL276" i="3"/>
  <c r="BA277" i="3"/>
  <c r="AZ277" i="3" s="1"/>
  <c r="BA279" i="3"/>
  <c r="BL279" i="3"/>
  <c r="BA281" i="3"/>
  <c r="BL281" i="3"/>
  <c r="BA282" i="3"/>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BA150" i="3"/>
  <c r="AZ150" i="3" s="1"/>
  <c r="BL151" i="3"/>
  <c r="AZ151" i="3" s="1"/>
  <c r="BA153" i="3"/>
  <c r="AZ153" i="3" s="1"/>
  <c r="BA154" i="3"/>
  <c r="BL155" i="3"/>
  <c r="AZ155" i="3" s="1"/>
  <c r="BA158" i="3"/>
  <c r="BL158" i="3"/>
  <c r="BA160" i="3"/>
  <c r="AZ160" i="3" s="1"/>
  <c r="G163" i="3"/>
  <c r="G174" i="3"/>
  <c r="BA177" i="3"/>
  <c r="BL177" i="3"/>
  <c r="BL179" i="3"/>
  <c r="AZ179" i="3" s="1"/>
  <c r="G180" i="3"/>
  <c r="BA181" i="3"/>
  <c r="AZ181" i="3" s="1"/>
  <c r="BA182" i="3"/>
  <c r="BL183" i="3"/>
  <c r="AZ183" i="3" s="1"/>
  <c r="BA185" i="3"/>
  <c r="AZ185" i="3" s="1"/>
  <c r="BA186" i="3"/>
  <c r="AZ186" i="3" s="1"/>
  <c r="BL187" i="3"/>
  <c r="AZ187" i="3" s="1"/>
  <c r="BA190" i="3"/>
  <c r="BL190" i="3"/>
  <c r="BA192" i="3"/>
  <c r="AZ192" i="3" s="1"/>
  <c r="G195" i="3"/>
  <c r="G206" i="3"/>
  <c r="BA19" i="3"/>
  <c r="BL19" i="3"/>
  <c r="BA21" i="3"/>
  <c r="BL21" i="3"/>
  <c r="BA22" i="3"/>
  <c r="AZ22" i="3" s="1"/>
  <c r="BA24" i="3"/>
  <c r="BL24" i="3"/>
  <c r="BA25" i="3"/>
  <c r="AZ25" i="3" s="1"/>
  <c r="BA26" i="3"/>
  <c r="AZ26" i="3" s="1"/>
  <c r="BA28" i="3"/>
  <c r="BL28" i="3"/>
  <c r="BL30" i="3"/>
  <c r="G31" i="3"/>
  <c r="BL32" i="3"/>
  <c r="G33" i="3"/>
  <c r="BA34" i="3"/>
  <c r="BL34" i="3"/>
  <c r="BL36" i="3"/>
  <c r="G37" i="3"/>
  <c r="BA38" i="3"/>
  <c r="BL38" i="3"/>
  <c r="BL40" i="3"/>
  <c r="G41" i="3"/>
  <c r="BL42" i="3"/>
  <c r="G43" i="3"/>
  <c r="BA44" i="3"/>
  <c r="BL44" i="3"/>
  <c r="BL46" i="3"/>
  <c r="G47" i="3"/>
  <c r="BA48" i="3"/>
  <c r="BL48" i="3"/>
  <c r="BA49" i="3"/>
  <c r="AZ49" i="3" s="1"/>
  <c r="BA50" i="3"/>
  <c r="BA51" i="3"/>
  <c r="AZ51" i="3" s="1"/>
  <c r="BA53" i="3"/>
  <c r="BL53" i="3"/>
  <c r="BA54" i="3"/>
  <c r="AZ54" i="3" s="1"/>
  <c r="BA55" i="3"/>
  <c r="AZ55" i="3" s="1"/>
  <c r="BL57" i="3"/>
  <c r="G58" i="3"/>
  <c r="BL59" i="3"/>
  <c r="G60" i="3"/>
  <c r="G62" i="3"/>
  <c r="BL63" i="3"/>
  <c r="G64" i="3"/>
  <c r="G69" i="3"/>
  <c r="G74" i="3"/>
  <c r="G76" i="3"/>
  <c r="BL77" i="3"/>
  <c r="G78" i="3"/>
  <c r="G80" i="3"/>
  <c r="G88" i="3"/>
  <c r="G90" i="3"/>
  <c r="BA91" i="3"/>
  <c r="BL91" i="3"/>
  <c r="BA92" i="3"/>
  <c r="AZ92" i="3" s="1"/>
  <c r="C24" i="71"/>
  <c r="D25" i="71"/>
  <c r="U25" i="71" s="1"/>
  <c r="T25" i="71"/>
  <c r="BA93" i="3"/>
  <c r="AZ93" i="3" s="1"/>
  <c r="BA94" i="3"/>
  <c r="AZ94" i="3" s="1"/>
  <c r="BL96" i="3"/>
  <c r="G97" i="3"/>
  <c r="BA98" i="3"/>
  <c r="BL98" i="3"/>
  <c r="BL100" i="3"/>
  <c r="G101" i="3"/>
  <c r="BL102" i="3"/>
  <c r="G103" i="3"/>
  <c r="G107" i="3"/>
  <c r="BL109" i="3"/>
  <c r="G110" i="3"/>
  <c r="BL111" i="3"/>
  <c r="G112" i="3"/>
  <c r="S21" i="34"/>
  <c r="V25" i="71"/>
  <c r="C57" i="71"/>
  <c r="T57" i="71" s="1"/>
  <c r="AA25" i="71"/>
  <c r="AA23" i="71"/>
  <c r="AA3" i="71"/>
  <c r="AB24" i="71"/>
  <c r="C52" i="71"/>
  <c r="E64" i="71"/>
  <c r="Y25" i="71"/>
  <c r="Z25" i="71" s="1"/>
  <c r="Y23" i="71"/>
  <c r="Z23" i="71" s="1"/>
  <c r="X32" i="71"/>
  <c r="X31" i="71"/>
  <c r="Y26" i="71"/>
  <c r="Z26" i="71" s="1"/>
  <c r="E33" i="71"/>
  <c r="U33" i="71" s="1"/>
  <c r="F28" i="71"/>
  <c r="F29" i="71" s="1"/>
  <c r="V29" i="71" s="1"/>
  <c r="Y27" i="71"/>
  <c r="Z27" i="71" s="1"/>
  <c r="X26" i="71"/>
  <c r="AB32" i="71"/>
  <c r="F36" i="71"/>
  <c r="F37" i="71" s="1"/>
  <c r="V37" i="71" s="1"/>
  <c r="K56" i="9"/>
  <c r="S21" i="33"/>
  <c r="D19" i="53"/>
  <c r="S17" i="33"/>
  <c r="AA23" i="21"/>
  <c r="U33" i="21"/>
  <c r="AB23" i="33"/>
  <c r="S19" i="37"/>
  <c r="AR12" i="1"/>
  <c r="AZ391" i="3"/>
  <c r="AZ322" i="3"/>
  <c r="AZ311" i="3"/>
  <c r="AZ389" i="3"/>
  <c r="AZ382" i="3"/>
  <c r="AZ364" i="3"/>
  <c r="AZ356" i="3"/>
  <c r="AZ342" i="3"/>
  <c r="AZ376" i="3"/>
  <c r="AZ362" i="3"/>
  <c r="AZ341" i="3"/>
  <c r="AZ309" i="3"/>
  <c r="AC12" i="37"/>
  <c r="S38" i="40"/>
  <c r="F30" i="11"/>
  <c r="F30" i="78"/>
  <c r="AC32" i="40"/>
  <c r="S22" i="31"/>
  <c r="R22" i="31" s="1"/>
  <c r="BA586" i="3"/>
  <c r="BL585" i="3"/>
  <c r="F9" i="36"/>
  <c r="H9" i="36"/>
  <c r="F23" i="36"/>
  <c r="H23" i="36"/>
  <c r="J38" i="40"/>
  <c r="H39" i="40"/>
  <c r="G578" i="3"/>
  <c r="G577" i="3"/>
  <c r="G573" i="3"/>
  <c r="G572" i="3"/>
  <c r="G562" i="3"/>
  <c r="G561" i="3"/>
  <c r="G542" i="3"/>
  <c r="BA541" i="3"/>
  <c r="G541" i="3"/>
  <c r="G540" i="3"/>
  <c r="BL539" i="3"/>
  <c r="G539" i="3"/>
  <c r="BA538" i="3"/>
  <c r="G538" i="3"/>
  <c r="G537" i="3"/>
  <c r="G536" i="3"/>
  <c r="BL535" i="3"/>
  <c r="G535" i="3"/>
  <c r="BL534" i="3"/>
  <c r="BA534" i="3"/>
  <c r="AZ534" i="3" s="1"/>
  <c r="BA533" i="3"/>
  <c r="G533" i="3"/>
  <c r="BL532" i="3"/>
  <c r="BL531" i="3"/>
  <c r="G531" i="3"/>
  <c r="BA530" i="3"/>
  <c r="G530" i="3"/>
  <c r="G529" i="3"/>
  <c r="BE5" i="3"/>
  <c r="G528" i="3"/>
  <c r="BL527" i="3"/>
  <c r="BL15" i="3"/>
  <c r="AZ15" i="3" s="1"/>
  <c r="G41" i="69"/>
  <c r="G41" i="78"/>
  <c r="G22" i="78"/>
  <c r="AZ403" i="3"/>
  <c r="AZ422" i="3"/>
  <c r="AZ450" i="3"/>
  <c r="AZ459" i="3"/>
  <c r="AZ497" i="3"/>
  <c r="AZ555" i="3"/>
  <c r="AZ565" i="3"/>
  <c r="AZ514" i="3"/>
  <c r="W29" i="33"/>
  <c r="AA44" i="33"/>
  <c r="BA587" i="3"/>
  <c r="BL586" i="3"/>
  <c r="BA550" i="3"/>
  <c r="BA548" i="3"/>
  <c r="BL547" i="3"/>
  <c r="BL544" i="3"/>
  <c r="BL543" i="3"/>
  <c r="BA542" i="3"/>
  <c r="BA13" i="3"/>
  <c r="AZ13" i="3" s="1"/>
  <c r="BO5" i="3"/>
  <c r="BL16" i="3"/>
  <c r="AZ16" i="3" s="1"/>
  <c r="BA398" i="3"/>
  <c r="G401" i="3"/>
  <c r="G402" i="3"/>
  <c r="G406" i="3"/>
  <c r="G408" i="3"/>
  <c r="G409" i="3"/>
  <c r="BL409" i="3"/>
  <c r="BA410" i="3"/>
  <c r="AZ410" i="3" s="1"/>
  <c r="BL412" i="3"/>
  <c r="AZ412" i="3" s="1"/>
  <c r="BA413" i="3"/>
  <c r="G416" i="3"/>
  <c r="BL416" i="3"/>
  <c r="BA419" i="3"/>
  <c r="BL419" i="3"/>
  <c r="BA420" i="3"/>
  <c r="AZ420" i="3" s="1"/>
  <c r="G425" i="3"/>
  <c r="BL425" i="3"/>
  <c r="BA426" i="3"/>
  <c r="AZ426" i="3" s="1"/>
  <c r="BL428" i="3"/>
  <c r="AZ428" i="3" s="1"/>
  <c r="BA429" i="3"/>
  <c r="AZ429" i="3" s="1"/>
  <c r="G432" i="3"/>
  <c r="BL432" i="3"/>
  <c r="BA435" i="3"/>
  <c r="BL435" i="3"/>
  <c r="BA436" i="3"/>
  <c r="AZ436" i="3" s="1"/>
  <c r="BA437" i="3"/>
  <c r="BA438" i="3"/>
  <c r="BL438" i="3"/>
  <c r="BA439" i="3"/>
  <c r="AZ439" i="3" s="1"/>
  <c r="BL441" i="3"/>
  <c r="AZ441" i="3" s="1"/>
  <c r="G443" i="3"/>
  <c r="G445" i="3"/>
  <c r="BL445" i="3"/>
  <c r="G447" i="3"/>
  <c r="BL447" i="3"/>
  <c r="AZ447" i="3" s="1"/>
  <c r="BA448" i="3"/>
  <c r="AZ448" i="3" s="1"/>
  <c r="BA451" i="3"/>
  <c r="BL451" i="3"/>
  <c r="BA452" i="3"/>
  <c r="AZ452" i="3" s="1"/>
  <c r="G457" i="3"/>
  <c r="G458" i="3"/>
  <c r="G462" i="3"/>
  <c r="G464" i="3"/>
  <c r="BL464" i="3"/>
  <c r="G467" i="3"/>
  <c r="BL467" i="3"/>
  <c r="BA468" i="3"/>
  <c r="AZ468" i="3" s="1"/>
  <c r="BA469" i="3"/>
  <c r="BL469" i="3"/>
  <c r="BA470" i="3"/>
  <c r="G473" i="3"/>
  <c r="G474" i="3"/>
  <c r="BL474" i="3"/>
  <c r="BA475" i="3"/>
  <c r="G480" i="3"/>
  <c r="BL480" i="3"/>
  <c r="G482" i="3"/>
  <c r="BL482" i="3"/>
  <c r="BA483" i="3"/>
  <c r="AZ483" i="3" s="1"/>
  <c r="G486" i="3"/>
  <c r="BL486" i="3"/>
  <c r="G488" i="3"/>
  <c r="BL488" i="3"/>
  <c r="BA489" i="3"/>
  <c r="BL489" i="3"/>
  <c r="BL491" i="3"/>
  <c r="AZ491" i="3" s="1"/>
  <c r="BA492" i="3"/>
  <c r="AZ492" i="3" s="1"/>
  <c r="G313" i="3"/>
  <c r="BA315" i="3"/>
  <c r="AZ315" i="3" s="1"/>
  <c r="BL316" i="3"/>
  <c r="AZ316" i="3" s="1"/>
  <c r="G318" i="3"/>
  <c r="G329" i="3"/>
  <c r="BA331" i="3"/>
  <c r="AZ331" i="3" s="1"/>
  <c r="BL332" i="3"/>
  <c r="AZ332" i="3" s="1"/>
  <c r="G334" i="3"/>
  <c r="BL346" i="3"/>
  <c r="AZ346" i="3" s="1"/>
  <c r="G349" i="3"/>
  <c r="BA350" i="3"/>
  <c r="BL353" i="3"/>
  <c r="AZ353" i="3" s="1"/>
  <c r="G362" i="3"/>
  <c r="G366" i="3"/>
  <c r="BA367" i="3"/>
  <c r="AZ367" i="3" s="1"/>
  <c r="BA370" i="3"/>
  <c r="AZ370" i="3" s="1"/>
  <c r="BA374" i="3"/>
  <c r="AZ374" i="3" s="1"/>
  <c r="G380" i="3"/>
  <c r="G384" i="3"/>
  <c r="BA386" i="3"/>
  <c r="AZ386" i="3" s="1"/>
  <c r="BA395" i="3"/>
  <c r="AZ395" i="3" s="1"/>
  <c r="BA396" i="3"/>
  <c r="AZ396" i="3" s="1"/>
  <c r="G209" i="3"/>
  <c r="G210" i="3"/>
  <c r="BL210" i="3"/>
  <c r="BA211" i="3"/>
  <c r="AZ211" i="3" s="1"/>
  <c r="BL213" i="3"/>
  <c r="BL215" i="3"/>
  <c r="AZ215" i="3" s="1"/>
  <c r="BA216" i="3"/>
  <c r="BL218" i="3"/>
  <c r="AZ218" i="3" s="1"/>
  <c r="BA219" i="3"/>
  <c r="G222" i="3"/>
  <c r="G223" i="3"/>
  <c r="G224" i="3"/>
  <c r="G225" i="3"/>
  <c r="BL225" i="3"/>
  <c r="BA226" i="3"/>
  <c r="AZ226" i="3" s="1"/>
  <c r="BA227" i="3"/>
  <c r="AZ227" i="3" s="1"/>
  <c r="BL229" i="3"/>
  <c r="BA230" i="3"/>
  <c r="AZ230" i="3" s="1"/>
  <c r="BL232" i="3"/>
  <c r="AZ232" i="3" s="1"/>
  <c r="BL234" i="3"/>
  <c r="AZ234" i="3" s="1"/>
  <c r="G237" i="3"/>
  <c r="G238" i="3"/>
  <c r="G239" i="3"/>
  <c r="BL239" i="3"/>
  <c r="AZ239" i="3" s="1"/>
  <c r="BL241" i="3"/>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BA262" i="3"/>
  <c r="AZ262" i="3" s="1"/>
  <c r="BA263" i="3"/>
  <c r="BL265" i="3"/>
  <c r="AZ265" i="3" s="1"/>
  <c r="G268" i="3"/>
  <c r="G269" i="3"/>
  <c r="G270" i="3"/>
  <c r="G271" i="3"/>
  <c r="G272" i="3"/>
  <c r="BL272" i="3"/>
  <c r="AZ272" i="3" s="1"/>
  <c r="BA274" i="3"/>
  <c r="BA275" i="3"/>
  <c r="AZ275" i="3" s="1"/>
  <c r="G278" i="3"/>
  <c r="BL278" i="3"/>
  <c r="AZ278" i="3" s="1"/>
  <c r="BL280" i="3"/>
  <c r="G283" i="3"/>
  <c r="G284" i="3"/>
  <c r="BL284" i="3"/>
  <c r="BA285" i="3"/>
  <c r="AZ285" i="3" s="1"/>
  <c r="BA286" i="3"/>
  <c r="AZ286" i="3" s="1"/>
  <c r="BA287" i="3"/>
  <c r="AZ287" i="3" s="1"/>
  <c r="BA288" i="3"/>
  <c r="AZ288" i="3" s="1"/>
  <c r="G291" i="3"/>
  <c r="G292" i="3"/>
  <c r="BL292" i="3"/>
  <c r="BA293" i="3"/>
  <c r="AZ293" i="3" s="1"/>
  <c r="BL295" i="3"/>
  <c r="BL297" i="3"/>
  <c r="AZ297" i="3" s="1"/>
  <c r="BA298" i="3"/>
  <c r="BA299" i="3"/>
  <c r="AZ299" i="3" s="1"/>
  <c r="G302" i="3"/>
  <c r="BL302" i="3"/>
  <c r="AZ302" i="3" s="1"/>
  <c r="BL113" i="3"/>
  <c r="AZ113" i="3" s="1"/>
  <c r="G116" i="3"/>
  <c r="BA117" i="3"/>
  <c r="G120" i="3"/>
  <c r="G123" i="3"/>
  <c r="G126" i="3"/>
  <c r="BL126" i="3"/>
  <c r="BA128" i="3"/>
  <c r="AZ128" i="3" s="1"/>
  <c r="BL129" i="3"/>
  <c r="G132" i="3"/>
  <c r="BA133" i="3"/>
  <c r="AZ126" i="3"/>
  <c r="AZ129" i="3"/>
  <c r="G136" i="3"/>
  <c r="BL138" i="3"/>
  <c r="AZ138" i="3" s="1"/>
  <c r="BA140" i="3"/>
  <c r="AZ140" i="3" s="1"/>
  <c r="BL141" i="3"/>
  <c r="AZ141" i="3" s="1"/>
  <c r="G144" i="3"/>
  <c r="BL146" i="3"/>
  <c r="BA148" i="3"/>
  <c r="AZ148" i="3" s="1"/>
  <c r="G150" i="3"/>
  <c r="G151" i="3"/>
  <c r="G154" i="3"/>
  <c r="G155" i="3"/>
  <c r="BL157" i="3"/>
  <c r="G160" i="3"/>
  <c r="BL162" i="3"/>
  <c r="AZ162" i="3" s="1"/>
  <c r="BA164" i="3"/>
  <c r="AZ164" i="3" s="1"/>
  <c r="G166" i="3"/>
  <c r="G167" i="3"/>
  <c r="G170" i="3"/>
  <c r="G171" i="3"/>
  <c r="BL173" i="3"/>
  <c r="AZ173" i="3" s="1"/>
  <c r="G176" i="3"/>
  <c r="BL178" i="3"/>
  <c r="BA180" i="3"/>
  <c r="AZ180" i="3" s="1"/>
  <c r="G182" i="3"/>
  <c r="G183" i="3"/>
  <c r="G186" i="3"/>
  <c r="G187" i="3"/>
  <c r="BL189" i="3"/>
  <c r="AZ189" i="3" s="1"/>
  <c r="G192" i="3"/>
  <c r="BL194" i="3"/>
  <c r="BA196" i="3"/>
  <c r="AZ196" i="3" s="1"/>
  <c r="G198" i="3"/>
  <c r="G199" i="3"/>
  <c r="G202" i="3"/>
  <c r="G203" i="3"/>
  <c r="G205" i="3"/>
  <c r="BL205" i="3"/>
  <c r="G18" i="3"/>
  <c r="BL18" i="3"/>
  <c r="BL20" i="3"/>
  <c r="AZ20" i="3" s="1"/>
  <c r="G23" i="3"/>
  <c r="BL23" i="3"/>
  <c r="G26" i="3"/>
  <c r="G27" i="3"/>
  <c r="BL27" i="3"/>
  <c r="BL29" i="3"/>
  <c r="BA30" i="3"/>
  <c r="AZ30" i="3" s="1"/>
  <c r="BA31" i="3"/>
  <c r="BA32" i="3"/>
  <c r="AZ32" i="3" s="1"/>
  <c r="BA33" i="3"/>
  <c r="AZ33" i="3" s="1"/>
  <c r="BL35" i="3"/>
  <c r="AZ35" i="3" s="1"/>
  <c r="BA36" i="3"/>
  <c r="BA37" i="3"/>
  <c r="AZ37" i="3" s="1"/>
  <c r="BL39" i="3"/>
  <c r="BA40" i="3"/>
  <c r="AZ40" i="3" s="1"/>
  <c r="BA41" i="3"/>
  <c r="AZ41" i="3" s="1"/>
  <c r="BA42" i="3"/>
  <c r="AZ42" i="3" s="1"/>
  <c r="BA43" i="3"/>
  <c r="AZ43" i="3" s="1"/>
  <c r="BL45" i="3"/>
  <c r="AZ45" i="3" s="1"/>
  <c r="BA46" i="3"/>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BA76" i="3"/>
  <c r="AZ76" i="3" s="1"/>
  <c r="BA77" i="3"/>
  <c r="BL79" i="3"/>
  <c r="AZ79" i="3" s="1"/>
  <c r="G82" i="3"/>
  <c r="G83" i="3"/>
  <c r="G84" i="3"/>
  <c r="G85" i="3"/>
  <c r="G86" i="3"/>
  <c r="G87" i="3"/>
  <c r="J51" i="67"/>
  <c r="C25" i="40"/>
  <c r="B75" i="43"/>
  <c r="B66" i="43"/>
  <c r="C29" i="39"/>
  <c r="C32" i="71"/>
  <c r="D31" i="71"/>
  <c r="C60" i="71"/>
  <c r="D59" i="71"/>
  <c r="BL87" i="3"/>
  <c r="AZ87" i="3" s="1"/>
  <c r="BL89" i="3"/>
  <c r="AZ89" i="3" s="1"/>
  <c r="BA90" i="3"/>
  <c r="AZ90" i="3" s="1"/>
  <c r="G93" i="3"/>
  <c r="G94" i="3"/>
  <c r="G95" i="3"/>
  <c r="BL95" i="3"/>
  <c r="BA96" i="3"/>
  <c r="AZ96" i="3" s="1"/>
  <c r="BA97" i="3"/>
  <c r="AZ97" i="3" s="1"/>
  <c r="BL99" i="3"/>
  <c r="AZ99" i="3" s="1"/>
  <c r="BA100" i="3"/>
  <c r="AZ100" i="3" s="1"/>
  <c r="BA101" i="3"/>
  <c r="AZ101" i="3" s="1"/>
  <c r="BA102" i="3"/>
  <c r="AZ102" i="3" s="1"/>
  <c r="G105" i="3"/>
  <c r="G106" i="3"/>
  <c r="BL106" i="3"/>
  <c r="AZ106" i="3" s="1"/>
  <c r="BA108" i="3"/>
  <c r="AZ108" i="3" s="1"/>
  <c r="BA109" i="3"/>
  <c r="AZ109" i="3" s="1"/>
  <c r="BA110" i="3"/>
  <c r="AZ110" i="3" s="1"/>
  <c r="BA111" i="3"/>
  <c r="E59" i="43"/>
  <c r="B57" i="43" s="1"/>
  <c r="W21" i="34"/>
  <c r="AA18" i="36"/>
  <c r="S18" i="36"/>
  <c r="B24" i="71"/>
  <c r="B23" i="71" s="1"/>
  <c r="S25" i="71"/>
  <c r="C28" i="71"/>
  <c r="D27" i="71"/>
  <c r="E20" i="71"/>
  <c r="E19" i="71" s="1"/>
  <c r="E18" i="71" s="1"/>
  <c r="E17" i="71" s="1"/>
  <c r="E16" i="71" s="1"/>
  <c r="E15" i="71" s="1"/>
  <c r="E14" i="71" s="1"/>
  <c r="E13" i="71" s="1"/>
  <c r="V21" i="71"/>
  <c r="AB25" i="71"/>
  <c r="AB23" i="71"/>
  <c r="C64" i="71"/>
  <c r="X25" i="71"/>
  <c r="X23" i="71"/>
  <c r="AB30" i="71"/>
  <c r="X29" i="71"/>
  <c r="X28" i="71"/>
  <c r="X27" i="71"/>
  <c r="B40" i="71"/>
  <c r="B41" i="71" s="1"/>
  <c r="S41" i="71" s="1"/>
  <c r="B44" i="71"/>
  <c r="B45" i="71" s="1"/>
  <c r="S45" i="71" s="1"/>
  <c r="E52" i="71"/>
  <c r="E53" i="71" s="1"/>
  <c r="U53" i="71" s="1"/>
  <c r="B56" i="71"/>
  <c r="B57" i="71" s="1"/>
  <c r="S57" i="71" s="1"/>
  <c r="E56" i="71"/>
  <c r="E57" i="71" s="1"/>
  <c r="U57" i="71" s="1"/>
  <c r="AJ10" i="43"/>
  <c r="J52" i="67"/>
  <c r="Q51" i="67" s="1"/>
  <c r="F42" i="33"/>
  <c r="J42" i="33"/>
  <c r="C40" i="69"/>
  <c r="P74" i="67"/>
  <c r="J25" i="33"/>
  <c r="W25" i="33" s="1"/>
  <c r="F25" i="33"/>
  <c r="S25" i="33" s="1"/>
  <c r="H32" i="33"/>
  <c r="AB32" i="33" s="1"/>
  <c r="F101" i="33"/>
  <c r="G101" i="33" s="1"/>
  <c r="H101" i="33" s="1"/>
  <c r="I101" i="33" s="1"/>
  <c r="J101" i="33" s="1"/>
  <c r="K101" i="33" s="1"/>
  <c r="L101" i="33" s="1"/>
  <c r="M101" i="33" s="1"/>
  <c r="W39" i="33"/>
  <c r="AC36" i="33"/>
  <c r="J32" i="33"/>
  <c r="AC32" i="33" s="1"/>
  <c r="F32" i="33"/>
  <c r="AA32" i="33" s="1"/>
  <c r="AB25" i="33"/>
  <c r="AB21" i="33"/>
  <c r="AC28" i="33"/>
  <c r="S28" i="33"/>
  <c r="B60" i="43"/>
  <c r="AB45" i="33"/>
  <c r="W43" i="33"/>
  <c r="F45" i="33"/>
  <c r="U39" i="33"/>
  <c r="AC35" i="33"/>
  <c r="S32" i="33"/>
  <c r="U32" i="33"/>
  <c r="S23" i="33"/>
  <c r="W21" i="33"/>
  <c r="AA19" i="33"/>
  <c r="AB17" i="33"/>
  <c r="B63" i="43"/>
  <c r="B54" i="43"/>
  <c r="C27" i="39"/>
  <c r="B49" i="43"/>
  <c r="C21" i="39"/>
  <c r="W10" i="33"/>
  <c r="AA13" i="33"/>
  <c r="AA14" i="33"/>
  <c r="AB12" i="33"/>
  <c r="U8" i="33"/>
  <c r="K5" i="4"/>
  <c r="B47" i="48" s="1"/>
  <c r="F30" i="69"/>
  <c r="F48" i="69" s="1"/>
  <c r="C21" i="69"/>
  <c r="D22" i="67"/>
  <c r="C20" i="43"/>
  <c r="G6" i="1"/>
  <c r="T10" i="1"/>
  <c r="L27" i="6"/>
  <c r="T13" i="1"/>
  <c r="AQ13" i="1"/>
  <c r="T12" i="1"/>
  <c r="G101" i="43"/>
  <c r="J101" i="43"/>
  <c r="J104" i="43" s="1"/>
  <c r="H101" i="43"/>
  <c r="B113" i="43"/>
  <c r="B116" i="43" s="1"/>
  <c r="C116" i="43" s="1"/>
  <c r="C101" i="43"/>
  <c r="N104" i="46"/>
  <c r="L101" i="43"/>
  <c r="G22" i="43"/>
  <c r="AQ9" i="1"/>
  <c r="O10" i="1"/>
  <c r="P10" i="1" s="1"/>
  <c r="T8" i="1"/>
  <c r="T9" i="1"/>
  <c r="AR10" i="1"/>
  <c r="I116" i="43"/>
  <c r="J116" i="43" s="1"/>
  <c r="K116" i="43" s="1"/>
  <c r="L116" i="43" s="1"/>
  <c r="M116" i="43" s="1"/>
  <c r="BR5" i="3"/>
  <c r="G28" i="6" s="1"/>
  <c r="BD5" i="3"/>
  <c r="H60" i="43"/>
  <c r="F37" i="43"/>
  <c r="K17" i="43"/>
  <c r="C17" i="43"/>
  <c r="J17" i="43"/>
  <c r="I17" i="43"/>
  <c r="D17" i="43"/>
  <c r="H113" i="43"/>
  <c r="G7" i="1"/>
  <c r="C69" i="39"/>
  <c r="D67" i="39"/>
  <c r="D69" i="39" s="1"/>
  <c r="V17" i="71"/>
  <c r="L68" i="9"/>
  <c r="M68" i="9" s="1"/>
  <c r="L65" i="9"/>
  <c r="M65" i="9" s="1"/>
  <c r="L66" i="9"/>
  <c r="M66" i="9" s="1"/>
  <c r="L64" i="9"/>
  <c r="M64" i="9" s="1"/>
  <c r="L63" i="9"/>
  <c r="M63" i="9" s="1"/>
  <c r="M69" i="9" s="1"/>
  <c r="N69" i="9" s="1"/>
  <c r="L67" i="9"/>
  <c r="M67" i="9" s="1"/>
  <c r="I14" i="74"/>
  <c r="B8" i="74" s="1"/>
  <c r="D127" i="9"/>
  <c r="D13" i="52" s="1"/>
  <c r="D12" i="52"/>
  <c r="AC44" i="21"/>
  <c r="W44" i="21"/>
  <c r="L109" i="43"/>
  <c r="L105" i="43"/>
  <c r="D121" i="9"/>
  <c r="D7" i="52" s="1"/>
  <c r="D6" i="52"/>
  <c r="C104" i="43"/>
  <c r="C105" i="43"/>
  <c r="D117" i="43"/>
  <c r="E117" i="43" s="1"/>
  <c r="F117" i="43" s="1"/>
  <c r="G117" i="43" s="1"/>
  <c r="H117" i="43" s="1"/>
  <c r="D118" i="43"/>
  <c r="E118" i="43" s="1"/>
  <c r="F118" i="43" s="1"/>
  <c r="S40" i="34"/>
  <c r="AA40" i="34"/>
  <c r="S39" i="34"/>
  <c r="AA39" i="34"/>
  <c r="U34" i="33"/>
  <c r="AB34" i="33"/>
  <c r="AC30" i="40"/>
  <c r="W30" i="40"/>
  <c r="AA20" i="35"/>
  <c r="S20" i="35"/>
  <c r="S33" i="34"/>
  <c r="AA33" i="34"/>
  <c r="H52" i="43"/>
  <c r="H55" i="43"/>
  <c r="AB41" i="39"/>
  <c r="U41" i="39"/>
  <c r="AB19" i="34"/>
  <c r="U19" i="34"/>
  <c r="AZ521" i="3"/>
  <c r="AZ544" i="3"/>
  <c r="AA17" i="21"/>
  <c r="S17" i="21"/>
  <c r="W13" i="39"/>
  <c r="AC13" i="39"/>
  <c r="S38" i="37"/>
  <c r="AA38" i="37"/>
  <c r="S25" i="36"/>
  <c r="AA25" i="36"/>
  <c r="AC35" i="35"/>
  <c r="W35" i="35"/>
  <c r="U13" i="35"/>
  <c r="S13" i="35"/>
  <c r="AA13" i="35"/>
  <c r="S47" i="34"/>
  <c r="AA47" i="34"/>
  <c r="S45" i="34"/>
  <c r="U45" i="34"/>
  <c r="AB45" i="34"/>
  <c r="AB30" i="33"/>
  <c r="U30" i="33"/>
  <c r="AA45" i="21"/>
  <c r="S45" i="21"/>
  <c r="AC31" i="21"/>
  <c r="W31" i="21"/>
  <c r="AC13" i="21"/>
  <c r="W13" i="21"/>
  <c r="AA46" i="21"/>
  <c r="S46" i="21"/>
  <c r="U46" i="21"/>
  <c r="U44" i="21"/>
  <c r="U30" i="21"/>
  <c r="AB30" i="21"/>
  <c r="W14" i="21"/>
  <c r="AC14" i="21"/>
  <c r="AA28" i="40"/>
  <c r="S28" i="40"/>
  <c r="W17" i="34"/>
  <c r="AC17" i="34"/>
  <c r="AC19" i="33"/>
  <c r="W19" i="33"/>
  <c r="AA41" i="33"/>
  <c r="S41" i="33"/>
  <c r="W34" i="37"/>
  <c r="AC34" i="37"/>
  <c r="AA37" i="39"/>
  <c r="S37" i="39"/>
  <c r="AC27" i="39"/>
  <c r="W27" i="39"/>
  <c r="AA21" i="40"/>
  <c r="S21" i="40"/>
  <c r="S41" i="39"/>
  <c r="AA41" i="39"/>
  <c r="S38" i="21"/>
  <c r="AA38" i="21"/>
  <c r="U38" i="21"/>
  <c r="AB38" i="21"/>
  <c r="BL587" i="3"/>
  <c r="AZ587" i="3" s="1"/>
  <c r="AA35" i="34"/>
  <c r="S35" i="34"/>
  <c r="U34" i="35"/>
  <c r="J9" i="35"/>
  <c r="H9" i="35"/>
  <c r="H40" i="37"/>
  <c r="J40" i="37"/>
  <c r="F40" i="37"/>
  <c r="U25" i="37"/>
  <c r="AB25" i="37"/>
  <c r="BA547" i="3"/>
  <c r="AZ547" i="3" s="1"/>
  <c r="BA543" i="3"/>
  <c r="AZ543" i="3" s="1"/>
  <c r="BL541" i="3"/>
  <c r="AZ541" i="3" s="1"/>
  <c r="BL538" i="3"/>
  <c r="AZ538" i="3" s="1"/>
  <c r="BA531" i="3"/>
  <c r="AZ531" i="3" s="1"/>
  <c r="BL529" i="3"/>
  <c r="AZ529" i="3" s="1"/>
  <c r="BN5" i="3"/>
  <c r="G29" i="6" s="1"/>
  <c r="G30" i="6" s="1"/>
  <c r="G31" i="6" s="1"/>
  <c r="BK5" i="3"/>
  <c r="BA527" i="3"/>
  <c r="AZ527" i="3" s="1"/>
  <c r="BS5" i="3"/>
  <c r="F28" i="6" s="1"/>
  <c r="BJ5" i="3"/>
  <c r="BA526" i="3"/>
  <c r="BB5" i="3"/>
  <c r="C48" i="69"/>
  <c r="C48" i="11"/>
  <c r="C30" i="11"/>
  <c r="U45" i="21"/>
  <c r="AB45" i="21"/>
  <c r="M7" i="1"/>
  <c r="Q16" i="1"/>
  <c r="H16" i="1"/>
  <c r="D9" i="11"/>
  <c r="C9" i="11" s="1"/>
  <c r="D19" i="12"/>
  <c r="C19" i="12" s="1"/>
  <c r="S11" i="37"/>
  <c r="AA11" i="37"/>
  <c r="F53" i="9"/>
  <c r="F30" i="68"/>
  <c r="F31" i="12"/>
  <c r="C31" i="12" s="1"/>
  <c r="M18" i="67"/>
  <c r="F28" i="15"/>
  <c r="C28" i="15" s="1"/>
  <c r="D68" i="9"/>
  <c r="AZ14" i="3"/>
  <c r="U33" i="34"/>
  <c r="AB33" i="34"/>
  <c r="U20" i="36"/>
  <c r="AB20" i="36"/>
  <c r="H62" i="43"/>
  <c r="H66" i="43"/>
  <c r="H64" i="43"/>
  <c r="AB21" i="40"/>
  <c r="U21" i="40"/>
  <c r="AB12" i="37"/>
  <c r="U12" i="37"/>
  <c r="AB19" i="37"/>
  <c r="U19" i="37"/>
  <c r="AZ532" i="3"/>
  <c r="AB14" i="40"/>
  <c r="U14" i="40"/>
  <c r="AA11" i="33"/>
  <c r="S11" i="33"/>
  <c r="AB15" i="34"/>
  <c r="U15" i="34"/>
  <c r="U23" i="34"/>
  <c r="AB23" i="34"/>
  <c r="W15" i="40"/>
  <c r="AC15" i="40"/>
  <c r="AB36" i="40"/>
  <c r="U36" i="40"/>
  <c r="W11" i="21"/>
  <c r="AC11" i="21"/>
  <c r="W35" i="39"/>
  <c r="S36" i="39"/>
  <c r="AA36" i="39"/>
  <c r="U8" i="21"/>
  <c r="AB8" i="21"/>
  <c r="J26" i="33"/>
  <c r="F26" i="33"/>
  <c r="H26" i="33"/>
  <c r="S12" i="34"/>
  <c r="AA12" i="34"/>
  <c r="AB43" i="34"/>
  <c r="U43" i="34"/>
  <c r="H27" i="37"/>
  <c r="F27" i="37"/>
  <c r="AA8" i="39"/>
  <c r="S8" i="39"/>
  <c r="AC8" i="39"/>
  <c r="W8" i="39"/>
  <c r="BL546" i="3"/>
  <c r="BA546" i="3"/>
  <c r="BL545" i="3"/>
  <c r="AZ545" i="3" s="1"/>
  <c r="BL540" i="3"/>
  <c r="BA539" i="3"/>
  <c r="AZ539" i="3" s="1"/>
  <c r="BL537" i="3"/>
  <c r="AZ537" i="3" s="1"/>
  <c r="BA535" i="3"/>
  <c r="AZ535" i="3" s="1"/>
  <c r="BL533" i="3"/>
  <c r="AZ533" i="3" s="1"/>
  <c r="BL530" i="3"/>
  <c r="AZ530" i="3" s="1"/>
  <c r="BG5" i="3"/>
  <c r="BA528" i="3"/>
  <c r="AZ528" i="3" s="1"/>
  <c r="BC5" i="3"/>
  <c r="G527" i="3"/>
  <c r="H5" i="3"/>
  <c r="BM5" i="3"/>
  <c r="F29" i="6" s="1"/>
  <c r="BF5" i="3"/>
  <c r="H61" i="43"/>
  <c r="H59" i="43"/>
  <c r="H51" i="43"/>
  <c r="C30" i="69"/>
  <c r="D17" i="53"/>
  <c r="B36" i="72" s="1"/>
  <c r="D124" i="9"/>
  <c r="U19" i="33"/>
  <c r="U11" i="34"/>
  <c r="AC19" i="37"/>
  <c r="AR8" i="1"/>
  <c r="L107" i="43"/>
  <c r="J27" i="33"/>
  <c r="AB27" i="33"/>
  <c r="U41" i="33"/>
  <c r="F54" i="9"/>
  <c r="F32" i="15"/>
  <c r="F60" i="15" s="1"/>
  <c r="F32" i="67"/>
  <c r="F60" i="67" s="1"/>
  <c r="F28" i="67"/>
  <c r="C28" i="67" s="1"/>
  <c r="P6" i="1"/>
  <c r="AB36" i="21"/>
  <c r="W10" i="21"/>
  <c r="AA15" i="21"/>
  <c r="F29" i="21"/>
  <c r="W30" i="21"/>
  <c r="U31" i="21"/>
  <c r="AB14" i="21"/>
  <c r="AB42" i="21"/>
  <c r="AA11" i="34"/>
  <c r="AC40" i="34"/>
  <c r="S32" i="34"/>
  <c r="W19" i="34"/>
  <c r="U43" i="39"/>
  <c r="U42" i="39"/>
  <c r="P11" i="1"/>
  <c r="H63" i="43"/>
  <c r="B118" i="43"/>
  <c r="C118" i="43" s="1"/>
  <c r="D116" i="43"/>
  <c r="E116" i="43" s="1"/>
  <c r="F116" i="43" s="1"/>
  <c r="G116" i="43" s="1"/>
  <c r="H116" i="43" s="1"/>
  <c r="H107" i="43"/>
  <c r="H105" i="43"/>
  <c r="W15" i="21"/>
  <c r="AC15" i="21"/>
  <c r="S39" i="21"/>
  <c r="AA10" i="33"/>
  <c r="U9" i="33"/>
  <c r="S27" i="34"/>
  <c r="AA9" i="37"/>
  <c r="AC13" i="37"/>
  <c r="AA17" i="37"/>
  <c r="S17" i="37"/>
  <c r="W27" i="37"/>
  <c r="F9" i="35"/>
  <c r="U29" i="35"/>
  <c r="AA25" i="35"/>
  <c r="S16" i="36"/>
  <c r="AB14" i="36"/>
  <c r="S33" i="36"/>
  <c r="AB27" i="36"/>
  <c r="W19" i="39"/>
  <c r="AQ11" i="1"/>
  <c r="T11" i="1"/>
  <c r="AR11" i="1"/>
  <c r="P12" i="1"/>
  <c r="J105" i="43"/>
  <c r="J106" i="43"/>
  <c r="G105" i="43"/>
  <c r="G103" i="43"/>
  <c r="P9" i="1"/>
  <c r="AA32" i="37"/>
  <c r="S32" i="37"/>
  <c r="AA27" i="36"/>
  <c r="S27" i="36"/>
  <c r="H50" i="43"/>
  <c r="AA43" i="34"/>
  <c r="S43" i="34"/>
  <c r="AA30" i="40"/>
  <c r="S30" i="40"/>
  <c r="U20" i="35"/>
  <c r="AB20" i="35"/>
  <c r="W20" i="36"/>
  <c r="AC20" i="36"/>
  <c r="W34" i="33"/>
  <c r="AC34" i="33"/>
  <c r="F48" i="9"/>
  <c r="O52" i="9" s="1"/>
  <c r="H73" i="43"/>
  <c r="H75" i="43"/>
  <c r="H78" i="43"/>
  <c r="H72" i="43"/>
  <c r="AZ321" i="3"/>
  <c r="W11" i="39"/>
  <c r="AC11" i="39"/>
  <c r="AC19" i="40"/>
  <c r="W19" i="40"/>
  <c r="S14" i="40"/>
  <c r="S12" i="37"/>
  <c r="AA12" i="37"/>
  <c r="AB9" i="37"/>
  <c r="U9" i="37"/>
  <c r="AA43" i="33"/>
  <c r="S43" i="33"/>
  <c r="AB42" i="33"/>
  <c r="U42" i="33"/>
  <c r="AA39" i="33"/>
  <c r="S39" i="33"/>
  <c r="AZ509" i="3"/>
  <c r="G521" i="3"/>
  <c r="AC5" i="3"/>
  <c r="AZ501" i="3"/>
  <c r="AZ511" i="3"/>
  <c r="AZ519" i="3"/>
  <c r="AZ573" i="3"/>
  <c r="AZ504" i="3"/>
  <c r="AZ520" i="3"/>
  <c r="AZ558" i="3"/>
  <c r="AC45" i="39"/>
  <c r="AB17" i="21"/>
  <c r="U17" i="21"/>
  <c r="AC10" i="36"/>
  <c r="W10" i="36"/>
  <c r="W14" i="37"/>
  <c r="W14" i="40"/>
  <c r="AC14" i="40"/>
  <c r="AC38" i="37"/>
  <c r="W38" i="37"/>
  <c r="W25" i="36"/>
  <c r="AC25" i="36"/>
  <c r="AB25" i="35"/>
  <c r="U25" i="35"/>
  <c r="AC13" i="35"/>
  <c r="W13" i="35"/>
  <c r="S31" i="34"/>
  <c r="AA31" i="34"/>
  <c r="AC31" i="34"/>
  <c r="W31" i="34"/>
  <c r="F27" i="33"/>
  <c r="H29" i="21"/>
  <c r="AB27" i="21"/>
  <c r="U27" i="21"/>
  <c r="AC14" i="36"/>
  <c r="W14" i="36"/>
  <c r="W46" i="21"/>
  <c r="AC46" i="21"/>
  <c r="F44" i="21"/>
  <c r="AB28" i="21"/>
  <c r="U28" i="21"/>
  <c r="U23" i="40"/>
  <c r="AB11" i="33"/>
  <c r="U11" i="33"/>
  <c r="AA17" i="34"/>
  <c r="S17" i="34"/>
  <c r="AB33" i="37"/>
  <c r="U33" i="37"/>
  <c r="AC15" i="33"/>
  <c r="W15" i="33"/>
  <c r="S25" i="34"/>
  <c r="AA25" i="34"/>
  <c r="AA28" i="34"/>
  <c r="S28" i="34"/>
  <c r="AB33" i="35"/>
  <c r="U33" i="35"/>
  <c r="W34" i="36"/>
  <c r="AC34" i="36"/>
  <c r="W11" i="40"/>
  <c r="AC11" i="40"/>
  <c r="U17" i="40"/>
  <c r="AB17" i="40"/>
  <c r="AA35" i="40"/>
  <c r="S35" i="40"/>
  <c r="U34" i="21"/>
  <c r="AB17" i="39"/>
  <c r="U17" i="39"/>
  <c r="AB19" i="39"/>
  <c r="U19" i="39"/>
  <c r="AB11" i="40"/>
  <c r="U11" i="40"/>
  <c r="U34" i="34"/>
  <c r="S39" i="37"/>
  <c r="AA39" i="37"/>
  <c r="U9" i="39"/>
  <c r="AA35" i="39"/>
  <c r="S35" i="39"/>
  <c r="AC44" i="39"/>
  <c r="W44" i="39"/>
  <c r="S45" i="39"/>
  <c r="AA45" i="39"/>
  <c r="AA35" i="21"/>
  <c r="S35" i="21"/>
  <c r="W34" i="21"/>
  <c r="AC34" i="21"/>
  <c r="W40" i="21"/>
  <c r="AC40" i="21"/>
  <c r="AB43" i="21"/>
  <c r="U43" i="21"/>
  <c r="S43" i="21"/>
  <c r="AA43" i="21"/>
  <c r="AA34" i="21"/>
  <c r="S34" i="21"/>
  <c r="BA585" i="3"/>
  <c r="AZ585" i="3" s="1"/>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AC43" i="21"/>
  <c r="W43" i="21"/>
  <c r="W35" i="21"/>
  <c r="AC35" i="21"/>
  <c r="AC33" i="33"/>
  <c r="W33" i="33"/>
  <c r="AB38" i="33"/>
  <c r="U38" i="33"/>
  <c r="J9" i="33"/>
  <c r="F9" i="33"/>
  <c r="H23" i="35"/>
  <c r="J23" i="35"/>
  <c r="F23" i="35"/>
  <c r="AB36" i="35"/>
  <c r="U36" i="35"/>
  <c r="J11" i="36"/>
  <c r="H11" i="36"/>
  <c r="F11" i="36"/>
  <c r="S31" i="36"/>
  <c r="AA31" i="36"/>
  <c r="AB15" i="37"/>
  <c r="U15" i="37"/>
  <c r="AA8" i="40"/>
  <c r="S8" i="40"/>
  <c r="AB9" i="40"/>
  <c r="U9" i="40"/>
  <c r="AB38" i="40"/>
  <c r="U38" i="40"/>
  <c r="H13" i="40"/>
  <c r="J13" i="40"/>
  <c r="F13" i="40"/>
  <c r="AC28" i="40"/>
  <c r="W28" i="40"/>
  <c r="W38" i="34"/>
  <c r="AC38" i="34"/>
  <c r="U42" i="34"/>
  <c r="AB42" i="34"/>
  <c r="BL576" i="3"/>
  <c r="BA576" i="3"/>
  <c r="BL575" i="3"/>
  <c r="BA575" i="3"/>
  <c r="BA574" i="3"/>
  <c r="AZ574" i="3" s="1"/>
  <c r="BA572" i="3"/>
  <c r="AZ572" i="3" s="1"/>
  <c r="BL571" i="3"/>
  <c r="BA571" i="3"/>
  <c r="BL570" i="3"/>
  <c r="BA570" i="3"/>
  <c r="BL561" i="3"/>
  <c r="AZ561" i="3" s="1"/>
  <c r="BL560" i="3"/>
  <c r="BA560" i="3"/>
  <c r="BA559" i="3"/>
  <c r="AZ559" i="3" s="1"/>
  <c r="BA557" i="3"/>
  <c r="AZ557" i="3" s="1"/>
  <c r="BA551" i="3"/>
  <c r="AZ551" i="3" s="1"/>
  <c r="AZ399" i="3"/>
  <c r="AZ404" i="3"/>
  <c r="AZ449" i="3"/>
  <c r="AZ453" i="3"/>
  <c r="AZ455" i="3"/>
  <c r="J12" i="36"/>
  <c r="H12" i="36"/>
  <c r="J24" i="36"/>
  <c r="H24" i="36"/>
  <c r="BL550" i="3"/>
  <c r="AZ550" i="3" s="1"/>
  <c r="O8" i="1"/>
  <c r="P8" i="1" s="1"/>
  <c r="AZ409" i="3"/>
  <c r="AZ416" i="3"/>
  <c r="AZ425" i="3"/>
  <c r="AZ432" i="3"/>
  <c r="AZ445" i="3"/>
  <c r="AZ464" i="3"/>
  <c r="AZ467" i="3"/>
  <c r="AZ474" i="3"/>
  <c r="AZ480" i="3"/>
  <c r="AZ482" i="3"/>
  <c r="AZ486" i="3"/>
  <c r="AZ488" i="3"/>
  <c r="AZ385" i="3"/>
  <c r="AZ210" i="3"/>
  <c r="AZ225" i="3"/>
  <c r="AZ220" i="3"/>
  <c r="AZ228" i="3"/>
  <c r="AZ231" i="3"/>
  <c r="AZ244" i="3"/>
  <c r="AZ247" i="3"/>
  <c r="AZ260" i="3"/>
  <c r="AZ264" i="3"/>
  <c r="AZ276" i="3"/>
  <c r="AZ284" i="3"/>
  <c r="AZ292" i="3"/>
  <c r="AZ205" i="3"/>
  <c r="AZ18" i="3"/>
  <c r="AZ23" i="3"/>
  <c r="AZ27" i="3"/>
  <c r="AZ52" i="3"/>
  <c r="AZ56" i="3"/>
  <c r="AZ73" i="3"/>
  <c r="AZ95" i="3"/>
  <c r="AZ289" i="3"/>
  <c r="AZ300" i="3"/>
  <c r="AZ118" i="3"/>
  <c r="AZ121" i="3"/>
  <c r="AZ134" i="3"/>
  <c r="AZ145" i="3"/>
  <c r="AZ161" i="3"/>
  <c r="AZ112" i="3"/>
  <c r="F3" i="35"/>
  <c r="AA5" i="71"/>
  <c r="AB5" i="71"/>
  <c r="X5" i="71"/>
  <c r="Y5" i="71"/>
  <c r="Z5" i="71" s="1"/>
  <c r="C40" i="71"/>
  <c r="D39" i="71"/>
  <c r="C44" i="71"/>
  <c r="D44" i="71" s="1"/>
  <c r="D43" i="71"/>
  <c r="D47" i="71"/>
  <c r="C48" i="71"/>
  <c r="M100" i="43"/>
  <c r="I100" i="43"/>
  <c r="E100" i="43"/>
  <c r="D100" i="43"/>
  <c r="C40" i="68"/>
  <c r="C21" i="68"/>
  <c r="S21" i="21"/>
  <c r="U18" i="36"/>
  <c r="Y6" i="71"/>
  <c r="Z6" i="71" s="1"/>
  <c r="Y7" i="71"/>
  <c r="Z7" i="71" s="1"/>
  <c r="AA6" i="71"/>
  <c r="AA7" i="71"/>
  <c r="AF10" i="43"/>
  <c r="AC12" i="43"/>
  <c r="AC10" i="43"/>
  <c r="AG12" i="43"/>
  <c r="AG10" i="43"/>
  <c r="X21" i="71"/>
  <c r="Y21" i="71"/>
  <c r="Z21" i="71" s="1"/>
  <c r="AA19" i="71"/>
  <c r="X18" i="71"/>
  <c r="Y15" i="71"/>
  <c r="Z15" i="71" s="1"/>
  <c r="X14" i="71"/>
  <c r="Y14" i="71"/>
  <c r="Z14" i="71" s="1"/>
  <c r="AB15" i="71"/>
  <c r="Y11" i="71"/>
  <c r="Z11" i="71" s="1"/>
  <c r="AA14" i="71"/>
  <c r="X6" i="71"/>
  <c r="X7" i="71"/>
  <c r="Y36" i="71"/>
  <c r="Z36" i="71" s="1"/>
  <c r="AA36" i="71"/>
  <c r="AB7" i="71"/>
  <c r="AB6" i="71"/>
  <c r="F64" i="71"/>
  <c r="Z12" i="43"/>
  <c r="Z10" i="43"/>
  <c r="AD12" i="43"/>
  <c r="AD10" i="43"/>
  <c r="AH12" i="43"/>
  <c r="AH10" i="43"/>
  <c r="Y18" i="71"/>
  <c r="Z18" i="71" s="1"/>
  <c r="AB18" i="71"/>
  <c r="AA18" i="71"/>
  <c r="X15" i="71"/>
  <c r="AA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E41" i="43"/>
  <c r="C41" i="43" s="1"/>
  <c r="E67" i="39"/>
  <c r="AC21" i="39"/>
  <c r="AB23" i="39"/>
  <c r="AB15" i="39"/>
  <c r="AC15" i="39"/>
  <c r="S25" i="39"/>
  <c r="W39" i="39"/>
  <c r="W42" i="39"/>
  <c r="W14" i="39"/>
  <c r="S29" i="39"/>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J53" i="67"/>
  <c r="J57" i="67"/>
  <c r="J55" i="67" s="1"/>
  <c r="J58" i="67" s="1"/>
  <c r="Q50" i="67" s="1"/>
  <c r="L56" i="67"/>
  <c r="I54" i="67"/>
  <c r="F66" i="67"/>
  <c r="B11" i="70"/>
  <c r="B8" i="70"/>
  <c r="F66" i="15"/>
  <c r="F70" i="67"/>
  <c r="B9" i="70"/>
  <c r="B13" i="70"/>
  <c r="F68" i="67"/>
  <c r="F37" i="67"/>
  <c r="M24" i="67"/>
  <c r="F13" i="67"/>
  <c r="M27" i="15"/>
  <c r="F7" i="67"/>
  <c r="M26" i="67"/>
  <c r="L47" i="67"/>
  <c r="M29" i="15"/>
  <c r="M28" i="67"/>
  <c r="M26" i="15"/>
  <c r="F26" i="15"/>
  <c r="L47" i="15"/>
  <c r="F36" i="67"/>
  <c r="D9" i="78"/>
  <c r="C36" i="69"/>
  <c r="F37" i="15"/>
  <c r="F8" i="67"/>
  <c r="F7" i="15"/>
  <c r="J15" i="15"/>
  <c r="M8" i="67"/>
  <c r="D5" i="73"/>
  <c r="M6" i="15"/>
  <c r="D7" i="73"/>
  <c r="F13" i="15"/>
  <c r="M29" i="67"/>
  <c r="F9" i="67"/>
  <c r="F27" i="78"/>
  <c r="F16" i="15"/>
  <c r="D9" i="69"/>
  <c r="F8" i="15"/>
  <c r="M24" i="15"/>
  <c r="C76" i="15"/>
  <c r="F9" i="15"/>
  <c r="C76" i="67"/>
  <c r="F43" i="67"/>
  <c r="D9" i="68"/>
  <c r="F36" i="15"/>
  <c r="C36" i="78"/>
  <c r="M8" i="15"/>
  <c r="F16" i="67"/>
  <c r="D4" i="73"/>
  <c r="F40" i="15"/>
  <c r="M27" i="67"/>
  <c r="F42" i="15"/>
  <c r="M28" i="15"/>
  <c r="F43" i="15"/>
  <c r="L48" i="15"/>
  <c r="F26" i="67"/>
  <c r="C36" i="68"/>
  <c r="M22" i="67"/>
  <c r="AB46" i="33" l="1"/>
  <c r="U46" i="33"/>
  <c r="AB31" i="39"/>
  <c r="U31" i="39"/>
  <c r="AC38" i="33"/>
  <c r="W38" i="33"/>
  <c r="AC12" i="21"/>
  <c r="W12" i="21"/>
  <c r="F48" i="85"/>
  <c r="C30" i="85"/>
  <c r="C48" i="85"/>
  <c r="U35" i="35"/>
  <c r="J109" i="43"/>
  <c r="J103" i="43"/>
  <c r="AC9" i="37"/>
  <c r="G118" i="43"/>
  <c r="H118" i="43" s="1"/>
  <c r="B117" i="43"/>
  <c r="C117" i="43" s="1"/>
  <c r="AB9" i="34"/>
  <c r="W13" i="33"/>
  <c r="AZ540" i="3"/>
  <c r="AZ526" i="3"/>
  <c r="D115" i="43"/>
  <c r="E115" i="43" s="1"/>
  <c r="F115" i="43" s="1"/>
  <c r="G115" i="43" s="1"/>
  <c r="H115" i="43" s="1"/>
  <c r="I118" i="43"/>
  <c r="J118" i="43" s="1"/>
  <c r="K118" i="43" s="1"/>
  <c r="L118" i="43" s="1"/>
  <c r="M118" i="43" s="1"/>
  <c r="B115" i="43"/>
  <c r="C115" i="43" s="1"/>
  <c r="AC25" i="33"/>
  <c r="AZ548" i="3"/>
  <c r="AZ562" i="3"/>
  <c r="AZ405" i="3"/>
  <c r="U14" i="33"/>
  <c r="AB14" i="33"/>
  <c r="U47" i="34"/>
  <c r="AB47" i="34"/>
  <c r="D58" i="84"/>
  <c r="AZ46" i="3"/>
  <c r="AZ39" i="3"/>
  <c r="AZ36" i="3"/>
  <c r="AZ31" i="3"/>
  <c r="AZ29" i="3"/>
  <c r="AZ194" i="3"/>
  <c r="AZ178" i="3"/>
  <c r="AZ157" i="3"/>
  <c r="AZ146" i="3"/>
  <c r="AZ133" i="3"/>
  <c r="AZ117" i="3"/>
  <c r="AZ298" i="3"/>
  <c r="AZ295" i="3"/>
  <c r="AZ280" i="3"/>
  <c r="AZ274" i="3"/>
  <c r="AZ263" i="3"/>
  <c r="AZ261" i="3"/>
  <c r="AZ255" i="3"/>
  <c r="AZ241" i="3"/>
  <c r="AZ229" i="3"/>
  <c r="AZ219" i="3"/>
  <c r="AZ216" i="3"/>
  <c r="AZ213" i="3"/>
  <c r="AZ350" i="3"/>
  <c r="AZ475" i="3"/>
  <c r="AZ437" i="3"/>
  <c r="AZ413" i="3"/>
  <c r="AZ50" i="3"/>
  <c r="AZ182" i="3"/>
  <c r="AZ154" i="3"/>
  <c r="AZ149" i="3"/>
  <c r="AZ282" i="3"/>
  <c r="AZ279" i="3"/>
  <c r="AZ271" i="3"/>
  <c r="AZ267" i="3"/>
  <c r="AZ256" i="3"/>
  <c r="AZ221" i="3"/>
  <c r="AZ481" i="3"/>
  <c r="AZ462" i="3"/>
  <c r="AZ457" i="3"/>
  <c r="AZ433" i="3"/>
  <c r="AZ495" i="3"/>
  <c r="AZ556" i="3"/>
  <c r="AZ566" i="3"/>
  <c r="AZ578" i="3"/>
  <c r="AZ584" i="3"/>
  <c r="AZ86" i="3"/>
  <c r="AZ82" i="3"/>
  <c r="AZ72" i="3"/>
  <c r="AZ69" i="3"/>
  <c r="AZ170" i="3"/>
  <c r="AZ209" i="3"/>
  <c r="AZ487" i="3"/>
  <c r="AZ421" i="3"/>
  <c r="AZ407" i="3"/>
  <c r="AZ401" i="3"/>
  <c r="AZ107" i="3"/>
  <c r="AZ198" i="3"/>
  <c r="G17" i="43"/>
  <c r="C16" i="43" s="1"/>
  <c r="C5" i="43" s="1"/>
  <c r="J53" i="15"/>
  <c r="F11" i="83"/>
  <c r="M11" i="83"/>
  <c r="F64" i="15"/>
  <c r="J7" i="34"/>
  <c r="AZ560" i="3"/>
  <c r="G5" i="3"/>
  <c r="B3" i="3" s="1"/>
  <c r="AZ546" i="3"/>
  <c r="AZ111" i="3"/>
  <c r="AZ77" i="3"/>
  <c r="AZ451" i="3"/>
  <c r="AZ419" i="3"/>
  <c r="AZ398" i="3"/>
  <c r="AZ542" i="3"/>
  <c r="H26" i="35"/>
  <c r="AB26" i="35" s="1"/>
  <c r="AZ142" i="3"/>
  <c r="AZ137" i="3"/>
  <c r="AZ427" i="3"/>
  <c r="AZ414" i="3"/>
  <c r="C36" i="71"/>
  <c r="D35" i="71"/>
  <c r="F26" i="35"/>
  <c r="AZ438" i="3"/>
  <c r="AZ435" i="3"/>
  <c r="AZ415" i="3"/>
  <c r="AB12" i="21"/>
  <c r="U12" i="21"/>
  <c r="E29" i="6"/>
  <c r="K15" i="1" s="1"/>
  <c r="D57" i="71"/>
  <c r="AZ470" i="3"/>
  <c r="AZ130" i="3"/>
  <c r="AZ281" i="3"/>
  <c r="AZ266" i="3"/>
  <c r="U32" i="34"/>
  <c r="AB32" i="34"/>
  <c r="C27" i="67"/>
  <c r="F50" i="67"/>
  <c r="M7" i="67"/>
  <c r="J6" i="67" s="1"/>
  <c r="J18" i="67" s="1"/>
  <c r="J57" i="15"/>
  <c r="J55" i="15" s="1"/>
  <c r="J58" i="15" s="1"/>
  <c r="Q50" i="15" s="1"/>
  <c r="L56" i="15"/>
  <c r="I54" i="15"/>
  <c r="F51" i="67"/>
  <c r="AZ471" i="3"/>
  <c r="AZ417" i="3"/>
  <c r="AZ406" i="3"/>
  <c r="AZ88" i="3"/>
  <c r="AZ80" i="3"/>
  <c r="AZ296" i="3"/>
  <c r="AZ294" i="3"/>
  <c r="AZ235" i="3"/>
  <c r="AZ233" i="3"/>
  <c r="AZ217" i="3"/>
  <c r="AZ397" i="3"/>
  <c r="AZ368" i="3"/>
  <c r="AZ484" i="3"/>
  <c r="AZ440" i="3"/>
  <c r="AB12" i="40"/>
  <c r="U12" i="40"/>
  <c r="AZ563" i="3"/>
  <c r="AZ174" i="3"/>
  <c r="AZ114" i="3"/>
  <c r="AZ240" i="3"/>
  <c r="AZ443" i="3"/>
  <c r="AZ500" i="3"/>
  <c r="AZ518" i="3"/>
  <c r="AZ522" i="3"/>
  <c r="U27" i="40"/>
  <c r="AB27" i="40"/>
  <c r="S36" i="35"/>
  <c r="AA36" i="35"/>
  <c r="AC36" i="39"/>
  <c r="W36" i="39"/>
  <c r="W14" i="33"/>
  <c r="AC14" i="33"/>
  <c r="AA46" i="33"/>
  <c r="S46" i="33"/>
  <c r="AC47" i="34"/>
  <c r="W47" i="34"/>
  <c r="AA35" i="35"/>
  <c r="S35" i="35"/>
  <c r="AB32" i="36"/>
  <c r="U32" i="36"/>
  <c r="AB29" i="34"/>
  <c r="U29" i="34"/>
  <c r="W30" i="33"/>
  <c r="AC30" i="33"/>
  <c r="AZ493" i="3"/>
  <c r="AZ536" i="3"/>
  <c r="U26" i="35"/>
  <c r="W26" i="35"/>
  <c r="AC26" i="35"/>
  <c r="AC31" i="40"/>
  <c r="W31" i="40"/>
  <c r="AB45" i="39"/>
  <c r="U45" i="39"/>
  <c r="W43" i="39"/>
  <c r="AC43" i="39"/>
  <c r="S13" i="37"/>
  <c r="AA13" i="37"/>
  <c r="W12" i="33"/>
  <c r="AC12" i="33"/>
  <c r="AZ98" i="3"/>
  <c r="AZ91" i="3"/>
  <c r="AZ48" i="3"/>
  <c r="AZ44" i="3"/>
  <c r="AZ38" i="3"/>
  <c r="AZ34" i="3"/>
  <c r="AZ28" i="3"/>
  <c r="AZ24" i="3"/>
  <c r="AZ190" i="3"/>
  <c r="AZ177" i="3"/>
  <c r="AZ411" i="3"/>
  <c r="AZ579" i="3"/>
  <c r="N64" i="71"/>
  <c r="B63" i="71"/>
  <c r="AZ78" i="3"/>
  <c r="AZ74" i="3"/>
  <c r="AZ64" i="3"/>
  <c r="AZ60" i="3"/>
  <c r="S27" i="40"/>
  <c r="AA27" i="40"/>
  <c r="AA40" i="40"/>
  <c r="S40" i="40"/>
  <c r="AB36" i="39"/>
  <c r="U36" i="39"/>
  <c r="AB44" i="33"/>
  <c r="U44" i="33"/>
  <c r="AA13" i="34"/>
  <c r="S13" i="34"/>
  <c r="W45" i="34"/>
  <c r="AC45" i="34"/>
  <c r="W25" i="35"/>
  <c r="AC25" i="35"/>
  <c r="AB25" i="36"/>
  <c r="U25" i="36"/>
  <c r="AA33" i="40"/>
  <c r="S33" i="40"/>
  <c r="U9" i="21"/>
  <c r="AB9" i="21"/>
  <c r="U36" i="33"/>
  <c r="AB36" i="33"/>
  <c r="AA32" i="36"/>
  <c r="S32" i="36"/>
  <c r="AC29" i="34"/>
  <c r="W29" i="34"/>
  <c r="AC46" i="33"/>
  <c r="W46" i="33"/>
  <c r="U31" i="40"/>
  <c r="AB31" i="40"/>
  <c r="AA43" i="39"/>
  <c r="S43" i="39"/>
  <c r="AB13" i="37"/>
  <c r="U13" i="37"/>
  <c r="S12" i="33"/>
  <c r="AA12" i="33"/>
  <c r="Q71" i="67"/>
  <c r="Q71" i="15"/>
  <c r="F64" i="67"/>
  <c r="F65" i="15"/>
  <c r="F51" i="15"/>
  <c r="F65" i="67"/>
  <c r="L59" i="67"/>
  <c r="Q61" i="67" s="1"/>
  <c r="N59" i="67"/>
  <c r="L58" i="67"/>
  <c r="Q60" i="67" s="1"/>
  <c r="M59" i="67"/>
  <c r="F68" i="15"/>
  <c r="F71" i="67"/>
  <c r="L59" i="15"/>
  <c r="Q74" i="15" s="1"/>
  <c r="L58" i="15"/>
  <c r="Q73" i="15" s="1"/>
  <c r="N59" i="15"/>
  <c r="M59" i="15"/>
  <c r="C27" i="15"/>
  <c r="M7" i="15"/>
  <c r="J6" i="15" s="1"/>
  <c r="F50" i="15"/>
  <c r="F71" i="15"/>
  <c r="E63" i="71"/>
  <c r="P64" i="71"/>
  <c r="D24" i="71"/>
  <c r="C23" i="71"/>
  <c r="D23" i="71" s="1"/>
  <c r="AZ53" i="3"/>
  <c r="AZ21" i="3"/>
  <c r="AZ19" i="3"/>
  <c r="AZ158" i="3"/>
  <c r="AC39" i="37"/>
  <c r="W39" i="37"/>
  <c r="AB35" i="39"/>
  <c r="U35" i="39"/>
  <c r="AB44" i="39"/>
  <c r="U44" i="39"/>
  <c r="AA14" i="37"/>
  <c r="S14" i="37"/>
  <c r="AA34" i="35"/>
  <c r="S34" i="35"/>
  <c r="W45" i="33"/>
  <c r="AC45" i="33"/>
  <c r="S29" i="33"/>
  <c r="AA29" i="33"/>
  <c r="AB13" i="33"/>
  <c r="U13" i="33"/>
  <c r="AC9" i="34"/>
  <c r="W9" i="34"/>
  <c r="AA27" i="21"/>
  <c r="S27" i="21"/>
  <c r="D52" i="71"/>
  <c r="C53" i="71"/>
  <c r="AZ273" i="3"/>
  <c r="AZ251" i="3"/>
  <c r="AZ249" i="3"/>
  <c r="AZ214" i="3"/>
  <c r="AZ212" i="3"/>
  <c r="AZ490" i="3"/>
  <c r="AZ478" i="3"/>
  <c r="AZ476" i="3"/>
  <c r="AZ465" i="3"/>
  <c r="AZ460" i="3"/>
  <c r="AZ458" i="3"/>
  <c r="AZ430" i="3"/>
  <c r="AB14" i="39"/>
  <c r="U14" i="39"/>
  <c r="S12" i="35"/>
  <c r="AA12" i="35"/>
  <c r="W33" i="36"/>
  <c r="AC33" i="36"/>
  <c r="S32" i="40"/>
  <c r="AA32" i="40"/>
  <c r="AA44" i="39"/>
  <c r="S44" i="39"/>
  <c r="AB14" i="37"/>
  <c r="U14" i="37"/>
  <c r="AB34" i="36"/>
  <c r="U34" i="36"/>
  <c r="W27" i="21"/>
  <c r="AC27" i="21"/>
  <c r="AB13" i="21"/>
  <c r="U13" i="21"/>
  <c r="C9" i="78"/>
  <c r="C47" i="78"/>
  <c r="D45" i="78" s="1"/>
  <c r="F45" i="78"/>
  <c r="C29" i="78"/>
  <c r="D27" i="78" s="1"/>
  <c r="E8" i="6"/>
  <c r="E56" i="39" s="1"/>
  <c r="AA25" i="33"/>
  <c r="O64" i="71"/>
  <c r="C63" i="71"/>
  <c r="D64" i="71"/>
  <c r="U39" i="40"/>
  <c r="AB39" i="40"/>
  <c r="AB23" i="36"/>
  <c r="U23" i="36"/>
  <c r="AB9" i="36"/>
  <c r="U9" i="36"/>
  <c r="B38" i="72"/>
  <c r="D20" i="53"/>
  <c r="B40" i="72" s="1"/>
  <c r="C29" i="71"/>
  <c r="D28" i="71"/>
  <c r="C61" i="71"/>
  <c r="D60" i="71"/>
  <c r="C33" i="71"/>
  <c r="D32" i="71"/>
  <c r="AZ489" i="3"/>
  <c r="AZ469" i="3"/>
  <c r="AC38" i="40"/>
  <c r="W38" i="40"/>
  <c r="AA23" i="36"/>
  <c r="S23" i="36"/>
  <c r="AA9" i="36"/>
  <c r="S9" i="36"/>
  <c r="AZ586" i="3"/>
  <c r="C48" i="78"/>
  <c r="C30" i="78"/>
  <c r="F48" i="78"/>
  <c r="AC42" i="33"/>
  <c r="W42" i="33"/>
  <c r="AA42" i="33"/>
  <c r="S42" i="33"/>
  <c r="AG13" i="43"/>
  <c r="AC13" i="43"/>
  <c r="W32" i="33"/>
  <c r="AA45" i="33"/>
  <c r="S45" i="33"/>
  <c r="C9" i="68"/>
  <c r="C9" i="69"/>
  <c r="F27" i="6"/>
  <c r="D22" i="43"/>
  <c r="L103" i="43"/>
  <c r="L106" i="43"/>
  <c r="C109" i="43"/>
  <c r="C107" i="43"/>
  <c r="H103" i="43"/>
  <c r="H102" i="43"/>
  <c r="H104" i="43"/>
  <c r="G104" i="43"/>
  <c r="G106" i="43"/>
  <c r="G107" i="43"/>
  <c r="G109" i="43"/>
  <c r="G102" i="43"/>
  <c r="H106" i="43"/>
  <c r="C103" i="43"/>
  <c r="C102" i="43"/>
  <c r="C106" i="43"/>
  <c r="L104" i="43"/>
  <c r="L102" i="43"/>
  <c r="H109" i="43"/>
  <c r="I115" i="43"/>
  <c r="I117" i="43"/>
  <c r="J117" i="43" s="1"/>
  <c r="K117" i="43" s="1"/>
  <c r="L117" i="43" s="1"/>
  <c r="M117" i="43" s="1"/>
  <c r="J107" i="43"/>
  <c r="J102" i="43"/>
  <c r="F10" i="40"/>
  <c r="AH13" i="43"/>
  <c r="AD13" i="43"/>
  <c r="Z13" i="43"/>
  <c r="H10" i="39"/>
  <c r="J10" i="40"/>
  <c r="AC10" i="40" s="1"/>
  <c r="E69" i="3"/>
  <c r="E114" i="3"/>
  <c r="E278" i="3"/>
  <c r="E565" i="3"/>
  <c r="E183" i="3"/>
  <c r="E213" i="3"/>
  <c r="E361" i="3"/>
  <c r="E302" i="3"/>
  <c r="E516" i="3"/>
  <c r="E569" i="3"/>
  <c r="E431" i="3"/>
  <c r="E247" i="3"/>
  <c r="E229" i="3"/>
  <c r="E201" i="3"/>
  <c r="E151" i="3"/>
  <c r="E353" i="3"/>
  <c r="E385" i="3"/>
  <c r="I6" i="3"/>
  <c r="E402" i="3"/>
  <c r="E423" i="3"/>
  <c r="E306" i="3"/>
  <c r="E296" i="3"/>
  <c r="E244" i="3"/>
  <c r="E262" i="3"/>
  <c r="E196" i="3"/>
  <c r="E136" i="3"/>
  <c r="E156" i="3"/>
  <c r="E236" i="3"/>
  <c r="E148" i="3"/>
  <c r="E269" i="3"/>
  <c r="E122" i="3"/>
  <c r="E140" i="3"/>
  <c r="E85" i="3"/>
  <c r="E223" i="3"/>
  <c r="E238" i="3"/>
  <c r="E197" i="3"/>
  <c r="E133" i="3"/>
  <c r="E286" i="3"/>
  <c r="AD6" i="3"/>
  <c r="R6" i="3"/>
  <c r="E552" i="3"/>
  <c r="E421" i="3"/>
  <c r="E442" i="3"/>
  <c r="E464" i="3"/>
  <c r="E466" i="3"/>
  <c r="E487" i="3"/>
  <c r="E398" i="3"/>
  <c r="E430" i="3"/>
  <c r="E416" i="3"/>
  <c r="E449" i="3"/>
  <c r="E459" i="3"/>
  <c r="E255" i="3"/>
  <c r="E374" i="3"/>
  <c r="I3" i="6"/>
  <c r="E505" i="3"/>
  <c r="E554" i="3"/>
  <c r="E582" i="3"/>
  <c r="E413" i="3"/>
  <c r="E435" i="3"/>
  <c r="E460" i="3"/>
  <c r="E491" i="3"/>
  <c r="E520" i="3"/>
  <c r="E404" i="3"/>
  <c r="E447" i="3"/>
  <c r="E28" i="3"/>
  <c r="E71" i="3"/>
  <c r="E88" i="3"/>
  <c r="E27" i="3"/>
  <c r="E70" i="3"/>
  <c r="E92" i="3"/>
  <c r="E121" i="3"/>
  <c r="E162" i="3"/>
  <c r="E182" i="3"/>
  <c r="E126" i="3"/>
  <c r="E166" i="3"/>
  <c r="E186" i="3"/>
  <c r="E211" i="3"/>
  <c r="E272" i="3"/>
  <c r="E295" i="3"/>
  <c r="E210" i="3"/>
  <c r="E273" i="3"/>
  <c r="E291" i="3"/>
  <c r="E316" i="3"/>
  <c r="E378" i="3"/>
  <c r="E334" i="3"/>
  <c r="E389" i="3"/>
  <c r="AM6" i="3"/>
  <c r="E58" i="3"/>
  <c r="E76" i="3"/>
  <c r="E110" i="3"/>
  <c r="E59" i="3"/>
  <c r="E441" i="3"/>
  <c r="E484" i="3"/>
  <c r="E446" i="3"/>
  <c r="E47" i="3"/>
  <c r="E98" i="3"/>
  <c r="E65" i="3"/>
  <c r="E138" i="3"/>
  <c r="E195" i="3"/>
  <c r="E163" i="3"/>
  <c r="E248" i="3"/>
  <c r="E209" i="3"/>
  <c r="E266" i="3"/>
  <c r="E307" i="3"/>
  <c r="E354" i="3"/>
  <c r="E23" i="3"/>
  <c r="E84" i="3"/>
  <c r="E67" i="3"/>
  <c r="E33" i="3"/>
  <c r="E144" i="3"/>
  <c r="E184" i="3"/>
  <c r="E233" i="3"/>
  <c r="E355" i="3"/>
  <c r="E68" i="3"/>
  <c r="E63" i="3"/>
  <c r="E81" i="3"/>
  <c r="E118" i="3"/>
  <c r="E264" i="3"/>
  <c r="E283" i="3"/>
  <c r="E373" i="3"/>
  <c r="E82" i="3"/>
  <c r="E53" i="3"/>
  <c r="E319" i="3"/>
  <c r="E343" i="3"/>
  <c r="E426" i="3"/>
  <c r="E347" i="3"/>
  <c r="E399" i="3"/>
  <c r="E280" i="3"/>
  <c r="E124" i="3"/>
  <c r="E270" i="3"/>
  <c r="AR6" i="3"/>
  <c r="E506" i="3"/>
  <c r="E439" i="3"/>
  <c r="E380" i="3"/>
  <c r="E231" i="3"/>
  <c r="E216" i="3"/>
  <c r="E185" i="3"/>
  <c r="E135" i="3"/>
  <c r="E161" i="3"/>
  <c r="E149" i="3"/>
  <c r="E212" i="3"/>
  <c r="E167" i="3"/>
  <c r="E369" i="3"/>
  <c r="E525" i="3"/>
  <c r="E564" i="3"/>
  <c r="E405" i="3"/>
  <c r="E456" i="3"/>
  <c r="E469" i="3"/>
  <c r="E512" i="3"/>
  <c r="E408" i="3"/>
  <c r="E451" i="3"/>
  <c r="E360" i="3"/>
  <c r="E556" i="3"/>
  <c r="E497" i="3"/>
  <c r="E13"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33" i="3"/>
  <c r="E356"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102" i="3"/>
  <c r="E80" i="3"/>
  <c r="E158" i="3"/>
  <c r="E287" i="3"/>
  <c r="E308" i="3"/>
  <c r="E22" i="3"/>
  <c r="E83" i="3"/>
  <c r="E125" i="3"/>
  <c r="E217" i="3"/>
  <c r="E366" i="3"/>
  <c r="E526" i="3"/>
  <c r="E553" i="3"/>
  <c r="E268" i="3"/>
  <c r="E282" i="3"/>
  <c r="E322" i="3"/>
  <c r="N6" i="3"/>
  <c r="AJ6" i="3"/>
  <c r="E32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406" i="3"/>
  <c r="E438" i="3"/>
  <c r="E424" i="3"/>
  <c r="E457" i="3"/>
  <c r="E465" i="3"/>
  <c r="E288" i="3"/>
  <c r="E344" i="3"/>
  <c r="E587" i="3"/>
  <c r="W6" i="3"/>
  <c r="AE6" i="3"/>
  <c r="E571" i="3"/>
  <c r="E577" i="3"/>
  <c r="E429" i="3"/>
  <c r="E468" i="3"/>
  <c r="E496" i="3"/>
  <c r="E454" i="3"/>
  <c r="E55" i="3"/>
  <c r="E106" i="3"/>
  <c r="E111" i="3"/>
  <c r="E168" i="3"/>
  <c r="E150"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562" i="3"/>
  <c r="E537" i="3"/>
  <c r="E450" i="3"/>
  <c r="E471" i="3"/>
  <c r="E433" i="3"/>
  <c r="E475" i="3"/>
  <c r="E72" i="3"/>
  <c r="E54" i="3"/>
  <c r="E73" i="3"/>
  <c r="E146" i="3"/>
  <c r="E203"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391" i="3"/>
  <c r="E141" i="3"/>
  <c r="E372" i="3"/>
  <c r="E326" i="3"/>
  <c r="E583" i="3"/>
  <c r="E536" i="3"/>
  <c r="E528" i="3"/>
  <c r="E523" i="3"/>
  <c r="S6" i="3"/>
  <c r="E547" i="3"/>
  <c r="E576" i="3"/>
  <c r="E500" i="3"/>
  <c r="E585" i="3"/>
  <c r="AK6" i="3"/>
  <c r="E540" i="3"/>
  <c r="E535" i="3"/>
  <c r="E17" i="3"/>
  <c r="E359" i="3"/>
  <c r="E304" i="3"/>
  <c r="E317" i="3"/>
  <c r="E173" i="3"/>
  <c r="E303" i="3"/>
  <c r="E557" i="3"/>
  <c r="Y6" i="3"/>
  <c r="AS6" i="3"/>
  <c r="AI6" i="3"/>
  <c r="E548" i="3"/>
  <c r="E541" i="3"/>
  <c r="E531" i="3"/>
  <c r="E341" i="3"/>
  <c r="E193" i="3"/>
  <c r="E495" i="3"/>
  <c r="E550" i="3"/>
  <c r="E534" i="3"/>
  <c r="E113" i="3"/>
  <c r="E370" i="3"/>
  <c r="E305" i="3"/>
  <c r="E542" i="3"/>
  <c r="E539" i="3"/>
  <c r="E538" i="3"/>
  <c r="E533" i="3"/>
  <c r="E530" i="3"/>
  <c r="E543" i="3"/>
  <c r="E508" i="3"/>
  <c r="AA6" i="3"/>
  <c r="AF6" i="3"/>
  <c r="E515" i="3"/>
  <c r="E563" i="3"/>
  <c r="E584" i="3"/>
  <c r="E544" i="3"/>
  <c r="U6" i="3"/>
  <c r="E363" i="3"/>
  <c r="E312" i="3"/>
  <c r="E350" i="3"/>
  <c r="E177" i="3"/>
  <c r="E337" i="3"/>
  <c r="E546" i="3"/>
  <c r="E511" i="3"/>
  <c r="E579" i="3"/>
  <c r="O6" i="3"/>
  <c r="AN6" i="3"/>
  <c r="E502" i="3"/>
  <c r="E348" i="3"/>
  <c r="E368" i="3"/>
  <c r="E16" i="3"/>
  <c r="E157" i="3"/>
  <c r="E379" i="3"/>
  <c r="E310" i="3"/>
  <c r="E499" i="3"/>
  <c r="E568" i="3"/>
  <c r="E578" i="3"/>
  <c r="E574" i="3"/>
  <c r="E572" i="3"/>
  <c r="E509" i="3"/>
  <c r="E375" i="3"/>
  <c r="E386" i="3"/>
  <c r="E309" i="3"/>
  <c r="E388" i="3"/>
  <c r="E377" i="3"/>
  <c r="E503" i="3"/>
  <c r="E575" i="3"/>
  <c r="E586" i="3"/>
  <c r="E558" i="3"/>
  <c r="C20" i="71"/>
  <c r="T21" i="71"/>
  <c r="D21" i="71"/>
  <c r="U21" i="71" s="1"/>
  <c r="F63" i="71"/>
  <c r="Q64" i="71"/>
  <c r="D48" i="71"/>
  <c r="C49" i="71"/>
  <c r="AB24" i="36"/>
  <c r="U24" i="36"/>
  <c r="AB12" i="36"/>
  <c r="U12" i="36"/>
  <c r="AA13" i="40"/>
  <c r="S13" i="40"/>
  <c r="AB13" i="40"/>
  <c r="U13" i="40"/>
  <c r="AB11" i="36"/>
  <c r="U11" i="36"/>
  <c r="S23" i="35"/>
  <c r="AA23" i="35"/>
  <c r="U23" i="35"/>
  <c r="AB23" i="35"/>
  <c r="S29" i="21"/>
  <c r="AA29" i="21"/>
  <c r="J10" i="39"/>
  <c r="AC10" i="39" s="1"/>
  <c r="H10" i="40"/>
  <c r="U10" i="40" s="1"/>
  <c r="F7" i="36"/>
  <c r="J7" i="37"/>
  <c r="W7" i="37" s="1"/>
  <c r="H7" i="36"/>
  <c r="H7" i="34"/>
  <c r="AB7" i="34" s="1"/>
  <c r="T49" i="34" s="1"/>
  <c r="G49" i="34" s="1"/>
  <c r="F7" i="34"/>
  <c r="C7" i="43"/>
  <c r="B20" i="71"/>
  <c r="B19" i="71" s="1"/>
  <c r="B18" i="71" s="1"/>
  <c r="B17" i="71" s="1"/>
  <c r="S21" i="71"/>
  <c r="D40" i="71"/>
  <c r="C41" i="71"/>
  <c r="AC24" i="36"/>
  <c r="W24" i="36"/>
  <c r="AC12" i="36"/>
  <c r="W12" i="36"/>
  <c r="AZ570" i="3"/>
  <c r="AZ571" i="3"/>
  <c r="AZ575" i="3"/>
  <c r="AZ576" i="3"/>
  <c r="AC13" i="40"/>
  <c r="W13" i="40"/>
  <c r="AA11" i="36"/>
  <c r="S11" i="36"/>
  <c r="W11" i="36"/>
  <c r="AC11" i="36"/>
  <c r="W23" i="35"/>
  <c r="AC23" i="35"/>
  <c r="AA9" i="33"/>
  <c r="S9" i="33"/>
  <c r="E104" i="43"/>
  <c r="E107" i="43"/>
  <c r="E105" i="43"/>
  <c r="E109" i="43"/>
  <c r="E102" i="43"/>
  <c r="E103" i="43"/>
  <c r="E106" i="43"/>
  <c r="M104" i="43"/>
  <c r="M107" i="43"/>
  <c r="M105" i="43"/>
  <c r="M109" i="43"/>
  <c r="M106" i="43"/>
  <c r="M102" i="43"/>
  <c r="M103" i="43"/>
  <c r="N103" i="43"/>
  <c r="N106" i="43"/>
  <c r="N107" i="43"/>
  <c r="N104" i="43"/>
  <c r="N109" i="43"/>
  <c r="N105" i="43"/>
  <c r="N102" i="43"/>
  <c r="K107" i="43"/>
  <c r="K104" i="43"/>
  <c r="K106" i="43"/>
  <c r="K109" i="43"/>
  <c r="K105" i="43"/>
  <c r="K103" i="43"/>
  <c r="K102" i="43"/>
  <c r="AA44" i="21"/>
  <c r="S44" i="21"/>
  <c r="AA27" i="33"/>
  <c r="S27" i="33"/>
  <c r="W27" i="33"/>
  <c r="AC27" i="33"/>
  <c r="D10" i="52"/>
  <c r="D125" i="9"/>
  <c r="D11" i="52" s="1"/>
  <c r="H14" i="74"/>
  <c r="B7" i="74" s="1"/>
  <c r="E527" i="3"/>
  <c r="S27" i="37"/>
  <c r="AA27" i="37"/>
  <c r="AB26" i="33"/>
  <c r="U26" i="33"/>
  <c r="W26" i="33"/>
  <c r="AC26" i="33"/>
  <c r="BA5" i="3"/>
  <c r="E27" i="6" s="1"/>
  <c r="F48" i="68"/>
  <c r="C30" i="68"/>
  <c r="C48" i="68"/>
  <c r="F28" i="12"/>
  <c r="C29" i="12" s="1"/>
  <c r="D28" i="12" s="1"/>
  <c r="F27" i="11"/>
  <c r="E15" i="6"/>
  <c r="E11" i="6"/>
  <c r="E12" i="6"/>
  <c r="E14" i="6"/>
  <c r="E13" i="6"/>
  <c r="E10" i="6"/>
  <c r="W40" i="37"/>
  <c r="AC40" i="37"/>
  <c r="AB9" i="35"/>
  <c r="U9" i="35"/>
  <c r="AC9" i="33"/>
  <c r="W9" i="33"/>
  <c r="I102" i="43"/>
  <c r="I106" i="43"/>
  <c r="I103" i="43"/>
  <c r="I107" i="43"/>
  <c r="I104" i="43"/>
  <c r="I105" i="43"/>
  <c r="I109" i="43"/>
  <c r="D103" i="43"/>
  <c r="D104" i="43"/>
  <c r="D107" i="43"/>
  <c r="D105" i="43"/>
  <c r="D102" i="43"/>
  <c r="D106" i="43"/>
  <c r="D109" i="43"/>
  <c r="F107" i="43"/>
  <c r="F106" i="43"/>
  <c r="F103" i="43"/>
  <c r="F104" i="43"/>
  <c r="F102" i="43"/>
  <c r="F109" i="43"/>
  <c r="F105" i="43"/>
  <c r="U29" i="21"/>
  <c r="AB29" i="21"/>
  <c r="E521" i="3"/>
  <c r="S9" i="35"/>
  <c r="AA9" i="35"/>
  <c r="BL5" i="3"/>
  <c r="U27" i="37"/>
  <c r="AB27" i="37"/>
  <c r="S26" i="33"/>
  <c r="AA26" i="33"/>
  <c r="O7" i="1"/>
  <c r="P7" i="1" s="1"/>
  <c r="E28" i="6"/>
  <c r="F30" i="6"/>
  <c r="F31" i="6" s="1"/>
  <c r="S40" i="37"/>
  <c r="AA40" i="37"/>
  <c r="U40" i="37"/>
  <c r="AB40" i="37"/>
  <c r="W9" i="35"/>
  <c r="AC9" i="35"/>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AB10" i="40"/>
  <c r="S10" i="39"/>
  <c r="AA10" i="39"/>
  <c r="H7" i="33"/>
  <c r="J7" i="33"/>
  <c r="D65" i="40"/>
  <c r="E63" i="40"/>
  <c r="F48" i="35"/>
  <c r="S7" i="36"/>
  <c r="AA7" i="36"/>
  <c r="R36" i="36" s="1"/>
  <c r="AC7" i="37"/>
  <c r="V42" i="37" s="1"/>
  <c r="I42" i="37" s="1"/>
  <c r="U7" i="37"/>
  <c r="AB7" i="36"/>
  <c r="T36" i="36" s="1"/>
  <c r="G36" i="36" s="1"/>
  <c r="U7" i="36"/>
  <c r="U7" i="34"/>
  <c r="AA7" i="34"/>
  <c r="R49" i="34" s="1"/>
  <c r="S7" i="34"/>
  <c r="U10" i="39"/>
  <c r="AB10" i="39"/>
  <c r="W10" i="40"/>
  <c r="AA10" i="40"/>
  <c r="S10" i="40"/>
  <c r="F7" i="33"/>
  <c r="E58" i="21"/>
  <c r="AC7" i="36"/>
  <c r="V36" i="36" s="1"/>
  <c r="I36" i="36" s="1"/>
  <c r="W7" i="36"/>
  <c r="F7" i="37"/>
  <c r="W7" i="34"/>
  <c r="AC7" i="34"/>
  <c r="V49" i="34" s="1"/>
  <c r="I49" i="34" s="1"/>
  <c r="M17" i="67"/>
  <c r="M17" i="15"/>
  <c r="F59" i="15"/>
  <c r="P24" i="43"/>
  <c r="B66" i="40" s="1"/>
  <c r="P21" i="43"/>
  <c r="P25" i="43"/>
  <c r="P23" i="43"/>
  <c r="B70" i="39" s="1"/>
  <c r="J18" i="15"/>
  <c r="M28" i="43"/>
  <c r="N28" i="43"/>
  <c r="O28" i="43"/>
  <c r="P28" i="43"/>
  <c r="M11" i="67"/>
  <c r="J10" i="67" s="1"/>
  <c r="F11" i="15"/>
  <c r="M11" i="15"/>
  <c r="F11" i="67"/>
  <c r="F1" i="67"/>
  <c r="Q52" i="67"/>
  <c r="F27" i="85"/>
  <c r="D9" i="85"/>
  <c r="M26" i="83"/>
  <c r="F40" i="83"/>
  <c r="L47" i="83"/>
  <c r="F9" i="83"/>
  <c r="M24" i="83"/>
  <c r="L48" i="83"/>
  <c r="M27" i="83"/>
  <c r="M8" i="83"/>
  <c r="F7" i="83"/>
  <c r="F16" i="83"/>
  <c r="M9" i="83"/>
  <c r="F26" i="83"/>
  <c r="F43" i="83"/>
  <c r="C36" i="85"/>
  <c r="M23" i="83"/>
  <c r="M28" i="83"/>
  <c r="J15" i="83"/>
  <c r="M22" i="83"/>
  <c r="F37" i="83"/>
  <c r="F38" i="83"/>
  <c r="G1" i="73"/>
  <c r="F27" i="69"/>
  <c r="F27" i="68"/>
  <c r="C76" i="83"/>
  <c r="M6" i="83"/>
  <c r="F8" i="83"/>
  <c r="F42" i="83"/>
  <c r="F13" i="83"/>
  <c r="F36" i="83"/>
  <c r="M29" i="83"/>
  <c r="C16" i="67"/>
  <c r="C16" i="15"/>
  <c r="F64" i="83" l="1"/>
  <c r="F51" i="83"/>
  <c r="Q71" i="83"/>
  <c r="F66" i="83"/>
  <c r="F65" i="83"/>
  <c r="F71" i="83"/>
  <c r="C27" i="83"/>
  <c r="F50" i="83"/>
  <c r="M7" i="83"/>
  <c r="J6" i="83" s="1"/>
  <c r="J18" i="83" s="1"/>
  <c r="L57" i="83"/>
  <c r="L60" i="83"/>
  <c r="J53" i="83"/>
  <c r="L56" i="83"/>
  <c r="J57" i="83"/>
  <c r="J55" i="83" s="1"/>
  <c r="J58" i="83" s="1"/>
  <c r="Q50" i="83" s="1"/>
  <c r="I54" i="83"/>
  <c r="L58" i="83"/>
  <c r="L59" i="83"/>
  <c r="N59" i="83"/>
  <c r="M59" i="83"/>
  <c r="F68" i="83"/>
  <c r="C9" i="85"/>
  <c r="F45" i="85"/>
  <c r="C47" i="85"/>
  <c r="D45" i="85" s="1"/>
  <c r="C29" i="85"/>
  <c r="D27" i="85" s="1"/>
  <c r="E58" i="84"/>
  <c r="F58" i="84" s="1"/>
  <c r="G58" i="84" s="1"/>
  <c r="H58" i="84" s="1"/>
  <c r="I58" i="84" s="1"/>
  <c r="J58" i="84" s="1"/>
  <c r="K58" i="84" s="1"/>
  <c r="L58" i="84" s="1"/>
  <c r="M58" i="84" s="1"/>
  <c r="N58" i="84" s="1"/>
  <c r="O58" i="84" s="1"/>
  <c r="J7" i="84"/>
  <c r="F7" i="84"/>
  <c r="E237" i="3"/>
  <c r="E261" i="3"/>
  <c r="E415" i="3"/>
  <c r="E395" i="3"/>
  <c r="E172" i="3"/>
  <c r="E260" i="3"/>
  <c r="E445" i="3"/>
  <c r="E239" i="3"/>
  <c r="E555" i="3"/>
  <c r="E410" i="3"/>
  <c r="E396" i="3"/>
  <c r="E285" i="3"/>
  <c r="E143" i="3"/>
  <c r="E97" i="3"/>
  <c r="E397" i="3"/>
  <c r="E314" i="3"/>
  <c r="E518" i="3"/>
  <c r="E549" i="3"/>
  <c r="E434" i="3"/>
  <c r="E453" i="3"/>
  <c r="E382" i="3"/>
  <c r="E263" i="3"/>
  <c r="E301" i="3"/>
  <c r="E245" i="3"/>
  <c r="E159" i="3"/>
  <c r="E191" i="3"/>
  <c r="E99" i="3"/>
  <c r="E188" i="3"/>
  <c r="E228" i="3"/>
  <c r="E181" i="3"/>
  <c r="E89" i="3"/>
  <c r="E120" i="3"/>
  <c r="E45" i="3"/>
  <c r="E277" i="3"/>
  <c r="E224" i="3"/>
  <c r="E116" i="3"/>
  <c r="E105" i="3"/>
  <c r="E327" i="3"/>
  <c r="Z6" i="3"/>
  <c r="AG6" i="3"/>
  <c r="AO6" i="3"/>
  <c r="E411" i="3"/>
  <c r="E448" i="3"/>
  <c r="E478" i="3"/>
  <c r="E485" i="3"/>
  <c r="P6" i="3"/>
  <c r="E414" i="3"/>
  <c r="E400" i="3"/>
  <c r="E432" i="3"/>
  <c r="E443" i="3"/>
  <c r="E477" i="3"/>
  <c r="E345" i="3"/>
  <c r="E367" i="3"/>
  <c r="E566" i="3"/>
  <c r="AP6" i="3"/>
  <c r="E581" i="3"/>
  <c r="E517" i="3"/>
  <c r="E403" i="3"/>
  <c r="E444" i="3"/>
  <c r="E476" i="3"/>
  <c r="E489" i="3"/>
  <c r="E417" i="3"/>
  <c r="E436" i="3"/>
  <c r="E479" i="3"/>
  <c r="E39" i="3"/>
  <c r="E56" i="3"/>
  <c r="E90" i="3"/>
  <c r="E37" i="3"/>
  <c r="E57" i="3"/>
  <c r="E95" i="3"/>
  <c r="E131" i="3"/>
  <c r="E152" i="3"/>
  <c r="E187" i="3"/>
  <c r="E132" i="3"/>
  <c r="E155" i="3"/>
  <c r="E192" i="3"/>
  <c r="E240" i="3"/>
  <c r="E258" i="3"/>
  <c r="E297" i="3"/>
  <c r="E241" i="3"/>
  <c r="E259" i="3"/>
  <c r="E292" i="3"/>
  <c r="E331" i="3"/>
  <c r="E349" i="3"/>
  <c r="E384" i="3"/>
  <c r="E504" i="3"/>
  <c r="E30" i="3"/>
  <c r="E44" i="3"/>
  <c r="E109" i="3"/>
  <c r="E29" i="3"/>
  <c r="E480" i="3"/>
  <c r="E462" i="3"/>
  <c r="E425" i="3"/>
  <c r="E467" i="3"/>
  <c r="E64" i="3"/>
  <c r="E46" i="3"/>
  <c r="E103" i="3"/>
  <c r="E160" i="3"/>
  <c r="E142" i="3"/>
  <c r="E200" i="3"/>
  <c r="E267" i="3"/>
  <c r="E249" i="3"/>
  <c r="E300" i="3"/>
  <c r="E371" i="3"/>
  <c r="E492" i="3"/>
  <c r="E66" i="3"/>
  <c r="E24" i="3"/>
  <c r="E48" i="3"/>
  <c r="E87" i="3"/>
  <c r="E127" i="3"/>
  <c r="E250" i="3"/>
  <c r="E284" i="3"/>
  <c r="E381" i="3"/>
  <c r="E51" i="3"/>
  <c r="E19" i="3"/>
  <c r="E154" i="3"/>
  <c r="E179" i="3"/>
  <c r="E222" i="3"/>
  <c r="E323" i="3"/>
  <c r="E513" i="3"/>
  <c r="E21" i="3"/>
  <c r="E175" i="3"/>
  <c r="E501" i="3"/>
  <c r="E153" i="3"/>
  <c r="E328" i="3"/>
  <c r="X6" i="3"/>
  <c r="E336" i="3"/>
  <c r="E246" i="3"/>
  <c r="E293" i="3"/>
  <c r="E390" i="3"/>
  <c r="E561" i="3"/>
  <c r="E418" i="3"/>
  <c r="E338" i="3"/>
  <c r="E321" i="3"/>
  <c r="E298" i="3"/>
  <c r="E169" i="3"/>
  <c r="E61" i="3"/>
  <c r="E290" i="3"/>
  <c r="E117" i="3"/>
  <c r="E77" i="3"/>
  <c r="E253" i="3"/>
  <c r="E199" i="3"/>
  <c r="E393" i="3"/>
  <c r="E493" i="3"/>
  <c r="T6" i="3"/>
  <c r="E427" i="3"/>
  <c r="E486" i="3"/>
  <c r="E507" i="3"/>
  <c r="E422" i="3"/>
  <c r="E440" i="3"/>
  <c r="E490" i="3"/>
  <c r="E376" i="3"/>
  <c r="AH6" i="3"/>
  <c r="AC6" i="3" s="1"/>
  <c r="J6" i="3"/>
  <c r="E498" i="3"/>
  <c r="E419" i="3"/>
  <c r="E483" i="3"/>
  <c r="H7" i="84"/>
  <c r="J10" i="15"/>
  <c r="J5" i="15" s="1"/>
  <c r="J24" i="15" s="1"/>
  <c r="Q60" i="15"/>
  <c r="Q73" i="67"/>
  <c r="C53" i="83"/>
  <c r="AA26" i="35"/>
  <c r="S26" i="35"/>
  <c r="C37" i="71"/>
  <c r="D36" i="71"/>
  <c r="C49" i="67"/>
  <c r="N63" i="71"/>
  <c r="N62" i="71"/>
  <c r="Q74" i="67"/>
  <c r="Q61" i="15"/>
  <c r="C49" i="15"/>
  <c r="J5" i="67"/>
  <c r="J26" i="67" s="1"/>
  <c r="P63" i="71"/>
  <c r="P62" i="71"/>
  <c r="AZ5" i="3"/>
  <c r="E3" i="6" s="1"/>
  <c r="E51" i="40"/>
  <c r="T53" i="71"/>
  <c r="D53" i="71"/>
  <c r="T33" i="71"/>
  <c r="D33" i="71"/>
  <c r="T61" i="71"/>
  <c r="D61" i="71"/>
  <c r="T29" i="71"/>
  <c r="D29" i="71"/>
  <c r="D63" i="71"/>
  <c r="O62" i="71"/>
  <c r="O63" i="71"/>
  <c r="W10" i="39"/>
  <c r="J115" i="43"/>
  <c r="K115" i="43" s="1"/>
  <c r="L115" i="43" s="1"/>
  <c r="M115" i="43" s="1"/>
  <c r="S2" i="43"/>
  <c r="T2" i="43" s="1"/>
  <c r="V2" i="43" s="1"/>
  <c r="S6" i="43"/>
  <c r="T6" i="43" s="1"/>
  <c r="V6" i="43" s="1"/>
  <c r="S3" i="43"/>
  <c r="T3" i="43" s="1"/>
  <c r="V3" i="43" s="1"/>
  <c r="S4" i="43"/>
  <c r="T4" i="43" s="1"/>
  <c r="V4" i="43" s="1"/>
  <c r="C23" i="43"/>
  <c r="C21" i="43" s="1"/>
  <c r="C29" i="43" s="1"/>
  <c r="C30" i="43" s="1"/>
  <c r="E30" i="43" s="1"/>
  <c r="S7" i="43"/>
  <c r="T7" i="43" s="1"/>
  <c r="V7" i="43" s="1"/>
  <c r="S5" i="43"/>
  <c r="T5" i="43" s="1"/>
  <c r="V5" i="43" s="1"/>
  <c r="B40" i="1"/>
  <c r="F22" i="85" s="1"/>
  <c r="H6" i="3"/>
  <c r="E16" i="6"/>
  <c r="E8" i="71"/>
  <c r="E7" i="71" s="1"/>
  <c r="E6" i="71" s="1"/>
  <c r="E5" i="71" s="1"/>
  <c r="V9" i="71"/>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26" i="6"/>
  <c r="M26" i="6" s="1"/>
  <c r="I26" i="6" s="1"/>
  <c r="S26" i="6" s="1"/>
  <c r="K19" i="6"/>
  <c r="S6" i="1" s="1"/>
  <c r="AY6" i="3"/>
  <c r="E58" i="40"/>
  <c r="E62" i="39"/>
  <c r="E57" i="40"/>
  <c r="E61" i="39"/>
  <c r="E64" i="39"/>
  <c r="E60" i="40"/>
  <c r="C47" i="11"/>
  <c r="D45" i="11" s="1"/>
  <c r="C29" i="11"/>
  <c r="D27" i="11" s="1"/>
  <c r="F45" i="68"/>
  <c r="C47" i="68"/>
  <c r="D45" i="68" s="1"/>
  <c r="B16" i="71"/>
  <c r="B15" i="71" s="1"/>
  <c r="B14" i="71" s="1"/>
  <c r="B13" i="71" s="1"/>
  <c r="S17" i="71"/>
  <c r="T49" i="71"/>
  <c r="D49" i="71"/>
  <c r="C19" i="71"/>
  <c r="D20" i="71"/>
  <c r="E63" i="39"/>
  <c r="E59" i="40"/>
  <c r="E60" i="39"/>
  <c r="E56" i="40"/>
  <c r="F45" i="69"/>
  <c r="C29" i="69"/>
  <c r="D27" i="69" s="1"/>
  <c r="C47" i="69"/>
  <c r="D45" i="69" s="1"/>
  <c r="T41" i="71"/>
  <c r="D41" i="71"/>
  <c r="Q63" i="71"/>
  <c r="Q62" i="71"/>
  <c r="C29" i="68"/>
  <c r="D27" i="68" s="1"/>
  <c r="G67" i="39"/>
  <c r="F69" i="39"/>
  <c r="E39" i="43"/>
  <c r="G39" i="43"/>
  <c r="I39" i="43" s="1"/>
  <c r="C35" i="43"/>
  <c r="C36" i="43"/>
  <c r="C37" i="43"/>
  <c r="C33" i="43"/>
  <c r="C34" i="43"/>
  <c r="C38" i="43"/>
  <c r="I53" i="34"/>
  <c r="J53" i="34" s="1"/>
  <c r="F58" i="21"/>
  <c r="R37" i="36"/>
  <c r="E36" i="36"/>
  <c r="F63" i="40"/>
  <c r="E65" i="40"/>
  <c r="W7" i="33"/>
  <c r="AC7" i="33"/>
  <c r="V48" i="33" s="1"/>
  <c r="I48" i="33" s="1"/>
  <c r="I51" i="79"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I50" i="79" s="1"/>
  <c r="C53" i="67"/>
  <c r="C53" i="15"/>
  <c r="C14" i="67"/>
  <c r="C17" i="67"/>
  <c r="C16" i="83"/>
  <c r="C17" i="15"/>
  <c r="C49" i="83" l="1"/>
  <c r="C48" i="83" s="1"/>
  <c r="U7" i="84"/>
  <c r="AB7" i="84"/>
  <c r="T48" i="84" s="1"/>
  <c r="G48" i="84" s="1"/>
  <c r="W7" i="84"/>
  <c r="AC7" i="84"/>
  <c r="V48" i="84" s="1"/>
  <c r="I48" i="84" s="1"/>
  <c r="Q74" i="83"/>
  <c r="Q61" i="83"/>
  <c r="Q57" i="83"/>
  <c r="Q66" i="83"/>
  <c r="J10" i="83"/>
  <c r="J5" i="83" s="1"/>
  <c r="AA7" i="84"/>
  <c r="R48" i="84" s="1"/>
  <c r="S7" i="84"/>
  <c r="Q73" i="83"/>
  <c r="Q60" i="83"/>
  <c r="E29" i="43"/>
  <c r="F41" i="85"/>
  <c r="C24" i="85"/>
  <c r="C26" i="85"/>
  <c r="D22" i="85" s="1"/>
  <c r="C44" i="85"/>
  <c r="D41" i="85" s="1"/>
  <c r="J26" i="15"/>
  <c r="F22" i="78"/>
  <c r="F41" i="78" s="1"/>
  <c r="F24" i="83"/>
  <c r="F1" i="83"/>
  <c r="Q52" i="83"/>
  <c r="C48" i="67"/>
  <c r="C66" i="67" s="1"/>
  <c r="T37" i="71"/>
  <c r="D37" i="71"/>
  <c r="J24" i="67"/>
  <c r="C48" i="15"/>
  <c r="C60" i="15" s="1"/>
  <c r="D113" i="43"/>
  <c r="J22" i="43" s="1"/>
  <c r="F22" i="69"/>
  <c r="F41" i="69" s="1"/>
  <c r="C15" i="67"/>
  <c r="C18" i="67"/>
  <c r="E6" i="3"/>
  <c r="AQ6" i="1"/>
  <c r="E6" i="70"/>
  <c r="AR6" i="1"/>
  <c r="T6" i="1"/>
  <c r="M20" i="6"/>
  <c r="I20" i="6" s="1"/>
  <c r="S20" i="6" s="1"/>
  <c r="S7" i="1"/>
  <c r="F24" i="15"/>
  <c r="C24" i="15" s="1"/>
  <c r="F22" i="11"/>
  <c r="C23" i="11" s="1"/>
  <c r="F22" i="68"/>
  <c r="F41" i="68" s="1"/>
  <c r="F24" i="67"/>
  <c r="C24" i="67" s="1"/>
  <c r="F25" i="12"/>
  <c r="C26" i="12" s="1"/>
  <c r="D25" i="12" s="1"/>
  <c r="E65" i="39"/>
  <c r="C18" i="71"/>
  <c r="D19" i="71"/>
  <c r="B12" i="71"/>
  <c r="B11" i="71" s="1"/>
  <c r="B10" i="71" s="1"/>
  <c r="B9" i="71" s="1"/>
  <c r="S13" i="71"/>
  <c r="D3" i="34"/>
  <c r="D3" i="33"/>
  <c r="D19" i="11"/>
  <c r="C19" i="11" s="1"/>
  <c r="C17" i="4"/>
  <c r="B4" i="52" s="1"/>
  <c r="B43" i="72" s="1"/>
  <c r="D3" i="37"/>
  <c r="D3" i="21"/>
  <c r="D37" i="11"/>
  <c r="C37" i="11" s="1"/>
  <c r="M18" i="9"/>
  <c r="B118" i="9" s="1"/>
  <c r="B14" i="74" s="1"/>
  <c r="B1" i="74" s="1"/>
  <c r="E6" i="6"/>
  <c r="D14" i="12"/>
  <c r="M19" i="6"/>
  <c r="K27" i="6"/>
  <c r="M14" i="1"/>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124" i="3"/>
  <c r="AY42" i="3"/>
  <c r="AY281" i="3"/>
  <c r="AY168" i="3"/>
  <c r="AY236" i="3"/>
  <c r="AY366" i="3"/>
  <c r="AY473" i="3"/>
  <c r="AY441" i="3"/>
  <c r="AY26" i="3"/>
  <c r="AY260" i="3"/>
  <c r="AY372" i="3"/>
  <c r="AY327" i="3"/>
  <c r="AY342" i="3"/>
  <c r="AY465" i="3"/>
  <c r="AY452" i="3"/>
  <c r="AY433" i="3"/>
  <c r="AY513" i="3"/>
  <c r="BK6" i="3"/>
  <c r="AY569" i="3"/>
  <c r="AY541" i="3"/>
  <c r="AY553" i="3"/>
  <c r="AY108" i="3"/>
  <c r="AY77" i="3"/>
  <c r="AY45" i="3"/>
  <c r="AY60" i="3"/>
  <c r="AY28" i="3"/>
  <c r="AY206" i="3"/>
  <c r="AY201" i="3"/>
  <c r="AY170" i="3"/>
  <c r="AY138" i="3"/>
  <c r="AY149" i="3"/>
  <c r="AY118" i="3"/>
  <c r="AY299" i="3"/>
  <c r="AY294" i="3"/>
  <c r="AY263"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09"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144" i="3"/>
  <c r="AY95" i="3"/>
  <c r="AY152" i="3"/>
  <c r="AY111" i="3"/>
  <c r="AY253" i="3"/>
  <c r="AY382" i="3"/>
  <c r="AY303" i="3"/>
  <c r="AY460" i="3"/>
  <c r="AY529" i="3"/>
  <c r="AY300" i="3"/>
  <c r="AY217" i="3"/>
  <c r="AY358" i="3"/>
  <c r="AY310" i="3"/>
  <c r="AY463" i="3"/>
  <c r="AY420" i="3"/>
  <c r="AY401" i="3"/>
  <c r="AY549" i="3"/>
  <c r="AY544" i="3"/>
  <c r="AY533" i="3"/>
  <c r="BE6" i="3"/>
  <c r="AY97" i="3"/>
  <c r="AY92" i="3"/>
  <c r="AY61" i="3"/>
  <c r="AY76" i="3"/>
  <c r="AY44" i="3"/>
  <c r="AY33" i="3"/>
  <c r="AY190" i="3"/>
  <c r="AY185" i="3"/>
  <c r="AY154" i="3"/>
  <c r="AY165" i="3"/>
  <c r="AY133" i="3"/>
  <c r="AY125" i="3"/>
  <c r="AY283" i="3"/>
  <c r="AY278"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6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AE7" i="1"/>
  <c r="D10" i="78"/>
  <c r="C17" i="83"/>
  <c r="C14" i="15"/>
  <c r="D10" i="85"/>
  <c r="E6" i="76"/>
  <c r="C34" i="69"/>
  <c r="B6" i="76"/>
  <c r="C34" i="78"/>
  <c r="C60" i="83" l="1"/>
  <c r="C66" i="83"/>
  <c r="C10" i="85"/>
  <c r="C8" i="85" s="1"/>
  <c r="C5" i="85" s="1"/>
  <c r="D19" i="85"/>
  <c r="D37" i="85" s="1"/>
  <c r="C37" i="85" s="1"/>
  <c r="R49" i="84"/>
  <c r="E48" i="84"/>
  <c r="I52" i="84"/>
  <c r="J52" i="84" s="1"/>
  <c r="I53" i="84"/>
  <c r="J53" i="84" s="1"/>
  <c r="G53" i="84"/>
  <c r="H53" i="84" s="1"/>
  <c r="G52" i="84"/>
  <c r="H52" i="84" s="1"/>
  <c r="J24" i="83"/>
  <c r="J26" i="83"/>
  <c r="E7" i="70"/>
  <c r="E2" i="70" s="1"/>
  <c r="I53" i="33"/>
  <c r="J53" i="33" s="1"/>
  <c r="I48" i="79"/>
  <c r="C26" i="78"/>
  <c r="D22" i="78" s="1"/>
  <c r="C44" i="78"/>
  <c r="D41" i="78" s="1"/>
  <c r="C60" i="67"/>
  <c r="C24" i="78"/>
  <c r="C24" i="83"/>
  <c r="C18" i="15"/>
  <c r="C15" i="15"/>
  <c r="F1" i="15"/>
  <c r="Q52" i="15"/>
  <c r="C66" i="15"/>
  <c r="C44" i="69"/>
  <c r="D41" i="69" s="1"/>
  <c r="C19" i="67"/>
  <c r="C20" i="67" s="1"/>
  <c r="C26" i="67" s="1"/>
  <c r="C26" i="69"/>
  <c r="D22" i="69" s="1"/>
  <c r="D19" i="78"/>
  <c r="D37" i="78" s="1"/>
  <c r="C37" i="78" s="1"/>
  <c r="C10" i="78"/>
  <c r="C8" i="78" s="1"/>
  <c r="C35" i="78"/>
  <c r="C38" i="78"/>
  <c r="AQ7" i="1"/>
  <c r="AR7" i="1"/>
  <c r="T7" i="1"/>
  <c r="S16" i="1"/>
  <c r="C44" i="11"/>
  <c r="D41" i="11" s="1"/>
  <c r="C24" i="11"/>
  <c r="C26" i="11"/>
  <c r="D22" i="11" s="1"/>
  <c r="C26" i="68"/>
  <c r="D22" i="68" s="1"/>
  <c r="C44" i="68"/>
  <c r="D41" i="68" s="1"/>
  <c r="H20" i="6"/>
  <c r="D19" i="6"/>
  <c r="M19" i="9" s="1"/>
  <c r="C118" i="9" s="1"/>
  <c r="C14" i="74" s="1"/>
  <c r="B2" i="74" s="1"/>
  <c r="D26" i="6"/>
  <c r="C18" i="4"/>
  <c r="D8" i="6"/>
  <c r="D23" i="6"/>
  <c r="D14" i="6"/>
  <c r="D5" i="6"/>
  <c r="D12" i="6"/>
  <c r="D11" i="6"/>
  <c r="D13" i="6"/>
  <c r="D28" i="6"/>
  <c r="E61" i="40"/>
  <c r="H23" i="6"/>
  <c r="H26" i="6"/>
  <c r="D15" i="6"/>
  <c r="D24" i="6"/>
  <c r="D25" i="6"/>
  <c r="D22" i="6"/>
  <c r="D21" i="6"/>
  <c r="D20" i="6"/>
  <c r="R20" i="6" s="1"/>
  <c r="R7" i="1" s="1"/>
  <c r="D6" i="6"/>
  <c r="D9" i="6"/>
  <c r="D10" i="6"/>
  <c r="D29" i="6"/>
  <c r="H25" i="6"/>
  <c r="H22" i="6"/>
  <c r="H21" i="6"/>
  <c r="H24" i="6"/>
  <c r="C35" i="69"/>
  <c r="C38" i="69"/>
  <c r="D17" i="12"/>
  <c r="C17" i="12" s="1"/>
  <c r="C14" i="12"/>
  <c r="O14" i="1"/>
  <c r="O16" i="1" s="1"/>
  <c r="M16" i="1"/>
  <c r="M27" i="6"/>
  <c r="I19" i="6"/>
  <c r="L18" i="9" s="1"/>
  <c r="D10" i="11"/>
  <c r="C10" i="11" s="1"/>
  <c r="D20" i="12"/>
  <c r="C20" i="12" s="1"/>
  <c r="C18" i="12" s="1"/>
  <c r="C8" i="74"/>
  <c r="C7" i="74"/>
  <c r="C20" i="11"/>
  <c r="C25" i="11" s="1"/>
  <c r="B8" i="71"/>
  <c r="B7" i="71" s="1"/>
  <c r="B6" i="71" s="1"/>
  <c r="B5" i="71" s="1"/>
  <c r="S9" i="71"/>
  <c r="D18" i="71"/>
  <c r="C17" i="71"/>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4" i="85"/>
  <c r="D10" i="68"/>
  <c r="AE6" i="1"/>
  <c r="D10" i="69"/>
  <c r="C14" i="83"/>
  <c r="F41" i="83"/>
  <c r="C38" i="85" l="1"/>
  <c r="C35" i="85"/>
  <c r="C33" i="85" s="1"/>
  <c r="E53" i="84"/>
  <c r="F53" i="84" s="1"/>
  <c r="E52" i="84"/>
  <c r="F52" i="84" s="1"/>
  <c r="C48" i="84"/>
  <c r="C49" i="84"/>
  <c r="C20" i="85"/>
  <c r="C25" i="85" s="1"/>
  <c r="C23" i="85"/>
  <c r="C15" i="83"/>
  <c r="C18" i="83"/>
  <c r="T16" i="1"/>
  <c r="B2" i="33"/>
  <c r="B3" i="33" s="1"/>
  <c r="U6" i="1" s="1"/>
  <c r="E16" i="79"/>
  <c r="J29" i="83"/>
  <c r="F69" i="83"/>
  <c r="C19" i="15"/>
  <c r="C20" i="15" s="1"/>
  <c r="C26" i="15" s="1"/>
  <c r="C23" i="67"/>
  <c r="C29" i="67" s="1"/>
  <c r="C36" i="67" s="1"/>
  <c r="C33" i="78"/>
  <c r="C22" i="11"/>
  <c r="D16" i="6"/>
  <c r="D30" i="6"/>
  <c r="P14" i="1"/>
  <c r="P16" i="1" s="1"/>
  <c r="C11" i="12" s="1"/>
  <c r="C12" i="12" s="1"/>
  <c r="R21" i="6"/>
  <c r="C10" i="68"/>
  <c r="C8" i="68" s="1"/>
  <c r="D19" i="68"/>
  <c r="R25" i="6"/>
  <c r="R26" i="6"/>
  <c r="D8" i="74"/>
  <c r="D7" i="74"/>
  <c r="C16" i="71"/>
  <c r="T17" i="71"/>
  <c r="D17" i="71"/>
  <c r="U17" i="71" s="1"/>
  <c r="C28" i="11"/>
  <c r="C27" i="11" s="1"/>
  <c r="C10" i="69"/>
  <c r="C8" i="69" s="1"/>
  <c r="D19" i="69"/>
  <c r="S19" i="6"/>
  <c r="S27" i="6" s="1"/>
  <c r="I27" i="6"/>
  <c r="N16" i="1"/>
  <c r="L16" i="1"/>
  <c r="C34" i="11"/>
  <c r="R22" i="6"/>
  <c r="R24" i="6"/>
  <c r="H19" i="6"/>
  <c r="R23" i="6"/>
  <c r="A7" i="51"/>
  <c r="B7" i="72" s="1"/>
  <c r="C4" i="52"/>
  <c r="B45" i="72" s="1"/>
  <c r="A10" i="51"/>
  <c r="B9" i="72" s="1"/>
  <c r="D27" i="6"/>
  <c r="R19" i="6"/>
  <c r="R6" i="1" s="1"/>
  <c r="I69" i="39"/>
  <c r="J67" i="39"/>
  <c r="B3" i="76"/>
  <c r="I63" i="40"/>
  <c r="H65" i="40"/>
  <c r="I58" i="21"/>
  <c r="J58" i="21" s="1"/>
  <c r="K58" i="21" s="1"/>
  <c r="L58" i="21" s="1"/>
  <c r="M58" i="21" s="1"/>
  <c r="N58" i="21" s="1"/>
  <c r="O58" i="21" s="1"/>
  <c r="H7" i="21" s="1"/>
  <c r="J48" i="35"/>
  <c r="F41" i="67"/>
  <c r="F35" i="15"/>
  <c r="F35" i="83"/>
  <c r="M21" i="67"/>
  <c r="C34" i="68"/>
  <c r="M21" i="83"/>
  <c r="F6" i="67"/>
  <c r="M21" i="15"/>
  <c r="F41" i="15"/>
  <c r="F6" i="15"/>
  <c r="F35" i="67"/>
  <c r="C22" i="85" l="1"/>
  <c r="C39" i="85"/>
  <c r="C43" i="85" s="1"/>
  <c r="C46" i="85"/>
  <c r="C45" i="85" s="1"/>
  <c r="C42" i="85"/>
  <c r="C41" i="85" s="1"/>
  <c r="F7" i="21"/>
  <c r="F50" i="78"/>
  <c r="F50" i="85"/>
  <c r="C28" i="85"/>
  <c r="C27" i="85" s="1"/>
  <c r="C31" i="85" s="1"/>
  <c r="C4" i="79"/>
  <c r="B3" i="84"/>
  <c r="B2" i="84"/>
  <c r="C19" i="83"/>
  <c r="C20" i="83" s="1"/>
  <c r="C26" i="83" s="1"/>
  <c r="J29" i="15"/>
  <c r="F69" i="15"/>
  <c r="C6" i="67"/>
  <c r="C10" i="67" s="1"/>
  <c r="C5" i="67" s="1"/>
  <c r="C38" i="67" s="1"/>
  <c r="C6" i="15"/>
  <c r="C33" i="15" s="1"/>
  <c r="U7" i="1"/>
  <c r="F69" i="67"/>
  <c r="J29" i="67"/>
  <c r="J20" i="83"/>
  <c r="C34" i="83"/>
  <c r="F63" i="83"/>
  <c r="C62" i="83" s="1"/>
  <c r="C57" i="67"/>
  <c r="C61" i="67" s="1"/>
  <c r="C23" i="15"/>
  <c r="C29" i="15" s="1"/>
  <c r="C36" i="15" s="1"/>
  <c r="J20" i="15"/>
  <c r="F63" i="15"/>
  <c r="C62" i="15" s="1"/>
  <c r="C34" i="15"/>
  <c r="J14" i="67"/>
  <c r="J13" i="67" s="1"/>
  <c r="J23" i="67" s="1"/>
  <c r="J7" i="21"/>
  <c r="AC7" i="21" s="1"/>
  <c r="V48" i="21" s="1"/>
  <c r="I48" i="21" s="1"/>
  <c r="D31" i="6"/>
  <c r="Q49" i="67"/>
  <c r="J59" i="67"/>
  <c r="J60" i="67" s="1"/>
  <c r="Q48" i="67" s="1"/>
  <c r="J19" i="67"/>
  <c r="C13" i="67"/>
  <c r="C56" i="67" s="1"/>
  <c r="C65" i="67" s="1"/>
  <c r="C39" i="78"/>
  <c r="C43" i="78" s="1"/>
  <c r="C42" i="78"/>
  <c r="H27" i="6"/>
  <c r="L19" i="9"/>
  <c r="C15" i="12"/>
  <c r="C16" i="12" s="1"/>
  <c r="C21" i="12" s="1"/>
  <c r="C22" i="12" s="1"/>
  <c r="C30" i="12" s="1"/>
  <c r="C28" i="12" s="1"/>
  <c r="J20" i="67"/>
  <c r="C34" i="67"/>
  <c r="F63" i="67"/>
  <c r="C62" i="67" s="1"/>
  <c r="R16" i="1"/>
  <c r="C31" i="11"/>
  <c r="R27" i="6"/>
  <c r="C38" i="68"/>
  <c r="C35" i="68"/>
  <c r="C19" i="69"/>
  <c r="C24" i="69" s="1"/>
  <c r="D37" i="69"/>
  <c r="C37" i="69" s="1"/>
  <c r="C33" i="69" s="1"/>
  <c r="C19" i="68"/>
  <c r="D37" i="68"/>
  <c r="C37" i="68" s="1"/>
  <c r="I6" i="6"/>
  <c r="I5" i="6"/>
  <c r="C38" i="11"/>
  <c r="C35" i="11"/>
  <c r="F50" i="11"/>
  <c r="F50" i="68"/>
  <c r="F50" i="69"/>
  <c r="C15" i="71"/>
  <c r="D16" i="71"/>
  <c r="J69" i="39"/>
  <c r="K67" i="39"/>
  <c r="U7" i="21"/>
  <c r="AB7" i="21"/>
  <c r="T48" i="21" s="1"/>
  <c r="G48" i="21" s="1"/>
  <c r="S7" i="21"/>
  <c r="AA7" i="21"/>
  <c r="R48" i="21" s="1"/>
  <c r="J63" i="40"/>
  <c r="I65" i="40"/>
  <c r="K48" i="35"/>
  <c r="L48" i="35" s="1"/>
  <c r="M48" i="35" s="1"/>
  <c r="N48" i="35" s="1"/>
  <c r="O48" i="35" s="1"/>
  <c r="H7" i="35" s="1"/>
  <c r="F6" i="83"/>
  <c r="W7" i="21" l="1"/>
  <c r="C49" i="85"/>
  <c r="C51" i="85" s="1"/>
  <c r="C23" i="83"/>
  <c r="C29" i="83" s="1"/>
  <c r="C32" i="15"/>
  <c r="C32" i="67"/>
  <c r="C33" i="67"/>
  <c r="C10" i="15"/>
  <c r="C5" i="15" s="1"/>
  <c r="C38" i="15" s="1"/>
  <c r="C6" i="83"/>
  <c r="C31" i="15"/>
  <c r="J17" i="67"/>
  <c r="C59" i="67"/>
  <c r="C64" i="67"/>
  <c r="J59" i="15"/>
  <c r="J60" i="15" s="1"/>
  <c r="Q48" i="15" s="1"/>
  <c r="J7" i="35"/>
  <c r="W7" i="35" s="1"/>
  <c r="J19" i="15"/>
  <c r="J17" i="15" s="1"/>
  <c r="C57" i="15"/>
  <c r="J14" i="15"/>
  <c r="C13" i="15"/>
  <c r="Q49" i="15"/>
  <c r="J22" i="67"/>
  <c r="C75" i="67"/>
  <c r="Q70" i="67"/>
  <c r="C37" i="67"/>
  <c r="C41" i="78"/>
  <c r="C46" i="78"/>
  <c r="C45" i="78" s="1"/>
  <c r="C33" i="68"/>
  <c r="C39" i="68" s="1"/>
  <c r="C33" i="11"/>
  <c r="C39" i="11" s="1"/>
  <c r="C27" i="12"/>
  <c r="C25" i="12" s="1"/>
  <c r="C32" i="12" s="1"/>
  <c r="B2" i="12" s="1"/>
  <c r="B3" i="12" s="1"/>
  <c r="C24" i="68"/>
  <c r="C14" i="71"/>
  <c r="D15" i="71"/>
  <c r="C39" i="69"/>
  <c r="C43" i="69" s="1"/>
  <c r="C42" i="69"/>
  <c r="L67" i="39"/>
  <c r="K69" i="39"/>
  <c r="AC7" i="35"/>
  <c r="V38" i="35" s="1"/>
  <c r="I38" i="35" s="1"/>
  <c r="J65" i="40"/>
  <c r="K63" i="40"/>
  <c r="I52" i="21"/>
  <c r="J52" i="21" s="1"/>
  <c r="U7" i="35"/>
  <c r="AB7" i="35"/>
  <c r="T38" i="35" s="1"/>
  <c r="G38" i="35" s="1"/>
  <c r="R49" i="21"/>
  <c r="E48" i="21"/>
  <c r="G52" i="21"/>
  <c r="H52" i="21" s="1"/>
  <c r="G53" i="21"/>
  <c r="H53" i="21" s="1"/>
  <c r="F7" i="35"/>
  <c r="L57" i="15"/>
  <c r="L60" i="15" s="1"/>
  <c r="C42" i="11" l="1"/>
  <c r="C52" i="85"/>
  <c r="B2" i="85" s="1"/>
  <c r="C36" i="83"/>
  <c r="J14" i="83"/>
  <c r="Q49" i="83"/>
  <c r="C57" i="83"/>
  <c r="J19" i="83"/>
  <c r="J17" i="83" s="1"/>
  <c r="C13" i="83"/>
  <c r="J59" i="83"/>
  <c r="J60" i="83" s="1"/>
  <c r="C31" i="67"/>
  <c r="C30" i="67" s="1"/>
  <c r="C39" i="67" s="1"/>
  <c r="Q69" i="67" s="1"/>
  <c r="Q68" i="67" s="1"/>
  <c r="C33" i="83"/>
  <c r="C32" i="83"/>
  <c r="C10" i="83"/>
  <c r="C5" i="83" s="1"/>
  <c r="C38" i="83" s="1"/>
  <c r="J16" i="67"/>
  <c r="J25" i="67" s="1"/>
  <c r="C58" i="67"/>
  <c r="C67" i="67" s="1"/>
  <c r="C68" i="67" s="1"/>
  <c r="C71" i="67" s="1"/>
  <c r="L46" i="15"/>
  <c r="J13" i="15"/>
  <c r="J23" i="15" s="1"/>
  <c r="J22" i="15"/>
  <c r="C56" i="15"/>
  <c r="C65" i="15" s="1"/>
  <c r="Q70" i="15"/>
  <c r="C75" i="15"/>
  <c r="C37" i="15"/>
  <c r="C30" i="15" s="1"/>
  <c r="C39" i="15" s="1"/>
  <c r="Q69" i="15" s="1"/>
  <c r="C61" i="15"/>
  <c r="C59" i="15" s="1"/>
  <c r="C64" i="15"/>
  <c r="C49" i="78"/>
  <c r="C51" i="78" s="1"/>
  <c r="L57" i="67"/>
  <c r="L60" i="67" s="1"/>
  <c r="L46" i="67" s="1"/>
  <c r="C41" i="69"/>
  <c r="C42" i="68"/>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85"/>
  <c r="C6" i="79" l="1"/>
  <c r="C41" i="11"/>
  <c r="C57" i="85"/>
  <c r="C56" i="85" s="1"/>
  <c r="C37" i="83"/>
  <c r="C75" i="83"/>
  <c r="C56" i="83"/>
  <c r="C65" i="83" s="1"/>
  <c r="Q70" i="83"/>
  <c r="C64" i="83"/>
  <c r="C61" i="83"/>
  <c r="C59" i="83" s="1"/>
  <c r="J13" i="83"/>
  <c r="J23" i="83" s="1"/>
  <c r="J22" i="83"/>
  <c r="Q48" i="83"/>
  <c r="L46" i="83"/>
  <c r="C31" i="83"/>
  <c r="C30" i="83" s="1"/>
  <c r="C39" i="83" s="1"/>
  <c r="Q68" i="15"/>
  <c r="J16" i="15"/>
  <c r="J25" i="15" s="1"/>
  <c r="C40" i="15"/>
  <c r="C58" i="15"/>
  <c r="C67" i="15" s="1"/>
  <c r="C68" i="15" s="1"/>
  <c r="C80" i="15"/>
  <c r="C79" i="15" s="1"/>
  <c r="C40" i="67"/>
  <c r="Q56" i="67" s="1"/>
  <c r="Q66" i="67"/>
  <c r="C80" i="67"/>
  <c r="C79" i="67" s="1"/>
  <c r="C49" i="69"/>
  <c r="C51" i="69" s="1"/>
  <c r="Q57" i="67"/>
  <c r="C41" i="68"/>
  <c r="C49" i="68" s="1"/>
  <c r="C51" i="68" s="1"/>
  <c r="C49" i="11"/>
  <c r="C51" i="11" s="1"/>
  <c r="C52" i="11" s="1"/>
  <c r="B2" i="11" s="1"/>
  <c r="B3" i="11" s="1"/>
  <c r="C12" i="71"/>
  <c r="T13" i="71"/>
  <c r="D13" i="71"/>
  <c r="U13" i="71" s="1"/>
  <c r="M69" i="39"/>
  <c r="N67" i="39"/>
  <c r="R39" i="35"/>
  <c r="E38" i="35"/>
  <c r="M63" i="40"/>
  <c r="L65" i="40"/>
  <c r="L51" i="15"/>
  <c r="L51" i="67"/>
  <c r="C80" i="83" l="1"/>
  <c r="C79" i="83" s="1"/>
  <c r="J16" i="83"/>
  <c r="J25" i="83" s="1"/>
  <c r="C58" i="83"/>
  <c r="C67" i="83" s="1"/>
  <c r="C68" i="83" s="1"/>
  <c r="C71" i="83" s="1"/>
  <c r="C40" i="83"/>
  <c r="Q69" i="83"/>
  <c r="Q68" i="83" s="1"/>
  <c r="Q67" i="15"/>
  <c r="Q67" i="67"/>
  <c r="C43" i="67"/>
  <c r="C71" i="15"/>
  <c r="C46" i="15"/>
  <c r="Q65" i="15"/>
  <c r="Q75" i="15" s="1"/>
  <c r="C83" i="15"/>
  <c r="C82" i="15" s="1"/>
  <c r="Q47" i="15"/>
  <c r="Q53" i="15" s="1"/>
  <c r="Q56" i="15"/>
  <c r="Q62" i="15" s="1"/>
  <c r="C43" i="15"/>
  <c r="B2" i="15"/>
  <c r="B3" i="15" s="1"/>
  <c r="C5" i="79" s="1"/>
  <c r="Q47" i="67"/>
  <c r="Q53" i="67" s="1"/>
  <c r="C83" i="67"/>
  <c r="C82" i="67" s="1"/>
  <c r="D2" i="67"/>
  <c r="B2" i="67" s="1"/>
  <c r="Q65" i="67"/>
  <c r="Q75" i="67" s="1"/>
  <c r="C45" i="67"/>
  <c r="C46" i="67" s="1"/>
  <c r="Q62" i="67"/>
  <c r="C56" i="11"/>
  <c r="C57" i="11" s="1"/>
  <c r="D12" i="71"/>
  <c r="C11" i="71"/>
  <c r="O67" i="39"/>
  <c r="O69" i="39" s="1"/>
  <c r="N69" i="39"/>
  <c r="C39" i="35"/>
  <c r="B2" i="35" s="1"/>
  <c r="B3" i="35" s="1"/>
  <c r="C38" i="35"/>
  <c r="N63" i="40"/>
  <c r="M65" i="40"/>
  <c r="E43" i="35"/>
  <c r="F43" i="35" s="1"/>
  <c r="E42" i="35"/>
  <c r="F42" i="35" s="1"/>
  <c r="I43" i="35"/>
  <c r="J43" i="35" s="1"/>
  <c r="D20" i="9"/>
  <c r="AO6" i="1"/>
  <c r="L51" i="83"/>
  <c r="D19" i="9"/>
  <c r="Q67" i="83" l="1"/>
  <c r="F7" i="39"/>
  <c r="C46" i="83"/>
  <c r="Q47" i="83"/>
  <c r="Q53" i="83" s="1"/>
  <c r="Q65" i="83"/>
  <c r="Q75" i="83" s="1"/>
  <c r="Q56" i="83"/>
  <c r="Q62" i="83" s="1"/>
  <c r="B2" i="83"/>
  <c r="C43" i="83"/>
  <c r="C83" i="83"/>
  <c r="C82" i="83" s="1"/>
  <c r="B3" i="67"/>
  <c r="D103" i="9"/>
  <c r="D102" i="9"/>
  <c r="D21" i="9"/>
  <c r="B6" i="70"/>
  <c r="C10" i="71"/>
  <c r="D11" i="71"/>
  <c r="H7" i="39"/>
  <c r="J7" i="39"/>
  <c r="S7" i="39"/>
  <c r="AA7" i="39"/>
  <c r="R47" i="39" s="1"/>
  <c r="O63" i="40"/>
  <c r="O65" i="40" s="1"/>
  <c r="N65" i="40"/>
  <c r="AO7" i="1"/>
  <c r="B7" i="70" l="1"/>
  <c r="B3" i="83"/>
  <c r="C7" i="79" s="1"/>
  <c r="B2" i="70"/>
  <c r="B3" i="70" s="1"/>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s="1"/>
  <c r="C6" i="69" l="1"/>
  <c r="C7" i="69" s="1"/>
  <c r="C5" i="69" s="1"/>
  <c r="C6" i="78"/>
  <c r="C7" i="78" s="1"/>
  <c r="C5" i="78" s="1"/>
  <c r="C20" i="78" l="1"/>
  <c r="C25" i="78" s="1"/>
  <c r="C23" i="78"/>
  <c r="C23" i="69"/>
  <c r="C20" i="69"/>
  <c r="C25" i="69" s="1"/>
  <c r="C28" i="78" l="1"/>
  <c r="C27" i="78" s="1"/>
  <c r="C28" i="69"/>
  <c r="C27" i="69" s="1"/>
  <c r="C22" i="69"/>
  <c r="C22" i="78"/>
  <c r="C31" i="78" l="1"/>
  <c r="C52" i="78" s="1"/>
  <c r="E6" i="79" s="1"/>
  <c r="G6" i="79" s="1"/>
  <c r="C31" i="69"/>
  <c r="C52" i="69" s="1"/>
  <c r="C57" i="69" s="1"/>
  <c r="C56" i="69" s="1"/>
  <c r="C57" i="78" l="1"/>
  <c r="C56" i="78" s="1"/>
  <c r="B2" i="78"/>
  <c r="B2" i="69"/>
  <c r="C19" i="9"/>
  <c r="B3" i="78"/>
  <c r="B3" i="69"/>
  <c r="C21" i="9" l="1"/>
  <c r="C102" i="9"/>
  <c r="D22" i="9"/>
  <c r="G19" i="9"/>
  <c r="G21" i="9" s="1"/>
  <c r="C20" i="9"/>
  <c r="C103" i="9" l="1"/>
  <c r="G20" i="9"/>
  <c r="C32" i="9" s="1"/>
  <c r="C35" i="9" s="1"/>
  <c r="G118" i="9" s="1"/>
  <c r="G4" i="52" s="1"/>
  <c r="B52" i="72" s="1"/>
  <c r="F118" i="9" l="1"/>
  <c r="F4" i="52" s="1"/>
  <c r="B51" i="72" s="1"/>
  <c r="C34" i="9"/>
  <c r="I118" i="9"/>
  <c r="H102" i="9" s="1"/>
  <c r="D7" i="53" s="1"/>
  <c r="B21" i="72" s="1"/>
  <c r="F119" i="9" l="1"/>
  <c r="F5" i="52" s="1"/>
  <c r="B53" i="72" s="1"/>
  <c r="E118" i="9"/>
  <c r="C105" i="9"/>
  <c r="H118" i="9"/>
  <c r="I4" i="52"/>
  <c r="C104" i="9" l="1"/>
  <c r="H119" i="9"/>
  <c r="H5" i="52" s="1"/>
  <c r="H101" i="9"/>
  <c r="H4" i="52"/>
  <c r="D14" i="74"/>
  <c r="D118" i="9"/>
  <c r="E4" i="52"/>
  <c r="B48" i="72" s="1"/>
  <c r="D119" i="9" l="1"/>
  <c r="D5" i="52" s="1"/>
  <c r="B49" i="72" s="1"/>
  <c r="D4" i="52"/>
  <c r="B47" i="72" s="1"/>
  <c r="E14" i="74"/>
  <c r="B5" i="74"/>
  <c r="F14" i="74"/>
  <c r="H107" i="9"/>
  <c r="M48" i="9"/>
  <c r="D5" i="53"/>
  <c r="D45" i="9"/>
  <c r="D6" i="53" l="1"/>
  <c r="B22" i="72" s="1"/>
  <c r="B20" i="72"/>
  <c r="H108" i="9"/>
  <c r="D15" i="53" s="1"/>
  <c r="B31" i="72" s="1"/>
  <c r="D122" i="9"/>
  <c r="D13" i="53"/>
  <c r="D5" i="74"/>
  <c r="C5" i="74"/>
  <c r="C85" i="9"/>
  <c r="D53" i="9"/>
  <c r="C72" i="9"/>
  <c r="C78" i="9"/>
  <c r="C73" i="9" s="1"/>
  <c r="C64" i="9"/>
  <c r="C63" i="9" s="1"/>
  <c r="C67" i="9" s="1"/>
  <c r="D52" i="9"/>
  <c r="D55" i="9"/>
  <c r="M53" i="9" s="1"/>
  <c r="C93" i="9"/>
  <c r="C86" i="9" s="1"/>
  <c r="B30" i="72" l="1"/>
  <c r="D14" i="53"/>
  <c r="B32" i="72" s="1"/>
  <c r="D59" i="9"/>
  <c r="M55" i="9" s="1"/>
  <c r="C68" i="9"/>
  <c r="D54" i="9" s="1"/>
  <c r="C79" i="9"/>
  <c r="C80" i="9" s="1"/>
  <c r="E80" i="9" s="1"/>
  <c r="E81" i="9" s="1"/>
  <c r="C95" i="9"/>
  <c r="C96" i="9" s="1"/>
  <c r="E96" i="9" s="1"/>
  <c r="E97" i="9" s="1"/>
  <c r="G14" i="74"/>
  <c r="B6" i="74" s="1"/>
  <c r="D8" i="52"/>
  <c r="D123" i="9"/>
  <c r="D9" i="52" s="1"/>
  <c r="C81" i="9" l="1"/>
  <c r="C97" i="9"/>
  <c r="D58" i="9" s="1"/>
  <c r="D56" i="9" s="1"/>
  <c r="M54" i="9" s="1"/>
  <c r="N57" i="9" s="1"/>
  <c r="N58" i="9" s="1"/>
  <c r="D6" i="74"/>
  <c r="C6" i="74"/>
  <c r="N59" i="9" l="1"/>
  <c r="N60" i="9" s="1"/>
  <c r="P57" i="9"/>
  <c r="N61" i="9" l="1"/>
  <c r="C7" i="68"/>
  <c r="C5" i="68" s="1"/>
  <c r="C23" i="68" l="1"/>
  <c r="C20" i="68"/>
  <c r="C25" i="68" s="1"/>
  <c r="C28" i="68" l="1"/>
  <c r="C27" i="68" s="1"/>
  <c r="C22" i="68"/>
  <c r="C31" i="68" l="1"/>
  <c r="C52" i="68" s="1"/>
  <c r="C57" i="68" s="1"/>
  <c r="C56" i="68" s="1"/>
  <c r="B2" i="68" l="1"/>
  <c r="B3" i="68"/>
  <c r="C3" i="79" l="1"/>
  <c r="E3" i="79" s="1"/>
  <c r="G3" i="79" s="1"/>
  <c r="I3" i="79" l="1"/>
  <c r="F11" i="79" l="1"/>
  <c r="G8"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H2" authorId="0" shapeId="0" xr:uid="{00000000-0006-0000-1800-000001000000}">
      <text>
        <r>
          <rPr>
            <b/>
            <sz val="9"/>
            <color indexed="81"/>
            <rFont val="宋体"/>
            <family val="3"/>
            <charset val="134"/>
          </rPr>
          <t>kg:</t>
        </r>
        <r>
          <rPr>
            <sz val="9"/>
            <color indexed="81"/>
            <rFont val="宋体"/>
            <family val="3"/>
            <charset val="134"/>
          </rPr>
          <t xml:space="preserve">
市场销售情况 
一层超额利润</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7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<sst xmlns="http://schemas.openxmlformats.org/spreadsheetml/2006/main" count="9670" uniqueCount="3342">
  <si>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</si>
  <si>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</si>
  <si>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</si>
  <si>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</si>
  <si>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</si>
  <si>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</si>
  <si>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</si>
  <si>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</si>
  <si>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</si>
  <si>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</si>
  <si>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</si>
  <si>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</si>
  <si>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</si>
  <si>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</si>
  <si>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</si>
  <si>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</si>
  <si>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</si>
  <si>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</si>
  <si>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</si>
  <si>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</si>
  <si>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</si>
  <si>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</si>
  <si>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</si>
  <si>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</si>
  <si>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</si>
  <si>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</si>
  <si>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</si>
  <si>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</si>
  <si>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</si>
  <si>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</si>
  <si>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</si>
  <si>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</si>
  <si>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</si>
  <si>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</si>
  <si>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</si>
  <si>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</si>
  <si>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</si>
  <si>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</si>
  <si>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</si>
  <si>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</si>
  <si>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</si>
  <si>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</si>
  <si>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</si>
  <si>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</si>
  <si>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</si>
  <si>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</si>
  <si>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</si>
  <si>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</si>
  <si>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</si>
  <si>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</si>
  <si>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</si>
  <si>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</si>
  <si>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</si>
  <si>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</si>
  <si>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</si>
  <si>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</si>
  <si>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</si>
  <si>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</si>
  <si>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</si>
  <si>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</si>
  <si>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</si>
  <si>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</si>
  <si>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</si>
  <si>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</si>
  <si>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</si>
  <si>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</si>
  <si>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</si>
  <si>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</si>
  <si>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</si>
  <si>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</si>
  <si>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</si>
  <si>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</si>
  <si>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</si>
  <si>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</si>
  <si>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</si>
  <si>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</si>
  <si>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</si>
  <si>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</si>
  <si>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</si>
  <si>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</si>
  <si>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</si>
  <si>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</si>
  <si>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</si>
  <si>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</si>
  <si>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</si>
  <si>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</si>
  <si>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</si>
  <si>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</si>
  <si>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</si>
  <si>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</si>
  <si>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</si>
  <si>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</si>
  <si>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</si>
  <si>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</si>
  <si>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</si>
  <si>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</si>
  <si>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</si>
  <si>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</si>
  <si>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</si>
  <si>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</si>
  <si>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</si>
  <si>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</si>
  <si>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</si>
  <si>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</si>
  <si>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</si>
  <si>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</si>
  <si>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</si>
  <si>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</si>
  <si>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</si>
  <si>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</si>
  <si>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</si>
  <si>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</si>
  <si>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</si>
  <si>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</si>
  <si>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</si>
  <si>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</si>
  <si>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</si>
  <si>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</si>
  <si>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</si>
  <si>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</si>
  <si>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</si>
  <si>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</si>
  <si>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</si>
  <si>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</si>
  <si>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</si>
  <si>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</si>
  <si>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</si>
  <si>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</si>
  <si>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</si>
  <si>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</si>
  <si>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</si>
  <si>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</si>
  <si>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</si>
  <si>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</si>
  <si>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</si>
  <si>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</si>
  <si>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</si>
  <si>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</si>
  <si>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</si>
  <si>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</si>
  <si>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</si>
  <si>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</si>
  <si>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</si>
  <si>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</si>
  <si>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</si>
  <si>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</si>
  <si>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</si>
  <si>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</si>
  <si>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</si>
  <si>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</si>
  <si>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</si>
  <si>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</si>
  <si>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</si>
  <si>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</si>
  <si>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</si>
  <si>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</si>
  <si>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</si>
  <si>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</si>
  <si>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</si>
  <si>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</si>
  <si>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</si>
  <si>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</si>
  <si>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</si>
  <si>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</si>
  <si>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</si>
  <si>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</si>
  <si>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</si>
  <si>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</si>
  <si>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</si>
  <si>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</si>
  <si>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</si>
  <si>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</si>
  <si>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</si>
  <si>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</si>
  <si>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</si>
  <si>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</si>
  <si>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</si>
  <si>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</si>
  <si>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</si>
  <si>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</si>
  <si>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</si>
  <si>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</si>
  <si>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</si>
  <si>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</si>
  <si>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</si>
  <si>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</si>
  <si>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</si>
  <si>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</si>
  <si>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</si>
  <si>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</si>
  <si>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</si>
  <si>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</si>
  <si>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</si>
  <si>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</si>
  <si>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</si>
  <si>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</si>
  <si>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</si>
  <si>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</si>
  <si>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</si>
  <si>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</si>
  <si>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</si>
  <si>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</si>
  <si>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</si>
  <si>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</si>
  <si>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</si>
  <si>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</si>
  <si>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</si>
  <si>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</si>
  <si>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</si>
  <si>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</si>
  <si>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</si>
  <si>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</si>
  <si>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</si>
  <si>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</si>
  <si>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</si>
  <si>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</si>
  <si>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</si>
  <si>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</si>
  <si>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</si>
  <si>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</si>
  <si>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</si>
  <si>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</si>
  <si>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</si>
  <si>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</si>
  <si>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</si>
  <si>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</si>
  <si>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</si>
  <si>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</si>
  <si>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</si>
  <si>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</si>
  <si>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</si>
  <si>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</si>
  <si>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</si>
  <si>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</si>
  <si>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</si>
  <si>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</si>
  <si>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</si>
  <si>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</si>
  <si>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</si>
  <si>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</si>
  <si>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</si>
  <si>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</si>
  <si>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</si>
  <si>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</si>
  <si>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</si>
  <si>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</si>
  <si>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</si>
  <si>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</si>
  <si>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</si>
  <si>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</si>
  <si>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</si>
  <si>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</si>
  <si>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</si>
  <si>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</si>
  <si>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</si>
  <si>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</si>
  <si>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</si>
  <si>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</si>
  <si>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</si>
  <si>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</si>
  <si>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</si>
  <si>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</si>
  <si>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</si>
  <si>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</si>
  <si>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</si>
  <si>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</si>
  <si>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</si>
  <si>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</si>
  <si>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</si>
  <si>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</si>
  <si>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</si>
  <si>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</si>
  <si>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</si>
  <si>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</si>
  <si>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</si>
  <si>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</si>
  <si>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</si>
  <si>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</si>
  <si>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</si>
  <si>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</si>
  <si>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</si>
  <si>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</si>
  <si>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</si>
  <si>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</si>
  <si>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</si>
  <si>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</si>
  <si>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</si>
  <si>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</si>
  <si>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</si>
  <si>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</si>
  <si>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</si>
  <si>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</si>
  <si>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</si>
  <si>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</si>
  <si>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</si>
  <si>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</si>
  <si>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</si>
  <si>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</si>
  <si>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</si>
  <si>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</si>
  <si>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</si>
  <si>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</si>
  <si>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</si>
  <si>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</si>
  <si>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</si>
  <si>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</si>
  <si>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</si>
  <si>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</si>
  <si>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</si>
  <si>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</si>
  <si>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</si>
  <si>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</si>
  <si>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</si>
  <si>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</si>
  <si>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</si>
  <si>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</si>
  <si>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</si>
  <si>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</si>
  <si>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</si>
  <si>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</si>
  <si>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</si>
  <si>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</si>
  <si>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</si>
  <si>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</si>
  <si>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</si>
  <si>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</si>
  <si>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</si>
  <si>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</si>
  <si>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</si>
  <si>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</si>
  <si>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</si>
  <si>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</si>
  <si>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</si>
  <si>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</si>
  <si>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</si>
  <si>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</si>
  <si>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</si>
  <si>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</si>
  <si>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</si>
  <si>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</si>
  <si>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</si>
  <si>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</si>
  <si>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</si>
  <si>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</si>
  <si>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</si>
  <si>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</si>
  <si>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</si>
  <si>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</si>
  <si>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</si>
  <si>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</si>
  <si>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</si>
  <si>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</si>
  <si>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</si>
  <si>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</si>
  <si>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</si>
  <si>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</si>
  <si>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</si>
  <si>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</si>
  <si>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</si>
  <si>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</si>
  <si>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</si>
  <si>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</si>
  <si>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</si>
  <si>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</si>
  <si>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</si>
  <si>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</si>
  <si>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</si>
  <si>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</si>
  <si>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</si>
  <si>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</si>
  <si>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</si>
  <si>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</si>
  <si>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</si>
  <si>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</si>
  <si>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</si>
  <si>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</si>
  <si>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</si>
  <si>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</si>
  <si>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</si>
  <si>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</si>
  <si>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</si>
  <si>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</si>
  <si>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</si>
  <si>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</si>
  <si>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</si>
  <si>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</si>
  <si>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</si>
  <si>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</si>
  <si>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</si>
  <si>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</si>
  <si>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</si>
  <si>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</si>
  <si>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</si>
  <si>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</si>
  <si>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</si>
  <si>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</si>
  <si>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</si>
  <si>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</si>
  <si>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</si>
  <si>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</si>
  <si>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</si>
  <si>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</si>
  <si>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</si>
  <si>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</si>
  <si>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</si>
  <si>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</si>
  <si>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</si>
  <si>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</si>
  <si>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</si>
  <si>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</si>
  <si>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</si>
  <si>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</si>
  <si>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</si>
  <si>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</si>
  <si>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</si>
  <si>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</si>
  <si>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</si>
  <si>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</si>
  <si>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</si>
  <si>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</si>
  <si>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</si>
  <si>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</si>
  <si>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</si>
  <si>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</si>
  <si>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</si>
  <si>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</si>
  <si>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</si>
  <si>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</si>
  <si>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</si>
  <si>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</si>
  <si>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</si>
  <si>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</si>
  <si>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</si>
  <si>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</si>
  <si>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</si>
  <si>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</si>
  <si>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</si>
  <si>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</si>
  <si>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</si>
  <si>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</si>
  <si>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</si>
  <si>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</si>
  <si>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</si>
  <si>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</si>
  <si>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</si>
  <si>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</si>
  <si>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</si>
  <si>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</si>
  <si>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</si>
  <si>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</si>
  <si>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</si>
  <si>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</si>
  <si>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</si>
  <si>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</si>
  <si>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</si>
  <si>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</si>
  <si>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</si>
  <si>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</si>
  <si>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</si>
  <si>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</si>
  <si>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</si>
  <si>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</si>
  <si>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</si>
  <si>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</si>
  <si>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</si>
  <si>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</si>
  <si>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</si>
  <si>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</si>
  <si>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</si>
  <si>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</si>
  <si>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</si>
  <si>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</si>
  <si>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</si>
  <si>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</si>
  <si>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</si>
  <si>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</si>
  <si>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</si>
  <si>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</si>
  <si>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</si>
  <si>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</si>
  <si>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</si>
  <si>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</si>
  <si>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</si>
  <si>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</si>
  <si>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</si>
  <si>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</si>
  <si>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</si>
  <si>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</si>
  <si>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</si>
  <si>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</si>
  <si>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</si>
  <si>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</si>
  <si>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</si>
  <si>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</si>
  <si>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</si>
  <si>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</si>
  <si>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</si>
  <si>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</si>
  <si>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</si>
  <si>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</si>
  <si>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</si>
  <si>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</si>
  <si>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</si>
  <si>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</si>
  <si>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</si>
  <si>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</si>
  <si>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</si>
  <si>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</si>
  <si>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</si>
  <si>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</si>
  <si>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</si>
  <si>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</si>
  <si>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</si>
  <si>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</si>
  <si>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</si>
  <si>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</si>
  <si>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</si>
  <si>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</si>
  <si>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</si>
  <si>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</si>
  <si>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</si>
  <si>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</si>
  <si>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</si>
  <si>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</si>
  <si>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</si>
  <si>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</si>
  <si>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</si>
  <si>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</si>
  <si>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</si>
  <si>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</si>
  <si>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</si>
  <si>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</si>
  <si>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</si>
  <si>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</si>
  <si>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</si>
  <si>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</si>
  <si>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</si>
  <si>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</si>
  <si>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</si>
  <si>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</si>
  <si>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</si>
  <si>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</si>
  <si>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</si>
  <si>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</si>
  <si>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</si>
  <si>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</si>
  <si>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</si>
  <si>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</si>
  <si>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</si>
  <si>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</si>
  <si>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</si>
  <si>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</si>
  <si>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</si>
  <si>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</si>
  <si>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</si>
  <si>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</si>
  <si>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</si>
  <si>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</si>
  <si>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</si>
  <si>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</si>
  <si>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</si>
  <si>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</si>
  <si>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</si>
  <si>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</si>
  <si>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</si>
  <si>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</si>
  <si>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</si>
  <si>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</si>
  <si>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</si>
  <si>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</si>
  <si>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</si>
  <si>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</si>
  <si>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</si>
  <si>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</si>
  <si>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</si>
  <si>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</si>
  <si>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</si>
  <si>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</si>
  <si>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</si>
  <si>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</si>
  <si>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</si>
  <si>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</si>
  <si>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</si>
  <si>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</si>
  <si>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</si>
  <si>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</si>
  <si>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</si>
  <si>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</si>
  <si>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</si>
  <si>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</si>
  <si>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</si>
  <si>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</si>
  <si>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</si>
  <si>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</si>
  <si>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</si>
  <si>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</si>
  <si>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</si>
  <si>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</si>
  <si>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</si>
  <si>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</si>
  <si>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</si>
  <si>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</si>
  <si>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</si>
  <si>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</si>
  <si>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</si>
  <si>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</si>
  <si>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</si>
  <si>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</si>
  <si>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</si>
  <si>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</si>
  <si>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</si>
  <si>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</si>
  <si>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</si>
  <si>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</si>
  <si>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</si>
  <si>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</si>
  <si>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</si>
  <si>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</si>
  <si>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</si>
  <si>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</si>
  <si>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</si>
  <si>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</si>
  <si>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</si>
  <si>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</si>
  <si>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</si>
  <si>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</si>
  <si>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</si>
  <si>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</si>
  <si>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</si>
  <si>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</si>
  <si>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</si>
  <si>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</si>
  <si>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</si>
  <si>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</si>
  <si>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</si>
  <si>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</si>
  <si>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</si>
  <si>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</si>
  <si>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</si>
  <si>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</si>
  <si>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</si>
  <si>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</si>
  <si>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</si>
  <si>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</si>
  <si>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</si>
  <si>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</si>
  <si>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</si>
  <si>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</si>
  <si>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</si>
  <si>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</si>
  <si>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</si>
  <si>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</si>
  <si>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</si>
  <si>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</si>
  <si>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</si>
  <si>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</si>
  <si>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</si>
  <si>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</si>
  <si>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</si>
  <si>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</si>
  <si>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</si>
  <si>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</si>
  <si>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</si>
  <si>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</si>
  <si>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</si>
  <si>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</si>
  <si>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</si>
  <si>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</si>
  <si>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</si>
  <si>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</si>
  <si>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</si>
  <si>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</si>
  <si>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</si>
  <si>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</si>
  <si>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</si>
  <si>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</si>
  <si>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</si>
  <si>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</si>
  <si>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</si>
  <si>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</si>
  <si>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</si>
  <si>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</si>
  <si>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</si>
  <si>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</si>
  <si>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</si>
  <si>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</si>
  <si>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</si>
  <si>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</si>
  <si>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</si>
  <si>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</si>
  <si>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</si>
  <si>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</si>
  <si>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</si>
  <si>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</si>
  <si>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</si>
  <si>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</si>
  <si>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</si>
  <si>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</si>
  <si>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</si>
  <si>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</si>
  <si>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</si>
  <si>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</si>
  <si>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</si>
  <si>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</si>
  <si>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</si>
  <si>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</si>
  <si>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</si>
  <si>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</si>
  <si>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</si>
  <si>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</si>
  <si>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</si>
  <si>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</si>
  <si>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</si>
  <si>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</si>
  <si>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</si>
  <si>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</si>
  <si>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</si>
  <si>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</si>
  <si>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</si>
  <si>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</si>
  <si>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</si>
  <si>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</si>
  <si>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</si>
  <si>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</si>
  <si>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</si>
  <si>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</si>
  <si>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</si>
  <si>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</si>
  <si>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</si>
  <si>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</si>
  <si>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</si>
  <si>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</si>
  <si>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</si>
  <si>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</si>
  <si>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</si>
  <si>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</si>
  <si>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</si>
  <si>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</si>
  <si>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</si>
  <si>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</si>
  <si>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</si>
  <si>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</si>
  <si>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</si>
  <si>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</si>
  <si>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</si>
  <si>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</si>
  <si>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</si>
  <si>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</si>
  <si>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</si>
  <si>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</si>
  <si>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</si>
  <si>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</si>
  <si>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</si>
  <si>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</si>
  <si>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</si>
  <si>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</si>
  <si>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</si>
  <si>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</si>
  <si>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</si>
  <si>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</si>
  <si>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</si>
  <si>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</si>
  <si>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</si>
  <si>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</si>
  <si>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</si>
  <si>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</si>
  <si>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</si>
  <si>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</si>
  <si>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</si>
  <si>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</si>
  <si>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</si>
  <si>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</si>
  <si>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</si>
  <si>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</si>
  <si>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</si>
  <si>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</si>
  <si>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</si>
  <si>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</si>
  <si>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</si>
  <si>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</si>
  <si>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</si>
  <si>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</si>
  <si>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</si>
  <si>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</si>
  <si>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</si>
  <si>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</si>
  <si>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</si>
  <si>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</si>
  <si>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</si>
  <si>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</si>
  <si>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</si>
  <si>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</si>
  <si>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</si>
  <si>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</si>
  <si>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</si>
  <si>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</si>
  <si>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</si>
  <si>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</si>
  <si>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</si>
  <si>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</si>
  <si>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</si>
  <si>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</si>
  <si>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</si>
  <si>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</si>
  <si>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</si>
  <si>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</si>
  <si>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</si>
  <si>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</si>
  <si>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</si>
  <si>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</si>
  <si>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</si>
  <si>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</si>
  <si>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</si>
  <si>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</si>
  <si>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</si>
  <si>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</si>
  <si>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</si>
  <si>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</si>
  <si>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</si>
  <si>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</si>
  <si>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</si>
  <si>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</si>
  <si>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</si>
  <si>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</si>
  <si>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</si>
  <si>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</si>
  <si>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</si>
  <si>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</si>
  <si>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</si>
  <si>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</si>
  <si>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</si>
  <si>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</si>
  <si>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</si>
  <si>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</si>
  <si>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</si>
  <si>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</si>
  <si>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</si>
  <si>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</si>
  <si>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</si>
  <si>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</si>
  <si>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</si>
  <si>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</si>
  <si>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</si>
  <si>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</si>
  <si>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</si>
  <si>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</si>
  <si>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</si>
  <si>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</si>
  <si>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</si>
  <si>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</si>
  <si>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</si>
  <si>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</si>
  <si>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</si>
  <si>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</si>
  <si>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</si>
  <si>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</si>
  <si>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</si>
  <si>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</si>
  <si>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</si>
  <si>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</si>
  <si>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</si>
  <si>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</si>
  <si>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</si>
  <si>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</si>
  <si>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</si>
  <si>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</si>
  <si>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</si>
  <si>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</si>
  <si>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</si>
  <si>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</si>
  <si>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</si>
  <si>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</si>
  <si>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</si>
  <si>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</si>
  <si>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</si>
  <si>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</si>
  <si>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</si>
  <si>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</si>
  <si>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</si>
  <si>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</si>
  <si>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</si>
  <si>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</si>
  <si>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</si>
  <si>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</si>
  <si>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</si>
  <si>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</si>
  <si>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</si>
  <si>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</si>
  <si>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</si>
  <si>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</si>
  <si>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</si>
  <si>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</si>
  <si>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</si>
  <si>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</si>
  <si>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</si>
  <si>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</si>
  <si>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</si>
  <si>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</si>
  <si>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</si>
  <si>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</si>
  <si>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</si>
  <si>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</si>
  <si>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</si>
  <si>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</si>
  <si>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</si>
  <si>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</si>
  <si>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</si>
  <si>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</si>
  <si>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</si>
  <si>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</si>
  <si>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</si>
  <si>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</si>
  <si>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</si>
  <si>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</si>
  <si>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</si>
  <si>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</si>
  <si>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</si>
  <si>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</si>
  <si>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</si>
  <si>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</si>
  <si>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</si>
  <si>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</si>
  <si>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</si>
  <si>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</si>
  <si>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</si>
  <si>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</si>
  <si>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</si>
  <si>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</si>
  <si>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</si>
  <si>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</si>
  <si>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</si>
  <si>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</si>
  <si>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</si>
  <si>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</si>
  <si>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</si>
  <si>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</si>
  <si>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</si>
  <si>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</si>
  <si>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</si>
  <si>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</si>
  <si>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</si>
  <si>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</si>
  <si>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</si>
  <si>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</si>
  <si>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</si>
  <si>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</si>
  <si>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</si>
  <si>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</si>
  <si>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</si>
  <si>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</si>
  <si>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</si>
  <si>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</si>
  <si>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</si>
  <si>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</si>
  <si>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</si>
  <si>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</si>
  <si>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</si>
  <si>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</si>
  <si>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</si>
  <si>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</si>
  <si>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</si>
  <si>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</si>
  <si>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</si>
  <si>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</si>
  <si>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</si>
  <si>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</si>
  <si>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</si>
  <si>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</si>
  <si>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</si>
  <si>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</si>
  <si>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</si>
  <si>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</si>
  <si>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</si>
  <si>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</si>
  <si>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</si>
  <si>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</si>
  <si>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</si>
  <si>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</si>
  <si>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</si>
  <si>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</si>
  <si>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</si>
  <si>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</si>
  <si>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</si>
  <si>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</si>
  <si>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</si>
  <si>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</si>
  <si>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</si>
  <si>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</si>
  <si>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</si>
  <si>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</si>
  <si>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</si>
  <si>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</si>
  <si>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</si>
  <si>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</si>
  <si>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</si>
  <si>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</si>
  <si>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</si>
  <si>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</si>
  <si>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</si>
  <si>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</si>
  <si>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</si>
  <si>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</si>
  <si>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</si>
  <si>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</si>
  <si>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</si>
  <si>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</si>
  <si>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</si>
  <si>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</si>
  <si>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</si>
  <si>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</si>
  <si>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</si>
  <si>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</si>
  <si>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</si>
  <si>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</si>
  <si>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</si>
  <si>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</si>
  <si>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</si>
  <si>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</si>
  <si>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</si>
  <si>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</si>
  <si>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</si>
  <si>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</si>
  <si>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</si>
  <si>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</si>
  <si>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</si>
  <si>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</si>
  <si>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</si>
  <si>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</si>
  <si>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</si>
  <si>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</si>
  <si>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</si>
  <si>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</si>
  <si>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</si>
  <si>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</si>
  <si>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</si>
  <si>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</si>
  <si>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</si>
  <si>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</si>
  <si>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</si>
  <si>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</si>
  <si>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</si>
  <si>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</si>
  <si>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</si>
  <si>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</si>
  <si>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</si>
  <si>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</si>
  <si>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</si>
  <si>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</si>
  <si>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</si>
  <si>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</si>
  <si>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</si>
  <si>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</si>
  <si>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</si>
  <si>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</si>
  <si>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</si>
  <si>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</si>
  <si>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</si>
  <si>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</si>
  <si>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</si>
  <si>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</si>
  <si>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</si>
  <si>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</si>
  <si>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</si>
  <si>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</si>
  <si>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</si>
  <si>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</si>
  <si>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</si>
  <si>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</si>
  <si>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</si>
  <si>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</si>
  <si>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</si>
  <si>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</si>
  <si>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</si>
  <si>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</si>
  <si>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</si>
  <si>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</si>
  <si>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</si>
  <si>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</si>
  <si>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</si>
  <si>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</si>
  <si>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</si>
  <si>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</si>
  <si>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</si>
  <si>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</si>
  <si>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</si>
  <si>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</si>
  <si>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</si>
  <si>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</si>
  <si>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</si>
  <si>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</si>
  <si>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</si>
  <si>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</si>
  <si>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</si>
  <si>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</si>
  <si>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</si>
  <si>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</si>
  <si>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</si>
  <si>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</si>
  <si>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</si>
  <si>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</si>
  <si>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</si>
  <si>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</si>
  <si>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</si>
  <si>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</si>
  <si>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</si>
  <si>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</si>
  <si>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</si>
  <si>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</si>
  <si>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</si>
  <si>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</si>
  <si>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</si>
  <si>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</si>
  <si>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</si>
  <si>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</si>
  <si>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</si>
  <si>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</si>
  <si>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</si>
  <si>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</si>
  <si>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</si>
  <si>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</si>
  <si>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</si>
  <si>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</si>
  <si>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</si>
  <si>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</si>
  <si>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</si>
  <si>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</si>
  <si>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</si>
  <si>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</si>
  <si>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</si>
  <si>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</si>
  <si>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</si>
  <si>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</si>
  <si>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</si>
  <si>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</si>
  <si>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</si>
  <si>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</si>
  <si>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</si>
  <si>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</si>
  <si>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</si>
  <si>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</si>
  <si>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</si>
  <si>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</si>
  <si>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</si>
  <si>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</si>
  <si>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</si>
  <si>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</si>
  <si>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</si>
  <si>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</si>
  <si>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</si>
  <si>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</si>
  <si>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</si>
  <si>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</si>
  <si>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</si>
  <si>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</si>
  <si>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</si>
  <si>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</si>
  <si>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</si>
  <si>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</si>
  <si>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</si>
  <si>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</si>
  <si>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</si>
  <si>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</si>
  <si>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</si>
  <si>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</si>
  <si>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</si>
  <si>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</si>
  <si>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</si>
  <si>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</si>
  <si>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</si>
  <si>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</si>
  <si>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</si>
  <si>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</si>
  <si>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</si>
  <si>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</si>
  <si>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</si>
  <si>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</si>
  <si>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</si>
  <si>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</si>
  <si>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</si>
  <si>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</si>
  <si>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</si>
  <si>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</si>
  <si>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</si>
  <si>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</si>
  <si>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</si>
  <si>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</si>
  <si>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</si>
  <si>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</si>
  <si>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</si>
  <si>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</si>
  <si>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</si>
  <si>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</si>
  <si>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</si>
  <si>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</si>
  <si>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</si>
  <si>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</si>
  <si>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</si>
  <si>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</si>
  <si>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</si>
  <si>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</si>
  <si>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</si>
  <si>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</si>
  <si>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</si>
  <si>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</si>
  <si>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</si>
  <si>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</si>
  <si>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</si>
  <si>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</si>
  <si>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</si>
  <si>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</si>
  <si>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</si>
  <si>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</si>
  <si>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</si>
  <si>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</si>
  <si>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</si>
  <si>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</si>
  <si>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</si>
  <si>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</si>
  <si>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</si>
  <si>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</si>
  <si>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</si>
  <si>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</si>
  <si>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</si>
  <si>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</si>
  <si>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</si>
  <si>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</si>
  <si>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</si>
  <si>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</si>
  <si>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</si>
  <si>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</si>
  <si>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</si>
  <si>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</si>
  <si>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</si>
  <si>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</si>
  <si>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</si>
  <si>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</si>
  <si>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</si>
  <si>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</si>
  <si>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</si>
  <si>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</si>
  <si>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</si>
  <si>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</si>
  <si>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</si>
  <si>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</si>
  <si>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</si>
  <si>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</si>
  <si>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</si>
  <si>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</si>
  <si>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</si>
  <si>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</si>
  <si>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</si>
  <si>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</si>
  <si>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</si>
  <si>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</si>
  <si>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</si>
  <si>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</si>
  <si>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</si>
  <si>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</si>
  <si>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</si>
  <si>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</si>
  <si>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</si>
  <si>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</si>
  <si>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</si>
  <si>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</si>
  <si>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</si>
  <si>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</si>
  <si>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</si>
  <si>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</si>
  <si>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</si>
  <si>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</si>
  <si>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</si>
  <si>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</si>
  <si>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</si>
  <si>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</si>
  <si>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</si>
  <si>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</si>
  <si>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</si>
  <si>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</si>
  <si>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</si>
  <si>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</si>
  <si>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</si>
  <si>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</si>
  <si>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</si>
  <si>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</si>
  <si>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</si>
  <si>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</si>
  <si>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</si>
  <si>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</si>
  <si>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</si>
  <si>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</si>
  <si>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</si>
  <si>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</si>
  <si>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</si>
  <si>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</si>
  <si>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</si>
  <si>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</si>
  <si>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</si>
  <si>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</si>
  <si>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</si>
  <si>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</si>
  <si>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</si>
  <si>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</si>
  <si>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</si>
  <si>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</si>
  <si>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</si>
  <si>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</si>
  <si>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</si>
  <si>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</si>
  <si>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</si>
  <si>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</si>
  <si>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</si>
  <si>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</si>
  <si>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</si>
  <si>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</si>
  <si>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</si>
  <si>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</si>
  <si>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</si>
  <si>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</si>
  <si>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</si>
  <si>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</si>
  <si>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</si>
  <si>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</si>
  <si>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</si>
  <si>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</si>
  <si>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</si>
  <si>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</si>
  <si>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</si>
  <si>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</si>
  <si>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</si>
  <si>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</si>
  <si>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</si>
  <si>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</si>
  <si>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</si>
  <si>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</si>
  <si>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</si>
  <si>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</si>
  <si>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</si>
  <si>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</si>
  <si>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</si>
  <si>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</si>
  <si>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</si>
  <si>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</si>
  <si>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</si>
  <si>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</si>
  <si>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</si>
  <si>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</si>
  <si>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</si>
  <si>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</si>
  <si>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</si>
  <si>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</si>
  <si>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</si>
  <si>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</si>
  <si>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</si>
  <si>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</si>
  <si>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</si>
  <si>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</si>
  <si>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</si>
  <si>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</si>
  <si>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</si>
  <si>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</si>
  <si>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</si>
  <si>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</si>
  <si>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</si>
  <si>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</si>
  <si>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</si>
  <si>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</si>
  <si>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</si>
  <si>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</si>
  <si>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</si>
  <si>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</si>
  <si>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</si>
  <si>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</si>
  <si>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</si>
  <si>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</si>
  <si>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</si>
  <si>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</si>
  <si>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</si>
  <si>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</si>
  <si>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</si>
  <si>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</si>
  <si>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</si>
  <si>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</si>
  <si>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</si>
  <si>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</si>
  <si>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</si>
  <si>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</si>
  <si>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</si>
  <si>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</si>
  <si>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</si>
  <si>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</si>
  <si>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</si>
  <si>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</si>
  <si>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</si>
  <si>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</si>
  <si>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</si>
  <si>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</si>
  <si>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</si>
  <si>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</si>
  <si>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</si>
  <si>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</si>
  <si>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</si>
  <si>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</si>
  <si>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</si>
  <si>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</si>
  <si>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</si>
  <si>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</si>
  <si>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</si>
  <si>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</si>
  <si>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</si>
  <si>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</si>
  <si>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</si>
  <si>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</si>
  <si>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</si>
  <si>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</si>
  <si>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</si>
  <si>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</si>
  <si>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</si>
  <si>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</si>
  <si>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</si>
  <si>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</si>
  <si>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</si>
  <si>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</si>
  <si>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</si>
  <si>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</si>
  <si>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</si>
  <si>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</si>
  <si>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</si>
  <si>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</si>
  <si>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</si>
  <si>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</si>
  <si>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</si>
  <si>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</si>
  <si>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</si>
  <si>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</si>
  <si>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</si>
  <si>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</si>
  <si>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</si>
  <si>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</si>
  <si>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</si>
  <si>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</si>
  <si>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</si>
  <si>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</si>
  <si>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</si>
  <si>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</si>
  <si>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</si>
  <si>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</si>
  <si>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</si>
  <si>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</si>
  <si>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</si>
  <si>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</si>
  <si>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</si>
  <si>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</si>
  <si>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</si>
  <si>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</si>
  <si>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</si>
  <si>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</si>
  <si>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</si>
  <si>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</si>
  <si>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</si>
  <si>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</si>
  <si>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</si>
  <si>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</si>
  <si>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</si>
  <si>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</si>
  <si>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</si>
  <si>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</si>
  <si>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</si>
  <si>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</si>
  <si>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</si>
  <si>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</si>
  <si>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</si>
  <si>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</si>
  <si>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</si>
  <si>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</si>
  <si>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</si>
  <si>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</si>
  <si>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</si>
  <si>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</si>
  <si>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</si>
  <si>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</si>
  <si>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</si>
  <si>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</si>
  <si>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</si>
  <si>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</si>
  <si>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</si>
  <si>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</si>
  <si>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</si>
  <si>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</si>
  <si>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</si>
  <si>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</si>
  <si>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</si>
  <si>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</si>
  <si>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</si>
  <si>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</si>
  <si>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</si>
  <si>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</si>
  <si>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</si>
  <si>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</si>
  <si>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</si>
  <si>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</si>
  <si>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</si>
  <si>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</si>
  <si>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</si>
  <si>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</si>
  <si>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</si>
  <si>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</si>
  <si>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</si>
  <si>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</si>
  <si>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</si>
  <si>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</si>
  <si>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</si>
  <si>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</si>
  <si>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</si>
  <si>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</si>
  <si>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</si>
  <si>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</si>
  <si>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</si>
  <si>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</si>
  <si>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</si>
  <si>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</si>
  <si>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</si>
  <si>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</si>
  <si>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</si>
  <si>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</si>
  <si>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</si>
  <si>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</si>
  <si>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</si>
  <si>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</si>
  <si>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</si>
  <si>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</si>
  <si>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</si>
  <si>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</si>
  <si>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</si>
  <si>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</si>
  <si>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</si>
  <si>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</si>
  <si>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</si>
  <si>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</si>
  <si>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</si>
  <si>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</si>
  <si>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</si>
  <si>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</si>
  <si>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</si>
  <si>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</si>
  <si>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</si>
  <si>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</si>
  <si>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</si>
  <si>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</si>
  <si>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</si>
  <si>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</si>
  <si>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</si>
  <si>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</si>
  <si>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</si>
  <si>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</si>
  <si>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</si>
  <si>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</si>
  <si>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</si>
  <si>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</si>
  <si>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</si>
  <si>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</si>
  <si>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</si>
  <si>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</si>
  <si>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</si>
  <si>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</si>
  <si>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</si>
  <si>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</si>
  <si>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</si>
  <si>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</si>
  <si>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</si>
  <si>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</si>
  <si>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</si>
  <si>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</si>
  <si>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</si>
  <si>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</si>
  <si>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</si>
  <si>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</si>
  <si>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</si>
  <si>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</si>
  <si>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</si>
  <si>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</si>
  <si>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</si>
  <si>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</si>
  <si>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</si>
  <si>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</si>
  <si>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</si>
  <si>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</si>
  <si>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</si>
  <si>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</si>
  <si>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</si>
  <si>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</si>
  <si>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</si>
  <si>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</si>
  <si>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</si>
  <si>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</si>
  <si>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</si>
  <si>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</si>
  <si>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</si>
  <si>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</si>
  <si>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</si>
  <si>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</si>
  <si>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</si>
  <si>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</si>
  <si>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</si>
  <si>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</si>
  <si>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</si>
  <si>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</si>
  <si>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</si>
  <si>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</si>
  <si>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</si>
  <si>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</si>
  <si>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</si>
  <si>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</si>
  <si>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</si>
  <si>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</si>
  <si>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</si>
  <si>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</si>
  <si>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</si>
  <si>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</si>
  <si>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</si>
  <si>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</si>
  <si>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</si>
  <si>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</si>
  <si>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</si>
  <si>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</si>
  <si>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</si>
  <si>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</si>
  <si>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</si>
  <si>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</si>
  <si>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</si>
  <si>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</si>
  <si>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</si>
  <si>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</si>
  <si>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</si>
  <si>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</si>
  <si>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</si>
  <si>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</si>
  <si>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</si>
  <si>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</si>
  <si>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</si>
  <si>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</si>
  <si>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</si>
  <si>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</si>
  <si>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</si>
  <si>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</si>
  <si>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</si>
  <si>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</si>
  <si>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</si>
  <si>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</si>
  <si>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</si>
  <si>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</si>
  <si>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</si>
  <si>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</si>
  <si>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</si>
  <si>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</si>
  <si>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</si>
  <si>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</si>
  <si>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</si>
  <si>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</si>
  <si>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</si>
  <si>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</si>
  <si>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</si>
  <si>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</si>
  <si>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</si>
  <si>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</si>
  <si>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</si>
  <si>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</si>
  <si>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</si>
  <si>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</si>
  <si>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</si>
  <si>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</si>
  <si>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</si>
  <si>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</si>
  <si>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</si>
  <si>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</si>
  <si>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</si>
  <si>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</si>
  <si>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</si>
  <si>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</si>
  <si>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</si>
  <si>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</si>
  <si>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</si>
  <si>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</si>
  <si>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</si>
  <si>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</si>
  <si>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</si>
  <si>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</si>
  <si>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</si>
  <si>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</si>
  <si>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</si>
  <si>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</si>
  <si>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</si>
  <si>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</si>
  <si>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</si>
  <si>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</si>
  <si>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</si>
  <si>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</si>
  <si>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</si>
  <si>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</si>
  <si>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</si>
  <si>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</si>
  <si>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</si>
  <si>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</si>
  <si>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</si>
  <si>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</si>
  <si>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</si>
  <si>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</si>
  <si>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</si>
  <si>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</si>
  <si>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</si>
  <si>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</si>
  <si>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</si>
  <si>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</si>
  <si>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</si>
  <si>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</si>
  <si>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</si>
  <si>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</si>
  <si>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</si>
  <si>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</si>
  <si>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</si>
  <si>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</si>
  <si>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</si>
  <si>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</si>
  <si>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</si>
  <si>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</si>
  <si>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</si>
  <si>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</si>
  <si>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</si>
  <si>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</si>
  <si>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</si>
  <si>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</si>
  <si>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</si>
  <si>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</si>
  <si>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</si>
  <si>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</si>
  <si>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</si>
  <si>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</si>
  <si>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</si>
  <si>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</si>
  <si>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</si>
  <si>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</si>
  <si>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</si>
  <si>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</si>
  <si>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</si>
  <si>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</si>
  <si>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</si>
  <si>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</si>
  <si>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</si>
  <si>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</si>
  <si>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</si>
  <si>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</si>
  <si>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</si>
  <si>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</si>
  <si>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</si>
  <si>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</si>
  <si>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</si>
  <si>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</si>
  <si>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</si>
  <si>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</si>
  <si>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</si>
  <si>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</si>
  <si>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</si>
  <si>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</si>
  <si>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</si>
  <si>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</si>
  <si>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</si>
  <si>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</si>
  <si>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</si>
  <si>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</si>
  <si>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</si>
  <si>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</si>
  <si>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</si>
  <si>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</si>
  <si>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</si>
  <si>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</si>
  <si>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</si>
  <si>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</si>
  <si>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</si>
  <si>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</si>
  <si>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</si>
  <si>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</si>
  <si>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</si>
  <si>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</si>
  <si>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</si>
  <si>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</si>
  <si>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</si>
  <si>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</si>
  <si>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</si>
  <si>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</si>
  <si>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</si>
  <si>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</si>
  <si>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</si>
  <si>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</si>
  <si>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</si>
  <si>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</si>
  <si>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</si>
  <si>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</si>
  <si>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</si>
  <si>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</si>
  <si>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</si>
  <si>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</si>
  <si>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</si>
  <si>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</si>
  <si>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</si>
  <si>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</si>
  <si>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</si>
  <si>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</si>
  <si>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</si>
  <si>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</si>
  <si>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</si>
  <si>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</si>
  <si>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</si>
  <si>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</si>
  <si>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</si>
  <si>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</si>
  <si>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</si>
  <si>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</si>
  <si>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</si>
  <si>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</si>
  <si>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</si>
  <si>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</si>
  <si>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</si>
  <si>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</si>
  <si>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</si>
  <si>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</si>
  <si>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</si>
  <si>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</si>
  <si>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</si>
  <si>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</si>
  <si>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</si>
  <si>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</si>
  <si>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</si>
  <si>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</si>
  <si>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</si>
  <si>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</si>
  <si>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</si>
  <si>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</si>
  <si>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</si>
  <si>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</si>
  <si>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</si>
  <si>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</si>
  <si>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</si>
  <si>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</si>
  <si>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</si>
  <si>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</si>
  <si>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</si>
  <si>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</si>
  <si>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</si>
  <si>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</si>
  <si>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</si>
  <si>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</si>
  <si>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</si>
  <si>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</si>
  <si>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</si>
  <si>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</si>
  <si>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</si>
  <si>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</si>
  <si>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</si>
  <si>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</si>
  <si>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</si>
  <si>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</si>
  <si>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</si>
  <si>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</si>
  <si>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</si>
  <si>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</si>
  <si>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</si>
  <si>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</si>
  <si>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</si>
  <si>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</si>
  <si>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</si>
  <si>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</si>
  <si>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</si>
  <si>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</si>
  <si>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</si>
  <si>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</si>
  <si>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</si>
  <si>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</si>
  <si>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</si>
  <si>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</si>
  <si>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</si>
  <si>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</si>
  <si>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</si>
  <si>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</si>
  <si>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</si>
  <si>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</si>
  <si>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</si>
  <si>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</si>
  <si>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</si>
  <si>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</si>
  <si>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</si>
  <si>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</si>
  <si>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</si>
  <si>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</si>
  <si>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</si>
  <si>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</si>
  <si>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</si>
  <si>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</si>
  <si>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</si>
  <si>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</si>
  <si>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</si>
  <si>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</si>
  <si>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</si>
  <si>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</si>
  <si>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</si>
  <si>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</si>
  <si>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</si>
  <si>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</si>
  <si>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</si>
  <si>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</si>
  <si>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</si>
  <si>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</si>
  <si>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</si>
  <si>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</si>
  <si>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</si>
  <si>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</si>
  <si>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</si>
  <si>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</si>
  <si>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</si>
  <si>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</si>
  <si>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</si>
  <si>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</si>
  <si>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</si>
  <si>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</si>
  <si>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</si>
  <si>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</si>
  <si>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</si>
  <si>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</si>
  <si>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</si>
  <si>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</si>
  <si>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</si>
  <si>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</si>
  <si>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</si>
  <si>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</si>
  <si>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</si>
  <si>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</si>
  <si>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</si>
  <si>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</si>
  <si>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</si>
  <si>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</si>
  <si>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</si>
  <si>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</si>
  <si>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</si>
  <si>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</si>
  <si>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</si>
  <si>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</si>
  <si>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</si>
  <si>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</si>
  <si>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</si>
  <si>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</si>
  <si>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</si>
  <si>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</si>
  <si>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</si>
  <si>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</si>
  <si>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</si>
  <si>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</si>
  <si>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</si>
  <si>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</si>
  <si>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</si>
  <si>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</si>
  <si>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</si>
  <si>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</si>
  <si>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</si>
  <si>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</si>
  <si>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</si>
  <si>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</si>
  <si>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</si>
  <si>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</si>
  <si>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</si>
  <si>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</si>
  <si>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</si>
  <si>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</si>
  <si>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</si>
  <si>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</si>
  <si>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</si>
  <si>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</si>
  <si>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</si>
  <si>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</si>
  <si>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</si>
  <si>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</si>
  <si>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</si>
  <si>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</si>
  <si>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</si>
  <si>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</si>
  <si>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</si>
  <si>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</si>
  <si>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</si>
  <si>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</si>
  <si>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</si>
  <si>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</si>
  <si>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</si>
  <si>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</si>
  <si>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</si>
  <si>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</si>
  <si>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</si>
  <si>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</si>
  <si>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</si>
  <si>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</si>
  <si>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</si>
  <si>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</si>
  <si>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</si>
  <si>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</si>
  <si>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</si>
  <si>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</si>
  <si>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</si>
  <si>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</si>
  <si>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</si>
  <si>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</si>
  <si>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</si>
  <si>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</si>
  <si>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</si>
  <si>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</si>
  <si>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</si>
  <si>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</si>
  <si>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</si>
  <si>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</si>
  <si>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</si>
  <si>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</si>
  <si>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</si>
  <si>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</si>
  <si>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</si>
  <si>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</si>
  <si>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</si>
  <si>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</si>
  <si>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</si>
  <si>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</si>
  <si>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</si>
  <si>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</si>
  <si>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</si>
  <si>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</si>
  <si>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</si>
  <si>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</si>
  <si>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</si>
  <si>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</si>
  <si>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</si>
  <si>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</si>
  <si>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</si>
  <si>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</si>
  <si>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</si>
  <si>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</si>
  <si>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</si>
  <si>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</si>
  <si>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</si>
  <si>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</si>
  <si>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</si>
  <si>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</si>
  <si>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</si>
  <si>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</si>
  <si>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</si>
  <si>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</si>
  <si>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</si>
  <si>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</si>
  <si>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</si>
  <si>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</si>
  <si>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</si>
  <si>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</si>
  <si>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</si>
  <si>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</si>
  <si>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</si>
  <si>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</si>
  <si>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</si>
  <si>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</si>
  <si>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</si>
  <si>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</si>
  <si>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</si>
  <si>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</si>
  <si>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</si>
  <si>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</si>
  <si>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</si>
  <si>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</si>
  <si>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</si>
  <si>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</si>
  <si>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</si>
  <si>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</si>
  <si>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</si>
  <si>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</si>
  <si>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</si>
  <si>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</si>
  <si>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</si>
  <si>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</si>
  <si>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</si>
  <si>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</si>
  <si>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</si>
  <si>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</si>
  <si>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</si>
  <si>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</si>
  <si>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</si>
  <si>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</si>
  <si>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</si>
  <si>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</si>
  <si>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</si>
  <si>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</si>
  <si>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</si>
  <si>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</si>
  <si>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</si>
  <si>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</si>
  <si>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</si>
  <si>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</si>
  <si>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</si>
  <si>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</si>
  <si>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</si>
  <si>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</si>
  <si>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</si>
  <si>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</si>
  <si>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</si>
  <si>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</si>
  <si>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</si>
  <si>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</si>
  <si>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</si>
  <si>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</si>
  <si>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</si>
  <si>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</si>
  <si>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</si>
  <si>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</si>
  <si>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</si>
  <si>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</si>
  <si>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</si>
  <si>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</si>
  <si>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</si>
  <si>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</si>
  <si>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</si>
  <si>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</si>
  <si>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</si>
  <si>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</si>
  <si>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</si>
  <si>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</si>
  <si>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</si>
  <si>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</si>
  <si>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</si>
  <si>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</si>
  <si>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</si>
  <si>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</si>
  <si>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</si>
  <si>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</si>
  <si>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</si>
  <si>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</si>
  <si>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</si>
  <si>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</si>
  <si>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</si>
  <si>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</si>
  <si>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</si>
  <si>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</si>
  <si>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</si>
  <si>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</si>
  <si>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</si>
  <si>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</si>
  <si>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</si>
  <si>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</si>
  <si>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</si>
  <si>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</si>
  <si>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</si>
  <si>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</si>
  <si>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</si>
  <si>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</si>
  <si>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</si>
  <si>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</si>
  <si>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</si>
  <si>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</si>
  <si>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</si>
  <si>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</si>
  <si>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</si>
  <si>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</si>
  <si>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</si>
  <si>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</si>
  <si>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</si>
  <si>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</si>
  <si>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</si>
  <si>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</si>
  <si>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</si>
  <si>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</si>
  <si>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</si>
  <si>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</si>
  <si>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</si>
  <si>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</si>
  <si>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</si>
  <si>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</si>
  <si>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</si>
  <si>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</si>
  <si>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</si>
  <si>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</si>
  <si>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</si>
  <si>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</si>
  <si>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</si>
  <si>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</si>
  <si>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</si>
  <si>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</si>
  <si>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</si>
  <si>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</si>
  <si>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</si>
  <si>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</si>
  <si>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</si>
  <si>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</si>
  <si>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</si>
  <si>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</si>
  <si>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</si>
  <si>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</si>
  <si>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</si>
  <si>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</si>
  <si>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</si>
  <si>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</si>
  <si>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</si>
  <si>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</si>
  <si>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</si>
  <si>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</si>
  <si>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</si>
  <si>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</si>
  <si>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</si>
  <si>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</si>
  <si>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</si>
  <si>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</si>
  <si>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</si>
  <si>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</si>
  <si>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</si>
  <si>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</si>
  <si>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</si>
  <si>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</si>
  <si>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</si>
  <si>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</si>
  <si>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</si>
  <si>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</si>
  <si>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</si>
  <si>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</si>
  <si>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</si>
  <si>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</si>
  <si>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</si>
  <si>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</si>
  <si>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</si>
  <si>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</si>
  <si>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</si>
  <si>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</si>
  <si>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</si>
  <si>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</si>
  <si>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</si>
  <si>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</si>
  <si>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</si>
  <si>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</si>
  <si>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</si>
  <si>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</si>
  <si>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</si>
  <si>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</si>
  <si>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</si>
  <si>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</si>
  <si>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</si>
  <si>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</si>
  <si>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</si>
  <si>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</si>
  <si>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</si>
  <si>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</si>
  <si>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</si>
  <si>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</si>
  <si>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</si>
  <si>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</si>
  <si>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</si>
  <si>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</si>
  <si>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</si>
  <si>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</si>
  <si>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</si>
  <si>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</si>
  <si>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</si>
  <si>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</si>
  <si>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</si>
  <si>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</si>
  <si>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</si>
  <si>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</si>
  <si>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</si>
  <si>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</si>
  <si>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</si>
  <si>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</si>
  <si>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</si>
  <si>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</si>
  <si>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</si>
  <si>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</si>
  <si>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</si>
  <si>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</si>
  <si>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</si>
  <si>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</si>
  <si>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</si>
  <si>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</si>
  <si>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</si>
  <si>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</si>
  <si>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</si>
  <si>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</si>
  <si>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</si>
  <si>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</si>
  <si>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</si>
  <si>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</si>
  <si>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</si>
  <si>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</si>
  <si>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</si>
  <si>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</si>
  <si>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</si>
  <si>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</si>
  <si>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</si>
  <si>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</si>
  <si>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</si>
  <si>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</si>
  <si>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</si>
  <si>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</si>
  <si>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</si>
  <si>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</si>
  <si>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</si>
  <si>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</si>
  <si>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</si>
  <si>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</si>
  <si>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</si>
  <si>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</si>
  <si>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</si>
  <si>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</si>
  <si>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</si>
  <si>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</si>
  <si>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</si>
  <si>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</si>
  <si>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</si>
  <si>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</si>
  <si>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</si>
  <si>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</si>
  <si>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</si>
  <si>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</si>
  <si>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</si>
  <si>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</si>
  <si>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</si>
  <si>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</si>
  <si>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</si>
  <si>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</si>
  <si>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</si>
  <si>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</si>
  <si>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</si>
  <si>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</si>
  <si>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</si>
  <si>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</si>
  <si>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</si>
  <si>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</si>
  <si>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</si>
  <si>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</si>
  <si>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</si>
  <si>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</si>
  <si>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</si>
  <si>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</si>
  <si>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</si>
  <si>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</si>
  <si>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</si>
  <si>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</si>
  <si>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</si>
  <si>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</si>
  <si>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</si>
  <si>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</si>
  <si>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</si>
  <si>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</si>
  <si>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</si>
  <si>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</si>
  <si>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</si>
  <si>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</si>
  <si>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</si>
  <si>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</si>
  <si>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</si>
  <si>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</si>
  <si>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</si>
  <si>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</si>
  <si>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</si>
  <si>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</si>
  <si>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</si>
  <si>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</si>
  <si>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</si>
  <si>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</si>
  <si>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</si>
  <si>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</si>
  <si>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</si>
  <si>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</si>
  <si>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</si>
  <si>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</si>
  <si>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</si>
  <si>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</si>
  <si>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</si>
  <si>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</si>
  <si>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</si>
  <si>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</si>
  <si>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</si>
  <si>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</si>
  <si>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</si>
  <si>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</si>
  <si>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</si>
  <si>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</si>
  <si>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</si>
  <si>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</si>
  <si>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</si>
  <si>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</si>
  <si>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</si>
  <si>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</si>
  <si>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</si>
  <si>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</si>
  <si>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</si>
  <si>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</si>
  <si>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</si>
  <si>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</si>
  <si>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</si>
  <si>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</si>
  <si>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</si>
  <si>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</si>
  <si>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</si>
  <si>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</si>
  <si>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</si>
  <si>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</si>
  <si>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</si>
  <si>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</si>
  <si>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</si>
  <si>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</si>
  <si>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</si>
  <si>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</si>
  <si>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</si>
  <si>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</si>
  <si>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</si>
  <si>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</si>
  <si>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</si>
  <si>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</si>
  <si>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</si>
  <si>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</si>
  <si>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</si>
  <si>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</si>
  <si>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</si>
  <si>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</si>
  <si>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</si>
  <si>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</si>
  <si>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</si>
  <si>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</si>
  <si>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</si>
  <si>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</si>
  <si>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</si>
  <si>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</si>
  <si>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</si>
  <si>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</si>
  <si>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</si>
  <si>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</si>
  <si>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</si>
  <si>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</si>
  <si>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</si>
  <si>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</si>
  <si>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</si>
  <si>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</si>
  <si>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</si>
  <si>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</si>
  <si>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</si>
  <si>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</si>
  <si>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</si>
  <si>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</si>
  <si>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</si>
  <si>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</si>
  <si>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</si>
  <si>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</si>
  <si>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</si>
  <si>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</si>
  <si>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</si>
  <si>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</si>
  <si>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</si>
  <si>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</si>
  <si>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</si>
  <si>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</si>
  <si>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</si>
  <si>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</si>
  <si>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</si>
  <si>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</si>
  <si>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</si>
  <si>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</si>
  <si>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</si>
  <si>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</si>
  <si>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</si>
  <si>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</si>
  <si>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</si>
  <si>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</si>
  <si>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</si>
  <si>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</si>
  <si>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</si>
  <si>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</si>
  <si>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</si>
  <si>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</si>
  <si>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</si>
  <si>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</si>
  <si>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</si>
  <si>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</si>
  <si>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</si>
  <si>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</si>
  <si>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</si>
  <si>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</si>
  <si>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</si>
  <si>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</si>
  <si>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</si>
  <si>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</si>
  <si>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</si>
  <si>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</si>
  <si>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</si>
  <si>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</si>
  <si>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</si>
  <si>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</si>
  <si>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</si>
  <si>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</si>
  <si>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</si>
  <si>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</si>
  <si>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</si>
  <si>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</si>
  <si>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</si>
  <si>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</si>
  <si>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</si>
  <si>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</si>
  <si>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</si>
  <si>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</si>
  <si>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</si>
  <si>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</si>
  <si>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</si>
  <si>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</si>
  <si>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</si>
  <si>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</si>
  <si>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</si>
  <si>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</si>
  <si>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</si>
  <si>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</si>
  <si>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</si>
  <si>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</si>
  <si>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</si>
  <si>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</si>
  <si>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</si>
  <si>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</si>
  <si>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</si>
  <si>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</si>
  <si>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</si>
  <si>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</si>
  <si>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</si>
  <si>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</si>
  <si>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</si>
  <si>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</si>
  <si>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</si>
  <si>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</si>
  <si>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</si>
  <si>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</si>
  <si>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</si>
  <si>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</si>
  <si>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</si>
  <si>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</si>
  <si>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</si>
  <si>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</si>
  <si>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</si>
  <si>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</si>
  <si>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</si>
  <si>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</si>
  <si>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</si>
  <si>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</si>
  <si>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</si>
  <si>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</si>
  <si>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</si>
  <si>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</si>
  <si>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</si>
  <si>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</si>
  <si>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</si>
  <si>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</si>
  <si>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</si>
  <si>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</si>
  <si>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</si>
  <si>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</si>
  <si>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</si>
  <si>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</si>
  <si>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</si>
  <si>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</si>
  <si>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</si>
  <si>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</si>
  <si>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</si>
  <si>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</si>
  <si>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</si>
  <si>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</si>
  <si>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</si>
  <si>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</si>
  <si>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</si>
  <si>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</si>
  <si>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</si>
  <si>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</si>
  <si>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</si>
  <si>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</si>
  <si>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</si>
  <si>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</si>
  <si>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</si>
  <si>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</si>
  <si>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</si>
  <si>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</si>
  <si>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</si>
  <si>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</si>
  <si>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</si>
  <si>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</si>
  <si>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</si>
  <si>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</si>
  <si>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</si>
  <si>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</si>
  <si>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</si>
  <si>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</si>
  <si>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</si>
  <si>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</si>
  <si>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</si>
  <si>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</si>
  <si>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</si>
  <si>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</si>
  <si>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</si>
  <si>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</si>
  <si>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</si>
  <si>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</si>
  <si>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</si>
  <si>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</si>
  <si>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</si>
  <si>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</si>
  <si>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</si>
  <si>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</si>
  <si>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</si>
  <si>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</si>
  <si>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</si>
  <si>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</si>
  <si>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</si>
  <si>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</si>
  <si>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</si>
  <si>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</si>
  <si>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</si>
  <si>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</si>
  <si>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</si>
  <si>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</si>
  <si>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</si>
  <si>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</si>
  <si>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</si>
  <si>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</si>
  <si>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</si>
  <si>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</si>
  <si>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</si>
  <si>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</si>
  <si>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</si>
  <si>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</si>
  <si>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</si>
  <si>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</si>
  <si>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</si>
  <si>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</si>
  <si>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</si>
  <si>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</si>
  <si>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</si>
  <si>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</si>
  <si>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</si>
  <si>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</si>
  <si>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</si>
  <si>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</si>
  <si>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</si>
  <si>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</si>
  <si>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</si>
  <si>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</si>
  <si>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</si>
  <si>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</si>
  <si>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</si>
  <si>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</si>
  <si>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</si>
  <si>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</si>
  <si>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</si>
  <si>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</si>
  <si>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</si>
  <si>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</si>
  <si>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</si>
  <si>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</si>
  <si>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</si>
  <si>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</si>
  <si>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</si>
  <si>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</si>
  <si>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</si>
  <si>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</si>
  <si>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</si>
  <si>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</si>
  <si>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</si>
  <si>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</si>
  <si>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</si>
  <si>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</si>
  <si>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</si>
  <si>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</si>
  <si>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</si>
  <si>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</si>
  <si>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</si>
  <si>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</si>
  <si>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</si>
  <si>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</si>
  <si>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</si>
  <si>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</si>
  <si>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</si>
  <si>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</si>
  <si>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</si>
  <si>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</si>
  <si>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</si>
  <si>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</si>
  <si>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</si>
  <si>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</si>
  <si>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</si>
  <si>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</si>
  <si>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</si>
  <si>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</si>
  <si>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</si>
  <si>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</si>
  <si>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</si>
  <si>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</si>
  <si>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</si>
  <si>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</si>
  <si>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</si>
  <si>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</si>
  <si>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</si>
  <si>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</si>
  <si>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</si>
  <si>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</si>
  <si>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</si>
  <si>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</si>
  <si>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</si>
  <si>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</si>
  <si>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</si>
  <si>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</si>
  <si>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</si>
  <si>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</si>
  <si>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</si>
  <si>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</si>
  <si>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</si>
  <si>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</si>
  <si>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</si>
  <si>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</si>
  <si>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</si>
  <si>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</si>
  <si>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</si>
  <si>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</si>
  <si>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</si>
  <si>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</si>
  <si>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</si>
  <si>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</si>
  <si>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</si>
  <si>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</si>
  <si>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</si>
  <si>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</si>
  <si>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</si>
  <si>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</si>
  <si>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</si>
  <si>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</si>
  <si>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</si>
  <si>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</si>
  <si>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</si>
  <si>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</si>
  <si>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</si>
  <si>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</si>
  <si>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</si>
  <si>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</si>
  <si>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</si>
  <si>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</si>
  <si>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</si>
  <si>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</si>
  <si>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</si>
  <si>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</si>
  <si>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</si>
  <si>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</si>
  <si>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</si>
  <si>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</si>
  <si>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</si>
  <si>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</si>
  <si>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</si>
  <si>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</si>
  <si>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</si>
  <si>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</si>
  <si>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</si>
  <si>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</si>
  <si>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</si>
  <si>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</si>
  <si>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</si>
  <si>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</si>
  <si>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</si>
  <si>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</si>
  <si>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</si>
  <si>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</si>
  <si>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</si>
  <si>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</si>
  <si>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</si>
  <si>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</si>
  <si>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</si>
  <si>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</si>
  <si>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</si>
  <si>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</si>
  <si>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</si>
  <si>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</si>
  <si>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</si>
  <si>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</si>
  <si>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</si>
  <si>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</si>
  <si>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</si>
  <si>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</si>
  <si>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</si>
  <si>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</si>
  <si>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</si>
  <si>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</si>
  <si>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</si>
  <si>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</si>
  <si>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</si>
  <si>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</si>
  <si>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</si>
  <si>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</si>
  <si>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</si>
  <si>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</si>
  <si>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</si>
  <si>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</si>
  <si>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</si>
  <si>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</si>
  <si>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</si>
  <si>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</si>
  <si>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</si>
  <si>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</si>
  <si>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</si>
  <si>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</si>
  <si>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</si>
  <si>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</si>
  <si>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</si>
  <si>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</si>
  <si>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</si>
  <si>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</si>
  <si>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</si>
  <si>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</si>
  <si>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</si>
  <si>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</si>
  <si>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</si>
  <si>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</si>
  <si>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</si>
  <si>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</si>
  <si>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</si>
  <si>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</si>
  <si>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</si>
  <si>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</si>
  <si>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</si>
  <si>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</si>
  <si>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</si>
  <si>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</si>
  <si>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</si>
  <si>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</si>
  <si>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</si>
  <si>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</si>
  <si>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</si>
  <si>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</si>
  <si>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</si>
  <si>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</si>
  <si>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</si>
  <si>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</si>
  <si>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</si>
  <si>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</si>
  <si>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</si>
  <si>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</si>
  <si>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</si>
  <si>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</si>
  <si>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</si>
  <si>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</si>
  <si>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</si>
  <si>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</si>
  <si>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</si>
  <si>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</si>
  <si>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</si>
  <si>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</si>
  <si>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</si>
  <si>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</si>
  <si>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</si>
  <si>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</si>
  <si>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</si>
  <si>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</si>
  <si>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</si>
  <si>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</si>
  <si>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</si>
  <si>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</si>
  <si>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</si>
  <si>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</si>
  <si>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</si>
  <si>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</si>
  <si>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</si>
  <si>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</si>
  <si>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</si>
  <si>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</si>
  <si>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</si>
  <si>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</si>
  <si>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</si>
  <si>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</si>
  <si>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</si>
  <si>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</si>
  <si>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</si>
  <si>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</si>
  <si>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</si>
  <si>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</si>
  <si>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</si>
  <si>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</si>
  <si>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</si>
  <si>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</si>
  <si>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</si>
  <si>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</si>
  <si>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</si>
  <si>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</si>
  <si>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</si>
  <si>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</si>
  <si>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</si>
  <si>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</si>
  <si>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</si>
  <si>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</si>
  <si>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</si>
  <si>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</si>
  <si>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</si>
  <si>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</si>
  <si>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</si>
  <si>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</si>
  <si>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</si>
  <si>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</si>
  <si>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</si>
  <si>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</si>
  <si>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</si>
  <si>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</si>
  <si>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</si>
  <si>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</si>
  <si>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</si>
  <si>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</si>
  <si>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</si>
  <si>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</si>
  <si>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</si>
  <si>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</si>
  <si>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</si>
  <si>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</si>
  <si>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</si>
  <si>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</si>
  <si>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</si>
  <si>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</si>
  <si>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</si>
  <si>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</si>
  <si>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</si>
  <si>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</si>
  <si>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</si>
  <si>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</si>
  <si>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</si>
  <si>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</si>
  <si>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</si>
  <si>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</si>
  <si>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</si>
  <si>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</si>
  <si>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</si>
  <si>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</si>
  <si>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</si>
  <si>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</si>
  <si>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</si>
  <si>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</si>
  <si>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</si>
  <si>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</si>
  <si>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</si>
  <si>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</si>
  <si>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</si>
  <si>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</si>
  <si>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</si>
  <si>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</si>
  <si>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</si>
  <si>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</si>
  <si>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</si>
  <si>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</si>
  <si>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</si>
  <si>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</si>
  <si>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</si>
  <si>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</si>
  <si>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</si>
  <si>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</si>
  <si>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</si>
  <si>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</si>
  <si>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</si>
  <si>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</si>
  <si>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</si>
  <si>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</si>
  <si>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</si>
  <si>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</si>
  <si>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</si>
  <si>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</si>
  <si>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</si>
  <si>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</si>
  <si>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</si>
  <si>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</si>
  <si>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</si>
  <si>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</si>
  <si>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</si>
  <si>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</si>
  <si>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</si>
  <si>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</si>
  <si>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</si>
  <si>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</si>
  <si>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</si>
  <si>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</si>
  <si>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</si>
  <si>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</si>
  <si>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</si>
  <si>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</si>
  <si>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</si>
  <si>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</si>
  <si>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</si>
  <si>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</si>
  <si>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</si>
  <si>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</si>
  <si>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</si>
  <si>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</si>
  <si>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</si>
  <si>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</si>
  <si>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</si>
  <si>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</si>
  <si>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</si>
  <si>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</si>
  <si>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</si>
  <si>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</si>
  <si>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</si>
  <si>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</si>
  <si>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</si>
  <si>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</si>
  <si>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</si>
  <si>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</si>
  <si>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</si>
  <si>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</si>
  <si>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</si>
  <si>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</si>
  <si>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</si>
  <si>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</si>
  <si>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</si>
  <si>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</si>
  <si>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</si>
  <si>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</si>
  <si>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</si>
  <si>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</si>
  <si>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</si>
  <si>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</si>
  <si>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</si>
  <si>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</si>
  <si>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</si>
  <si>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</si>
  <si>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</si>
  <si>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</si>
  <si>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</si>
  <si>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</si>
  <si>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</si>
  <si>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</si>
  <si>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</si>
  <si>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</si>
  <si>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</si>
  <si>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</si>
  <si>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</si>
  <si>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</si>
  <si>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</si>
  <si>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</si>
  <si>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</si>
  <si>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</si>
  <si>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</si>
  <si>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</si>
  <si>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</si>
  <si>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</si>
  <si>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</si>
  <si>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</si>
  <si>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</si>
  <si>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</si>
  <si>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</si>
  <si>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</si>
  <si>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</si>
  <si>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</si>
  <si>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</si>
  <si>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</si>
  <si>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</si>
  <si>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</si>
  <si>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</si>
  <si>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</si>
  <si>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</si>
  <si>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</si>
  <si>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</si>
  <si>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</si>
  <si>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</si>
  <si>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</si>
  <si>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</si>
  <si>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</si>
  <si>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</si>
  <si>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</si>
  <si>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</si>
  <si>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</si>
  <si>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</si>
  <si>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</si>
  <si>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</si>
  <si>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</si>
  <si>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</si>
  <si>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</si>
  <si>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</si>
  <si>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</si>
  <si>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</si>
  <si>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</si>
  <si>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</si>
  <si>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</si>
  <si>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</si>
  <si>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</si>
  <si>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</si>
  <si>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</si>
  <si>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</si>
  <si>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</si>
  <si>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</si>
  <si>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</si>
  <si>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</si>
  <si>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</si>
  <si>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</si>
  <si>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</si>
  <si>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</si>
  <si>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</si>
  <si>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</si>
  <si>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</si>
  <si>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</si>
  <si>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</si>
  <si>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</si>
  <si>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</si>
  <si>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</si>
  <si>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</si>
  <si>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</si>
  <si>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</si>
  <si>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</si>
  <si>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</si>
  <si>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</si>
  <si>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</si>
  <si>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</si>
  <si>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</si>
  <si>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</si>
  <si>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</si>
  <si>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</si>
  <si>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</si>
  <si>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</si>
  <si>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</si>
  <si>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</si>
  <si>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</si>
  <si>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</si>
  <si>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</si>
  <si>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</si>
  <si>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</si>
  <si>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</si>
  <si>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</si>
  <si>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</si>
  <si>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</si>
  <si>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</si>
  <si>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</si>
  <si>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</si>
  <si>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</si>
  <si>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</si>
  <si>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</si>
  <si>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</si>
  <si>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</si>
  <si>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</si>
  <si>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</si>
  <si>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</si>
  <si>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</si>
  <si>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</si>
  <si>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</si>
  <si>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</si>
  <si>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</si>
  <si>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</si>
  <si>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</si>
  <si>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</si>
  <si>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</si>
  <si>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</si>
  <si>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</si>
  <si>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</si>
  <si>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</si>
  <si>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</si>
  <si>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</si>
  <si>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</si>
  <si>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</si>
  <si>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</si>
  <si>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</si>
  <si>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</si>
  <si>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</si>
  <si>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</si>
  <si>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</si>
  <si>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</si>
  <si>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</si>
  <si>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</si>
  <si>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</si>
  <si>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</si>
  <si>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</si>
  <si>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</si>
  <si>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</si>
  <si>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</si>
  <si>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</si>
  <si>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</si>
  <si>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</si>
  <si>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</si>
  <si>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</si>
  <si>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房地产市场价值</t>
  </si>
  <si>
    <t>北京市</t>
  </si>
  <si>
    <t>企业</t>
  </si>
  <si>
    <t>出让</t>
  </si>
  <si>
    <t>是</t>
  </si>
  <si>
    <t>地上</t>
  </si>
  <si>
    <t>1层</t>
  </si>
  <si>
    <t>1层</t>
    <phoneticPr fontId="16" type="noConversion"/>
  </si>
  <si>
    <t>3层</t>
  </si>
  <si>
    <t>3层</t>
    <phoneticPr fontId="16" type="noConversion"/>
  </si>
  <si>
    <r>
      <t>1</t>
    </r>
    <r>
      <rPr>
        <sz val="10"/>
        <color indexed="8"/>
        <rFont val="宋体"/>
        <family val="3"/>
        <charset val="134"/>
      </rPr>
      <t>层</t>
    </r>
    <phoneticPr fontId="7" type="noConversion"/>
  </si>
  <si>
    <r>
      <t>3</t>
    </r>
    <r>
      <rPr>
        <sz val="10"/>
        <color indexed="8"/>
        <rFont val="宋体"/>
        <family val="3"/>
        <charset val="134"/>
      </rPr>
      <t>层</t>
    </r>
    <phoneticPr fontId="7" type="noConversion"/>
  </si>
  <si>
    <t>全部缴纳</t>
  </si>
  <si>
    <t>成新度</t>
  </si>
  <si>
    <t>已包含在土地取得成本中</t>
  </si>
  <si>
    <t>正常</t>
  </si>
  <si>
    <t>商业</t>
    <phoneticPr fontId="31" type="noConversion"/>
  </si>
  <si>
    <t>估价对象位于西直门商圈，周边有嘉茂购物中心、智地钻河中心、华远企业中心、阳光大厦、京煤大厦等商业项目，商业氛围较成熟，人流量较大，商业繁华度较好</t>
    <phoneticPr fontId="25" type="noConversion"/>
  </si>
  <si>
    <t>估价对象位于西直门商圈，周边有智地钻河中心、华远企业中心、阳光大厦、京煤大厦等写字楼，项目较多，入驻率较高，办公集聚程度较好</t>
    <phoneticPr fontId="25" type="noConversion"/>
  </si>
  <si>
    <t>估价对象所在区域基础设施水平达七通</t>
    <phoneticPr fontId="25" type="noConversion"/>
  </si>
  <si>
    <t>城市次干道——高梁桥斜街</t>
    <phoneticPr fontId="25" type="noConversion"/>
  </si>
  <si>
    <t>较好</t>
  </si>
  <si>
    <t>好</t>
  </si>
  <si>
    <t>七通</t>
  </si>
  <si>
    <t>估价对象所在区域公共配套设施齐备</t>
    <phoneticPr fontId="41" type="noConversion"/>
  </si>
  <si>
    <t>较大</t>
  </si>
  <si>
    <t>较大</t>
    <phoneticPr fontId="31" type="noConversion"/>
  </si>
  <si>
    <t>一般</t>
  </si>
  <si>
    <t>一般</t>
    <phoneticPr fontId="31" type="noConversion"/>
  </si>
  <si>
    <t>较小</t>
    <phoneticPr fontId="31" type="noConversion"/>
  </si>
  <si>
    <r>
      <t>1</t>
    </r>
    <r>
      <rPr>
        <sz val="11"/>
        <color indexed="8"/>
        <rFont val="宋体"/>
        <family val="3"/>
        <charset val="134"/>
      </rPr>
      <t>至</t>
    </r>
    <r>
      <rPr>
        <sz val="11"/>
        <color indexed="8"/>
        <rFont val="Arial"/>
        <family val="2"/>
      </rPr>
      <t>2</t>
    </r>
    <phoneticPr fontId="31" type="noConversion"/>
  </si>
  <si>
    <t>住宅底商</t>
  </si>
  <si>
    <t>住宅底商</t>
    <phoneticPr fontId="31" type="noConversion"/>
  </si>
  <si>
    <t>商业综合楼</t>
  </si>
  <si>
    <t>商业综合楼</t>
    <phoneticPr fontId="31" type="noConversion"/>
  </si>
  <si>
    <t>办公楼底商</t>
    <phoneticPr fontId="31" type="noConversion"/>
  </si>
  <si>
    <t>钢混</t>
  </si>
  <si>
    <t>钢混</t>
    <phoneticPr fontId="31" type="noConversion"/>
  </si>
  <si>
    <t>混合</t>
    <phoneticPr fontId="31" type="noConversion"/>
  </si>
  <si>
    <t>普通装修</t>
  </si>
  <si>
    <t>普通装修</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</si>
  <si>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</si>
  <si>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</si>
  <si>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</si>
  <si>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</si>
  <si>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</si>
  <si>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挑高层高</t>
    <phoneticPr fontId="31" type="noConversion"/>
  </si>
  <si>
    <t>简单装修</t>
  </si>
  <si>
    <t>简单装修</t>
    <phoneticPr fontId="31" type="noConversion"/>
  </si>
  <si>
    <t>毛坯</t>
  </si>
  <si>
    <t>毛坯</t>
    <phoneticPr fontId="31" type="noConversion"/>
  </si>
  <si>
    <t>估价对象周边有16路、26路、305路、603路、夜14路、快速直达专线35路等多条公交线路，距地铁2、4、13号线换乘站（西直门站）及京张城际铁路（北京北站）约1.2公里，综合评价交通便捷度较好</t>
    <phoneticPr fontId="41" type="noConversion"/>
  </si>
  <si>
    <t>城市主干道</t>
    <phoneticPr fontId="31" type="noConversion"/>
  </si>
  <si>
    <t>城市次干道</t>
  </si>
  <si>
    <t>城市次干道</t>
    <phoneticPr fontId="31" type="noConversion"/>
  </si>
  <si>
    <t>长河湾</t>
    <phoneticPr fontId="3" type="noConversion"/>
  </si>
  <si>
    <t>阳光大厦（达美乐）</t>
    <phoneticPr fontId="3" type="noConversion"/>
  </si>
  <si>
    <t>城市支路</t>
  </si>
  <si>
    <t>城市支路</t>
    <phoneticPr fontId="31" type="noConversion"/>
  </si>
  <si>
    <t>较好</t>
    <phoneticPr fontId="31" type="noConversion"/>
  </si>
  <si>
    <t>收益法 (1层)</t>
  </si>
  <si>
    <t>收益法 (1层)</t>
    <phoneticPr fontId="16" type="noConversion"/>
  </si>
  <si>
    <t>押一</t>
  </si>
  <si>
    <t>非生产用房</t>
  </si>
  <si>
    <t>交大东路52号院1号楼</t>
    <phoneticPr fontId="3" type="noConversion"/>
  </si>
  <si>
    <t>成本法 (1层)</t>
  </si>
  <si>
    <t>成本法 (1层)</t>
    <phoneticPr fontId="16" type="noConversion"/>
  </si>
  <si>
    <t>市场价格</t>
    <phoneticPr fontId="140" type="noConversion"/>
  </si>
  <si>
    <t>方法</t>
    <phoneticPr fontId="140" type="noConversion"/>
  </si>
  <si>
    <t>权重</t>
    <phoneticPr fontId="140" type="noConversion"/>
  </si>
  <si>
    <t>单价</t>
    <phoneticPr fontId="140" type="noConversion"/>
  </si>
  <si>
    <t>位置</t>
    <phoneticPr fontId="140" type="noConversion"/>
  </si>
  <si>
    <t>面积</t>
    <phoneticPr fontId="140" type="noConversion"/>
  </si>
  <si>
    <t>总价</t>
    <phoneticPr fontId="140" type="noConversion"/>
  </si>
  <si>
    <t>一层</t>
    <phoneticPr fontId="140" type="noConversion"/>
  </si>
  <si>
    <t>成本法</t>
    <phoneticPr fontId="140" type="noConversion"/>
  </si>
  <si>
    <t>收益法</t>
    <phoneticPr fontId="140" type="noConversion"/>
  </si>
  <si>
    <t>三层</t>
    <phoneticPr fontId="140" type="noConversion"/>
  </si>
  <si>
    <t>权重单价</t>
    <phoneticPr fontId="140" type="noConversion"/>
  </si>
  <si>
    <t>楼面单价</t>
  </si>
  <si>
    <t>利息：取LPR加浮动点数</t>
  </si>
  <si>
    <t>未包含在土地购买价格中</t>
  </si>
  <si>
    <t>否</t>
  </si>
  <si>
    <t>按租金收入计税</t>
  </si>
  <si>
    <t>合计</t>
    <phoneticPr fontId="140" type="noConversion"/>
  </si>
  <si>
    <t>押三</t>
  </si>
  <si>
    <t>简单装修</t>
    <phoneticPr fontId="31" type="noConversion"/>
  </si>
  <si>
    <r>
      <rPr>
        <sz val="10"/>
        <color rgb="FFFF0000"/>
        <rFont val="宋体"/>
        <family val="3"/>
        <charset val="134"/>
      </rPr>
      <t>综合</t>
    </r>
  </si>
  <si>
    <t>城市主干道</t>
  </si>
  <si>
    <t>收益法 (3层)</t>
  </si>
  <si>
    <t>收益法 (3层)</t>
    <phoneticPr fontId="16" type="noConversion"/>
  </si>
  <si>
    <t>首体南路6</t>
    <phoneticPr fontId="3" type="noConversion"/>
  </si>
  <si>
    <t>办公楼底商</t>
  </si>
  <si>
    <t>项目内道路</t>
    <phoneticPr fontId="140" type="noConversion"/>
  </si>
  <si>
    <t>较小</t>
  </si>
  <si>
    <t>中国银行</t>
    <phoneticPr fontId="3" type="noConversion"/>
  </si>
  <si>
    <t>其他</t>
    <phoneticPr fontId="140" type="noConversion"/>
  </si>
  <si>
    <t>无</t>
    <phoneticPr fontId="140" type="noConversion"/>
  </si>
  <si>
    <t>修正因素/幅度</t>
    <phoneticPr fontId="140" type="noConversion"/>
  </si>
  <si>
    <t>利润率</t>
    <phoneticPr fontId="140" type="noConversion"/>
  </si>
  <si>
    <t>住宅配套</t>
  </si>
  <si>
    <t>住宅配套</t>
    <phoneticPr fontId="31" type="noConversion"/>
  </si>
  <si>
    <t>写字楼配套</t>
  </si>
  <si>
    <t>写字楼配套</t>
    <phoneticPr fontId="31" type="noConversion"/>
  </si>
  <si>
    <t>融汇国际大厦</t>
    <phoneticPr fontId="3" type="noConversion"/>
  </si>
  <si>
    <t>海淀区高梁桥斜街42号院</t>
    <phoneticPr fontId="3" type="noConversion"/>
  </si>
  <si>
    <t>方恒时尚中心</t>
    <phoneticPr fontId="3" type="noConversion"/>
  </si>
  <si>
    <t>售价</t>
  </si>
  <si>
    <r>
      <t>2021</t>
    </r>
    <r>
      <rPr>
        <sz val="11"/>
        <color indexed="8"/>
        <rFont val="宋体"/>
        <family val="3"/>
        <charset val="134"/>
      </rPr>
      <t>年</t>
    </r>
    <r>
      <rPr>
        <sz val="11"/>
        <color indexed="8"/>
        <rFont val="Arial"/>
        <family val="2"/>
      </rPr>
      <t>11</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</si>
  <si>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</si>
  <si>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</si>
  <si>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</si>
  <si>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</si>
  <si>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</si>
  <si>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5</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</si>
  <si>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</si>
  <si>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</si>
  <si>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</si>
  <si>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140" type="noConversion"/>
  </si>
  <si>
    <t>比较法</t>
    <phoneticPr fontId="140" type="noConversion"/>
  </si>
  <si>
    <t>区域自然环境：南长河、北护城河等；人文环境：北京动物园、北京海洋馆、北京展览馆、北京天文馆等；综合评价环境状况好</t>
    <phoneticPr fontId="41" type="noConversion"/>
  </si>
  <si>
    <t>设备设施</t>
    <phoneticPr fontId="140" type="noConversion"/>
  </si>
  <si>
    <t>较完备</t>
    <phoneticPr fontId="140" type="noConversion"/>
  </si>
  <si>
    <t>餐饮</t>
    <phoneticPr fontId="140" type="noConversion"/>
  </si>
  <si>
    <t>非餐饮</t>
  </si>
  <si>
    <t>非餐饮</t>
    <phoneticPr fontId="140" type="noConversion"/>
  </si>
  <si>
    <t>竣工</t>
    <phoneticPr fontId="140" type="noConversion"/>
  </si>
  <si>
    <t>完备（中央空调、新风）</t>
    <phoneticPr fontId="140" type="noConversion"/>
  </si>
  <si>
    <t>可餐饮</t>
  </si>
  <si>
    <t>可餐饮</t>
    <phoneticPr fontId="140" type="noConversion"/>
  </si>
  <si>
    <t>不可餐饮</t>
  </si>
  <si>
    <t>不可餐饮</t>
    <phoneticPr fontId="140" type="noConversion"/>
  </si>
  <si>
    <t>交大东路41号</t>
    <phoneticPr fontId="3" type="noConversion"/>
  </si>
  <si>
    <t>修正后</t>
    <phoneticPr fontId="140" type="noConversion"/>
  </si>
  <si>
    <t>修正前</t>
    <phoneticPr fontId="140" type="noConversion"/>
  </si>
  <si>
    <t>海淀区首都体育馆南路6号（中国银行）</t>
    <phoneticPr fontId="140" type="noConversion"/>
  </si>
  <si>
    <t>交大东路52号院1号楼（链家）</t>
    <phoneticPr fontId="140" type="noConversion"/>
  </si>
  <si>
    <t>交大东路41号
（中国银行）</t>
    <phoneticPr fontId="140" type="noConversion"/>
  </si>
  <si>
    <t>阳光大厦
（达美乐）</t>
    <phoneticPr fontId="140" type="noConversion"/>
  </si>
  <si>
    <t>长河湾
（麦田）</t>
    <phoneticPr fontId="140" type="noConversion"/>
  </si>
  <si>
    <t>办公楼配套</t>
  </si>
  <si>
    <t>办公楼配套</t>
    <phoneticPr fontId="31" type="noConversion"/>
  </si>
  <si>
    <t>枫蓝国际
（上岛咖啡）</t>
    <phoneticPr fontId="140" type="noConversion"/>
  </si>
  <si>
    <t>凯旋大厦
（民生银行）</t>
    <phoneticPr fontId="140" type="noConversion"/>
  </si>
  <si>
    <t>今典花园
（文峰美容美发）</t>
    <phoneticPr fontId="140" type="noConversion"/>
  </si>
  <si>
    <t>今典花园
（农业银行）</t>
    <phoneticPr fontId="140" type="noConversion"/>
  </si>
  <si>
    <t>西直门外大街</t>
    <phoneticPr fontId="3" type="noConversion"/>
  </si>
  <si>
    <t>西直门北大街</t>
    <phoneticPr fontId="3" type="noConversion"/>
  </si>
  <si>
    <t>文慧园北路9号楼</t>
    <phoneticPr fontId="3" type="noConversion"/>
  </si>
  <si>
    <t>长春桥路5号12号楼</t>
    <phoneticPr fontId="140" type="noConversion"/>
  </si>
  <si>
    <t>新起点嘉园
（中国银行）</t>
    <phoneticPr fontId="140" type="noConversion"/>
  </si>
  <si>
    <r>
      <rPr>
        <sz val="11"/>
        <color theme="9" tint="-0.249977111117893"/>
        <rFont val="宋体"/>
        <family val="3"/>
        <charset val="134"/>
      </rPr>
      <t>文慧园北路</t>
    </r>
    <r>
      <rPr>
        <sz val="11"/>
        <color theme="9" tint="-0.249977111117893"/>
        <rFont val="Arial"/>
        <family val="2"/>
      </rPr>
      <t>9</t>
    </r>
    <r>
      <rPr>
        <sz val="11"/>
        <color theme="9" tint="-0.249977111117893"/>
        <rFont val="宋体"/>
        <family val="3"/>
        <charset val="134"/>
      </rPr>
      <t>号楼</t>
    </r>
    <phoneticPr fontId="140" type="noConversion"/>
  </si>
  <si>
    <t>新起点嘉园（中国银行）</t>
    <phoneticPr fontId="140" type="noConversion"/>
  </si>
  <si>
    <t>新世纪日航饭店（中国银行）</t>
    <phoneticPr fontId="3" type="noConversion"/>
  </si>
  <si>
    <t>枫蓝国际（上岛）</t>
    <phoneticPr fontId="3" type="noConversion"/>
  </si>
  <si>
    <t>凯旋大厦（民生银行)</t>
    <phoneticPr fontId="3" type="noConversion"/>
  </si>
  <si>
    <t>今典花园（美容美发）</t>
    <phoneticPr fontId="3" type="noConversion"/>
  </si>
  <si>
    <t>餐饮</t>
  </si>
  <si>
    <t>餐饮</t>
    <phoneticPr fontId="140" type="noConversion"/>
  </si>
  <si>
    <t>非餐饮</t>
    <phoneticPr fontId="140" type="noConversion"/>
  </si>
  <si>
    <t>今典花园（农业银行）</t>
    <phoneticPr fontId="140" type="noConversion"/>
  </si>
  <si>
    <t>新起点嘉园（中国银行）</t>
    <phoneticPr fontId="3" type="noConversion"/>
  </si>
  <si>
    <t>长春桥路5号12号楼</t>
    <phoneticPr fontId="3" type="noConversion"/>
  </si>
  <si>
    <t>餐饮</t>
    <phoneticPr fontId="31" type="noConversion"/>
  </si>
  <si>
    <t>非餐饮</t>
    <phoneticPr fontId="31" type="noConversion"/>
  </si>
  <si>
    <t>中关村南大街</t>
    <phoneticPr fontId="140" type="noConversion"/>
  </si>
  <si>
    <t>中外交流大厦（租车）</t>
    <phoneticPr fontId="140" type="noConversion"/>
  </si>
  <si>
    <t>中外交流大厦
（租车）</t>
    <phoneticPr fontId="140" type="noConversion"/>
  </si>
  <si>
    <t>成本法 (3层)单价</t>
    <phoneticPr fontId="16" type="noConversion"/>
  </si>
  <si>
    <t>成本法 (3层)</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</si>
</sst>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color theme="9" tint="-0.249977111117893"/>
      <name val="宋体"/>
      <family val="2"/>
      <charset val="134"/>
    </font>
    <font>
      <sz val="11"/>
      <name val="宋体"/>
      <family val="2"/>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auto="1"/>
      </left>
      <right style="hair">
        <color auto="1"/>
      </right>
      <top style="hair">
        <color auto="1"/>
      </top>
      <bottom style="hair">
        <color auto="1"/>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134" fillId="0" borderId="51" xfId="0" applyFont="1" applyBorder="1" applyAlignment="1" applyProtection="1">
      <alignment horizontal="center"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Protection="1">
      <alignment vertical="center"/>
      <protection locked="0"/>
    </xf>
    <xf numFmtId="0" fontId="134" fillId="0" borderId="44" xfId="0" applyFont="1" applyBorder="1" applyAlignment="1" applyProtection="1">
      <alignment horizontal="center" vertical="center" wrapText="1"/>
      <protection locked="0"/>
    </xf>
    <xf numFmtId="58" fontId="46" fillId="0" borderId="44" xfId="0" applyNumberFormat="1"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134" fillId="0" borderId="78" xfId="0" applyFont="1" applyBorder="1" applyAlignment="1" applyProtection="1">
      <alignment horizontal="center" vertical="center" wrapText="1"/>
      <protection locked="0"/>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176" fontId="49" fillId="9" borderId="1" xfId="0" applyNumberFormat="1" applyFont="1" applyFill="1" applyBorder="1" applyAlignment="1" applyProtection="1">
      <alignment vertical="center" wrapText="1"/>
      <protection locked="0"/>
    </xf>
    <xf numFmtId="181" fontId="49" fillId="9" borderId="24" xfId="0" applyNumberFormat="1" applyFont="1" applyFill="1" applyBorder="1" applyAlignment="1" applyProtection="1">
      <alignment horizontal="center" vertical="center"/>
      <protection locked="0"/>
    </xf>
    <xf numFmtId="0" fontId="46" fillId="9" borderId="11" xfId="0" applyFont="1" applyFill="1" applyBorder="1" applyAlignment="1" applyProtection="1">
      <alignment vertical="center" wrapText="1"/>
      <protection locked="0"/>
    </xf>
    <xf numFmtId="10" fontId="118" fillId="9" borderId="23" xfId="0" applyNumberFormat="1" applyFont="1" applyFill="1" applyBorder="1" applyProtection="1">
      <alignment vertical="center"/>
      <protection locked="0"/>
    </xf>
    <xf numFmtId="0" fontId="60" fillId="9" borderId="3" xfId="0" applyFont="1" applyFill="1" applyBorder="1" applyAlignment="1" applyProtection="1">
      <alignment horizontal="center" vertical="center" wrapText="1"/>
      <protection locked="0"/>
    </xf>
    <xf numFmtId="0" fontId="102" fillId="9" borderId="1" xfId="0" applyFont="1" applyFill="1" applyBorder="1" applyAlignment="1">
      <alignment horizontal="center" vertical="center"/>
    </xf>
    <xf numFmtId="0" fontId="59" fillId="9" borderId="13" xfId="1" applyFont="1" applyFill="1" applyBorder="1" applyAlignment="1">
      <alignment horizontal="right" vertical="center"/>
    </xf>
    <xf numFmtId="0" fontId="104" fillId="2" borderId="41" xfId="0" applyFont="1" applyFill="1" applyBorder="1" applyAlignment="1" applyProtection="1">
      <alignment horizontal="center" vertical="center" wrapText="1"/>
      <protection locked="0"/>
    </xf>
    <xf numFmtId="179" fontId="55" fillId="9" borderId="84" xfId="0" applyNumberFormat="1" applyFont="1" applyFill="1" applyBorder="1" applyAlignment="1">
      <alignment horizontal="center" vertical="center"/>
    </xf>
    <xf numFmtId="49" fontId="97" fillId="2" borderId="23" xfId="0" applyNumberFormat="1" applyFont="1" applyFill="1" applyBorder="1" applyAlignment="1" applyProtection="1">
      <alignment horizontal="center" vertical="center" wrapText="1"/>
      <protection locked="0"/>
    </xf>
    <xf numFmtId="0" fontId="0" fillId="20" borderId="0" xfId="0" applyFill="1">
      <alignment vertical="center"/>
    </xf>
    <xf numFmtId="0" fontId="250" fillId="6" borderId="119" xfId="10" applyFont="1" applyFill="1" applyBorder="1" applyAlignment="1">
      <alignment horizontal="left" vertical="center"/>
    </xf>
    <xf numFmtId="0" fontId="145" fillId="15" borderId="0" xfId="9" applyFont="1" applyFill="1" applyAlignment="1">
      <alignment horizontal="left" vertical="center"/>
    </xf>
    <xf numFmtId="0" fontId="145" fillId="0" borderId="0" xfId="9" applyFont="1" applyAlignment="1">
      <alignment horizontal="left" vertical="center"/>
    </xf>
    <xf numFmtId="0" fontId="145" fillId="13" borderId="0" xfId="9" applyFont="1" applyFill="1" applyAlignment="1">
      <alignment horizontal="left" vertical="center"/>
    </xf>
    <xf numFmtId="10" fontId="118" fillId="0" borderId="0" xfId="9" applyNumberFormat="1" applyFont="1" applyAlignment="1">
      <alignment horizontal="left" vertical="center"/>
    </xf>
    <xf numFmtId="181" fontId="118" fillId="0" borderId="0" xfId="9" applyNumberFormat="1" applyFont="1" applyAlignment="1">
      <alignment horizontal="left" vertical="center"/>
    </xf>
    <xf numFmtId="10" fontId="118" fillId="0" borderId="60" xfId="9" applyNumberFormat="1" applyFont="1" applyBorder="1" applyAlignment="1">
      <alignment horizontal="left" vertical="center"/>
    </xf>
    <xf numFmtId="10" fontId="118" fillId="5" borderId="60" xfId="9" applyNumberFormat="1" applyFont="1" applyFill="1" applyBorder="1" applyAlignment="1">
      <alignment horizontal="left" vertical="center"/>
    </xf>
    <xf numFmtId="10" fontId="118" fillId="0" borderId="47" xfId="9" applyNumberFormat="1" applyFont="1" applyBorder="1" applyAlignment="1">
      <alignment horizontal="left" vertical="center"/>
    </xf>
    <xf numFmtId="0" fontId="118" fillId="12" borderId="123" xfId="9" applyFont="1" applyFill="1" applyBorder="1" applyAlignment="1">
      <alignment horizontal="left" vertical="center" wrapText="1"/>
    </xf>
    <xf numFmtId="0" fontId="118" fillId="11" borderId="126" xfId="9" applyFont="1" applyFill="1" applyBorder="1" applyAlignment="1">
      <alignment horizontal="left" vertical="center" wrapText="1"/>
    </xf>
    <xf numFmtId="0" fontId="118" fillId="12" borderId="126" xfId="9" applyFont="1" applyFill="1" applyBorder="1" applyAlignment="1">
      <alignment horizontal="left" vertical="center" wrapText="1"/>
    </xf>
    <xf numFmtId="0" fontId="118" fillId="11" borderId="132" xfId="9" applyFont="1" applyFill="1" applyBorder="1" applyAlignment="1">
      <alignment horizontal="left" vertical="center" wrapText="1"/>
    </xf>
    <xf numFmtId="0" fontId="255" fillId="0" borderId="44"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7" xfId="0" applyFont="1" applyBorder="1" applyAlignment="1" applyProtection="1">
      <alignment horizontal="center" vertical="center" wrapText="1"/>
      <protection locked="0"/>
    </xf>
    <xf numFmtId="0" fontId="257" fillId="0" borderId="37" xfId="0" applyFont="1" applyBorder="1" applyAlignment="1" applyProtection="1">
      <alignment horizontal="center" vertical="center" wrapText="1"/>
      <protection locked="0"/>
    </xf>
    <xf numFmtId="0" fontId="98" fillId="7" borderId="1" xfId="0" applyFont="1" applyFill="1" applyBorder="1" applyAlignment="1">
      <alignment horizontal="center" vertical="center"/>
    </xf>
    <xf numFmtId="0" fontId="98" fillId="0" borderId="15" xfId="0" applyFont="1" applyFill="1" applyBorder="1" applyAlignment="1">
      <alignment horizontal="center" vertical="center"/>
    </xf>
    <xf numFmtId="9" fontId="0" fillId="0" borderId="0" xfId="0" applyNumberFormat="1" applyAlignment="1">
      <alignment horizontal="center" vertical="center"/>
    </xf>
    <xf numFmtId="0" fontId="46" fillId="6" borderId="1" xfId="0" applyFont="1" applyFill="1" applyBorder="1" applyAlignment="1">
      <alignment horizontal="center" vertical="center"/>
    </xf>
    <xf numFmtId="0" fontId="46" fillId="6" borderId="1" xfId="0" applyFont="1" applyFill="1" applyBorder="1" applyAlignment="1">
      <alignment horizontal="center" vertical="center" wrapText="1"/>
    </xf>
    <xf numFmtId="0" fontId="98"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5"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134" fillId="0" borderId="5"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0" fontId="0" fillId="0" borderId="160" xfId="0" applyBorder="1" applyAlignment="1">
      <alignment horizontal="center" vertical="center"/>
    </xf>
    <xf numFmtId="0" fontId="98" fillId="0" borderId="160" xfId="0" applyNumberFormat="1" applyFont="1" applyBorder="1" applyAlignment="1">
      <alignment horizontal="center" vertical="center" wrapText="1"/>
    </xf>
    <xf numFmtId="0" fontId="98" fillId="0" borderId="160" xfId="0" applyFont="1" applyBorder="1" applyAlignment="1">
      <alignment horizontal="center" vertical="center" wrapText="1"/>
    </xf>
    <xf numFmtId="0" fontId="0" fillId="22" borderId="160" xfId="0" applyFill="1" applyBorder="1" applyAlignment="1">
      <alignment horizontal="center" vertical="center"/>
    </xf>
    <xf numFmtId="0" fontId="111" fillId="22" borderId="160" xfId="0" applyFont="1" applyFill="1" applyBorder="1" applyAlignment="1">
      <alignment horizontal="center" vertical="center"/>
    </xf>
    <xf numFmtId="0" fontId="0" fillId="23" borderId="0" xfId="0" applyFill="1" applyAlignment="1">
      <alignment horizontal="center" vertical="center"/>
    </xf>
    <xf numFmtId="0" fontId="0" fillId="7" borderId="160" xfId="0" applyFill="1" applyBorder="1" applyAlignment="1">
      <alignment horizontal="center"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3"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0" fillId="22" borderId="160" xfId="0" applyFill="1" applyBorder="1" applyAlignment="1">
      <alignment horizontal="center" vertical="center"/>
    </xf>
    <xf numFmtId="0" fontId="98" fillId="5" borderId="1" xfId="0" applyFont="1" applyFill="1" applyBorder="1" applyAlignment="1">
      <alignment horizontal="center" vertical="center"/>
    </xf>
    <xf numFmtId="0" fontId="98" fillId="0" borderId="1" xfId="0" applyFont="1" applyBorder="1" applyAlignment="1">
      <alignment horizontal="center" vertical="center"/>
    </xf>
    <xf numFmtId="0" fontId="0" fillId="21" borderId="1" xfId="0"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218" fillId="0" borderId="22" xfId="0" applyFont="1" applyBorder="1" applyAlignment="1" applyProtection="1">
      <alignment horizontal="center" vertical="center" wrapText="1"/>
      <protection locked="0"/>
    </xf>
    <xf numFmtId="0" fontId="258" fillId="0" borderId="11"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31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3层)"/>
      <sheetName val="基准地价修正（1层）"/>
      <sheetName val="Sheet1"/>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V4">
            <v>1916</v>
          </cell>
        </row>
      </sheetData>
      <sheetData sheetId="33">
        <row r="2">
          <cell r="S2">
            <v>1.5206</v>
          </cell>
          <cell r="T2">
            <v>36645</v>
          </cell>
          <cell r="V2">
            <v>938</v>
          </cell>
        </row>
        <row r="4">
          <cell r="S4">
            <v>1.0430999999999999</v>
          </cell>
          <cell r="T4">
            <v>25138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945</v>
      </c>
      <c r="B1" s="1223" t="s">
        <v>1024</v>
      </c>
    </row>
    <row r="2" spans="1:2" s="1228" customFormat="1" ht="15" thickTop="1">
      <c r="A2" s="1226" t="s">
        <v>946</v>
      </c>
      <c r="B2" s="1227" t="str">
        <f>'预评函-封皮'!B37:I37</f>
        <v>北京市房地产市场价值预评估</v>
      </c>
    </row>
    <row r="3" spans="1:2">
      <c r="A3" s="1229" t="s">
        <v>947</v>
      </c>
      <c r="B3" s="1230">
        <f>'预评函-封皮'!B40</f>
        <v>0</v>
      </c>
    </row>
    <row r="4" spans="1:2">
      <c r="A4" s="1229" t="s">
        <v>948</v>
      </c>
      <c r="B4" s="1230" t="str">
        <f>'预评函-封皮'!B46</f>
        <v>（注册号：0)、（注册号：0)</v>
      </c>
    </row>
    <row r="5" spans="1:2" s="1225" customFormat="1" ht="15" thickBot="1">
      <c r="A5" s="1232" t="s">
        <v>949</v>
      </c>
      <c r="B5" s="1233" t="str">
        <f>'预评函-封皮'!B49</f>
        <v>康正预评字号</v>
      </c>
    </row>
    <row r="6" spans="1:2" s="1228" customFormat="1" ht="15" thickTop="1">
      <c r="A6" s="1226" t="s">
        <v>950</v>
      </c>
      <c r="B6" s="1227" t="str">
        <f>'预评函-1'!A4</f>
        <v>受贵公司委托，我公司对北京市房地产市场价值进行了预评估。</v>
      </c>
    </row>
    <row r="7" spans="1:2">
      <c r="A7" s="1229" t="s">
        <v>990</v>
      </c>
      <c r="B7" s="1230" t="str">
        <f>'预评函-1'!A7</f>
        <v>估价对象为北京市房地产，为所有。根据《国有土地使用证》[]，估价对象（分摊）出让国有建设用地使用权面积为1平方米，建筑面积为1018平方米。</v>
      </c>
    </row>
    <row r="8" spans="1:2">
      <c r="A8" s="1229" t="s">
        <v>991</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992</v>
      </c>
      <c r="B9" s="1230" t="str">
        <f>'预评函-1'!A10</f>
        <v>估价对象为北京市房地产,属开发建设的，该项目尚在开发建设中。根据《国有土地使用证》[]，估价对象（分摊）出让国有建设用地使用权面积为1平方米，规划建筑面积为1018平方米。</v>
      </c>
    </row>
    <row r="10" spans="1:2">
      <c r="A10" s="1229" t="s">
        <v>993</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951</v>
      </c>
      <c r="B11" s="1230" t="str">
        <f>'预评函-1'!A13</f>
        <v>为估价委托人了解估价对象房地产市场价值提供参考依据。</v>
      </c>
    </row>
    <row r="12" spans="1:2">
      <c r="A12" s="1229" t="s">
        <v>952</v>
      </c>
      <c r="B12" s="1230" t="str">
        <f>'预评函-1'!A15</f>
        <v>2022年12月19日</v>
      </c>
    </row>
    <row r="13" spans="1:2">
      <c r="A13" s="1229" t="s">
        <v>953</v>
      </c>
      <c r="B13" s="1230" t="str">
        <f>'预评函-1'!A18</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4" spans="1:2">
      <c r="A14" s="1229" t="s">
        <v>954</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955</v>
      </c>
      <c r="B15" s="1230" t="str">
        <f>'预评函-1'!A20</f>
        <v>——</v>
      </c>
    </row>
    <row r="16" spans="1:2">
      <c r="A16" s="1229" t="s">
        <v>956</v>
      </c>
      <c r="B16" s="1230" t="str">
        <f>'预评函-1'!A21</f>
        <v>——</v>
      </c>
    </row>
    <row r="17" spans="1:2">
      <c r="A17" s="1229" t="s">
        <v>957</v>
      </c>
      <c r="B17" s="1230" t="str">
        <f>'预评函-1'!A22</f>
        <v>——</v>
      </c>
    </row>
    <row r="18" spans="1:2" s="1225" customFormat="1" ht="15" thickBot="1">
      <c r="A18" s="1232" t="s">
        <v>958</v>
      </c>
      <c r="B18" s="1233" t="str">
        <f>'预评函-1'!A24</f>
        <v>本次评估采用的主估价方法为成本法和收益法。</v>
      </c>
    </row>
    <row r="19" spans="1:2" s="1228" customFormat="1" ht="15" thickTop="1">
      <c r="A19" s="1226" t="s">
        <v>959</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960</v>
      </c>
      <c r="B20" s="1230">
        <f ca="1">'预评函-2'!D5</f>
        <v>1417</v>
      </c>
    </row>
    <row r="21" spans="1:2">
      <c r="A21" s="1229" t="s">
        <v>961</v>
      </c>
      <c r="B21" s="1230">
        <f ca="1">'预评函-2'!D7</f>
        <v>55359</v>
      </c>
    </row>
    <row r="22" spans="1:2">
      <c r="A22" s="1229" t="s">
        <v>962</v>
      </c>
      <c r="B22" s="1230" t="str">
        <f ca="1">'预评函-2'!D6</f>
        <v>壹仟肆佰壹拾柒万元整</v>
      </c>
    </row>
    <row r="23" spans="1:2">
      <c r="A23" s="1229" t="s">
        <v>1013</v>
      </c>
      <c r="B23" s="1230" t="str">
        <f>'预评函-2'!B8</f>
        <v>2.估价师知悉的法定优先受偿款</v>
      </c>
    </row>
    <row r="24" spans="1:2">
      <c r="A24" s="1229" t="s">
        <v>1019</v>
      </c>
      <c r="B24" s="1230">
        <f>'预评函-2'!D8</f>
        <v>0</v>
      </c>
    </row>
    <row r="25" spans="1:2">
      <c r="A25" s="1229" t="s">
        <v>963</v>
      </c>
      <c r="B25" s="1230" t="str">
        <f>'预评函-2'!D9</f>
        <v>零元整</v>
      </c>
    </row>
    <row r="26" spans="1:2">
      <c r="A26" s="1229" t="s">
        <v>964</v>
      </c>
      <c r="B26" s="1230">
        <f>'预评函-2'!D10</f>
        <v>0</v>
      </c>
    </row>
    <row r="27" spans="1:2">
      <c r="A27" s="1229" t="s">
        <v>965</v>
      </c>
      <c r="B27" s="1230">
        <f>'预评函-2'!D11</f>
        <v>0</v>
      </c>
    </row>
    <row r="28" spans="1:2">
      <c r="A28" s="1229" t="s">
        <v>966</v>
      </c>
      <c r="B28" s="1230">
        <f>'预评函-2'!D12</f>
        <v>0</v>
      </c>
    </row>
    <row r="29" spans="1:2">
      <c r="A29" s="1229" t="s">
        <v>1017</v>
      </c>
      <c r="B29" s="1230" t="str">
        <f>'预评函-2'!B13</f>
        <v>3.房地产抵押价值</v>
      </c>
    </row>
    <row r="30" spans="1:2">
      <c r="A30" s="1229" t="s">
        <v>1018</v>
      </c>
      <c r="B30" s="1230">
        <f ca="1">'预评函-2'!D13</f>
        <v>1417</v>
      </c>
    </row>
    <row r="31" spans="1:2">
      <c r="A31" s="1229" t="s">
        <v>1000</v>
      </c>
      <c r="B31" s="1230">
        <f ca="1">'预评函-2'!D15</f>
        <v>13919</v>
      </c>
    </row>
    <row r="32" spans="1:2">
      <c r="A32" s="1229" t="s">
        <v>967</v>
      </c>
      <c r="B32" s="1230" t="str">
        <f ca="1">'预评函-2'!D14</f>
        <v>壹仟肆佰壹拾柒万元整</v>
      </c>
    </row>
    <row r="33" spans="1:2">
      <c r="A33" s="1229" t="s">
        <v>1002</v>
      </c>
      <c r="B33" s="1230" t="str">
        <f>'预评函-2'!B16</f>
        <v>——</v>
      </c>
    </row>
    <row r="34" spans="1:2">
      <c r="A34" s="1229" t="s">
        <v>1020</v>
      </c>
      <c r="B34" s="1230" t="str">
        <f>'预评函-2'!D16</f>
        <v>——</v>
      </c>
    </row>
    <row r="35" spans="1:2">
      <c r="A35" s="1229" t="s">
        <v>1001</v>
      </c>
      <c r="B35" s="1230" t="str">
        <f>'预评函-2'!D18</f>
        <v>——</v>
      </c>
    </row>
    <row r="36" spans="1:2">
      <c r="A36" s="1229" t="s">
        <v>968</v>
      </c>
      <c r="B36" s="1230" t="e">
        <f>'预评函-2'!D17</f>
        <v>#VALUE!</v>
      </c>
    </row>
    <row r="37" spans="1:2">
      <c r="A37" s="1229" t="s">
        <v>1003</v>
      </c>
      <c r="B37" s="1230" t="str">
        <f>'预评函-2'!B19</f>
        <v>——</v>
      </c>
    </row>
    <row r="38" spans="1:2">
      <c r="A38" s="1229" t="s">
        <v>1021</v>
      </c>
      <c r="B38" s="1230" t="str">
        <f>'预评函-2'!D19</f>
        <v>——</v>
      </c>
    </row>
    <row r="39" spans="1:2">
      <c r="A39" s="1229" t="s">
        <v>969</v>
      </c>
      <c r="B39" s="1230" t="str">
        <f>'预评函-2'!D21</f>
        <v>——</v>
      </c>
    </row>
    <row r="40" spans="1:2">
      <c r="A40" s="1229" t="s">
        <v>970</v>
      </c>
      <c r="B40" s="1230" t="e">
        <f>'预评函-2'!D20</f>
        <v>#VALUE!</v>
      </c>
    </row>
    <row r="41" spans="1:2">
      <c r="A41" s="1229" t="s">
        <v>1016</v>
      </c>
      <c r="B41" s="1230" t="str">
        <f>'预评函-3'!A4</f>
        <v>北京市房地产</v>
      </c>
    </row>
    <row r="42" spans="1:2">
      <c r="A42" s="1229" t="s">
        <v>1014</v>
      </c>
      <c r="B42" s="1230" t="str">
        <f>'预评函-3'!B2</f>
        <v>建筑面积</v>
      </c>
    </row>
    <row r="43" spans="1:2">
      <c r="A43" s="1229" t="s">
        <v>1015</v>
      </c>
      <c r="B43" s="1230">
        <f>'预评函-3'!B4</f>
        <v>1018</v>
      </c>
    </row>
    <row r="44" spans="1:2">
      <c r="A44" s="1229" t="s">
        <v>999</v>
      </c>
      <c r="B44" s="1230" t="str">
        <f>'预评函-3'!C2</f>
        <v>(分摊)土地面积</v>
      </c>
    </row>
    <row r="45" spans="1:2">
      <c r="A45" s="1229" t="s">
        <v>971</v>
      </c>
      <c r="B45" s="1230">
        <f>'预评函-3'!C4</f>
        <v>1</v>
      </c>
    </row>
    <row r="46" spans="1:2">
      <c r="A46" s="1229" t="s">
        <v>997</v>
      </c>
      <c r="B46" s="1230" t="str">
        <f>'预评函-3'!D2</f>
        <v>出让国有建设用地使用权价值</v>
      </c>
    </row>
    <row r="47" spans="1:2">
      <c r="A47" s="1229" t="s">
        <v>972</v>
      </c>
      <c r="B47" s="1230" t="e">
        <f ca="1">'预评函-3'!D4</f>
        <v>#REF!</v>
      </c>
    </row>
    <row r="48" spans="1:2">
      <c r="A48" s="1229" t="s">
        <v>973</v>
      </c>
      <c r="B48" s="1230" t="e">
        <f ca="1">'预评函-3'!E4</f>
        <v>#REF!</v>
      </c>
    </row>
    <row r="49" spans="1:2">
      <c r="A49" s="1229" t="s">
        <v>974</v>
      </c>
      <c r="B49" s="1230" t="e">
        <f ca="1">'预评函-3'!D5</f>
        <v>#REF!</v>
      </c>
    </row>
    <row r="50" spans="1:2">
      <c r="A50" s="1229" t="s">
        <v>998</v>
      </c>
      <c r="B50" s="1230" t="str">
        <f>'预评函-3'!F2</f>
        <v>在建建筑物价值</v>
      </c>
    </row>
    <row r="51" spans="1:2">
      <c r="A51" s="1229" t="s">
        <v>975</v>
      </c>
      <c r="B51" s="1230" t="e">
        <f ca="1">'预评函-3'!F4</f>
        <v>#REF!</v>
      </c>
    </row>
    <row r="52" spans="1:2">
      <c r="A52" s="1229" t="s">
        <v>976</v>
      </c>
      <c r="B52" s="1230" t="e">
        <f ca="1">'预评函-3'!G4</f>
        <v>#REF!</v>
      </c>
    </row>
    <row r="53" spans="1:2">
      <c r="A53" s="1229" t="s">
        <v>1004</v>
      </c>
      <c r="B53" s="1230" t="e">
        <f ca="1">'预评函-3'!F5</f>
        <v>#REF!</v>
      </c>
    </row>
    <row r="54" spans="1:2">
      <c r="A54" s="1229" t="s">
        <v>1022</v>
      </c>
      <c r="B54" s="1230" t="str">
        <f>'预评函-3'!A8</f>
        <v/>
      </c>
    </row>
    <row r="55" spans="1:2">
      <c r="A55" s="1229" t="s">
        <v>1005</v>
      </c>
      <c r="B55" s="1230" t="str">
        <f>'预评函-3'!A10</f>
        <v/>
      </c>
    </row>
    <row r="56" spans="1:2">
      <c r="A56" s="1229" t="s">
        <v>1006</v>
      </c>
      <c r="B56" s="1230" t="str">
        <f>'预评函-3'!A12</f>
        <v/>
      </c>
    </row>
    <row r="57" spans="1:2" s="1225" customFormat="1" ht="15" thickBot="1">
      <c r="A57" s="1232" t="s">
        <v>1023</v>
      </c>
      <c r="B57" s="1233" t="str">
        <f>'预评函-3'!A6</f>
        <v/>
      </c>
    </row>
    <row r="58" spans="1:2" s="1228" customFormat="1" ht="15" thickTop="1">
      <c r="A58" s="1226" t="s">
        <v>977</v>
      </c>
      <c r="B58" s="1227" t="str">
        <f>'预评函-4'!A12</f>
        <v>2.本次评估设定估价对象房地产权属无争议，未被查封或者以其他形式限制其房地产权利，未设定抵押权等他项权利，不涉及第三方权利义务。</v>
      </c>
    </row>
    <row r="59" spans="1:2">
      <c r="A59" s="1229" t="s">
        <v>978</v>
      </c>
      <c r="B59" s="1230" t="str">
        <f>'预评函-4'!A13</f>
        <v>——</v>
      </c>
    </row>
    <row r="60" spans="1:2">
      <c r="A60" s="1229" t="s">
        <v>979</v>
      </c>
      <c r="B60" s="1230" t="str">
        <f>'预评函-4'!A14</f>
        <v>——</v>
      </c>
    </row>
    <row r="61" spans="1:2">
      <c r="A61" s="1229" t="s">
        <v>980</v>
      </c>
      <c r="B61" s="1230" t="str">
        <f>'预评函-4'!A15</f>
        <v>——</v>
      </c>
    </row>
    <row r="62" spans="1:2">
      <c r="A62" s="1229" t="s">
        <v>981</v>
      </c>
      <c r="B62" s="1230" t="str">
        <f>'预评函-4'!A16</f>
        <v>（2）根据《工程款支付情况说明》，截至价值时点，估价对象不存在应付未付工程款项。（只要没有施工方盖章的，均“设定”进行表述）</v>
      </c>
    </row>
    <row r="63" spans="1:2">
      <c r="A63" s="1229" t="s">
        <v>982</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994</v>
      </c>
      <c r="B64" s="1230" t="str">
        <f>'预评函-4'!A18</f>
        <v>——</v>
      </c>
    </row>
    <row r="65" spans="1:2">
      <c r="A65" s="1229" t="s">
        <v>983</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984</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995</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996</v>
      </c>
      <c r="B68" s="1230" t="str">
        <f>'预评函-4'!A22</f>
        <v>8.其他需特殊说明事项：无（注意调整序号）</v>
      </c>
    </row>
    <row r="69" spans="1:2" s="1225" customFormat="1" ht="15" thickBot="1">
      <c r="A69" s="1232" t="s">
        <v>985</v>
      </c>
      <c r="B69" s="1234">
        <f>'预评函-4'!C31</f>
        <v>42551</v>
      </c>
    </row>
    <row r="70" spans="1:2" ht="15" thickTop="1">
      <c r="A70" s="1235" t="s">
        <v>986</v>
      </c>
      <c r="B70" s="1236">
        <f>'预评函-4'!A4</f>
        <v>0</v>
      </c>
    </row>
    <row r="71" spans="1:2">
      <c r="A71" s="1229" t="s">
        <v>987</v>
      </c>
      <c r="B71" s="1230">
        <f>'预评函-4'!B4</f>
        <v>0</v>
      </c>
    </row>
    <row r="72" spans="1:2">
      <c r="A72" s="1229" t="s">
        <v>988</v>
      </c>
      <c r="B72" s="1237">
        <f>'预评函-4'!A5</f>
        <v>0</v>
      </c>
    </row>
    <row r="73" spans="1:2" s="1225" customFormat="1" ht="15" thickBot="1">
      <c r="A73" s="1232" t="s">
        <v>989</v>
      </c>
      <c r="B73" s="1233">
        <f>'预评函-4'!B5</f>
        <v>0</v>
      </c>
    </row>
    <row r="74" spans="1:2" ht="15" thickTop="1">
      <c r="A74" s="1222" t="s">
        <v>1025</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6" workbookViewId="0">
      <selection activeCell="B24" sqref="B24"/>
    </sheetView>
  </sheetViews>
  <sheetFormatPr defaultColWidth="9" defaultRowHeight="13.5"/>
  <cols>
    <col min="1" max="1" width="13.5" style="1578" customWidth="1"/>
    <col min="2" max="2" width="23.25" style="1535" customWidth="1"/>
    <col min="3" max="3" width="13" style="1575" customWidth="1"/>
    <col min="4" max="4" width="5.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1413</v>
      </c>
      <c r="C1" s="1568" t="s">
        <v>578</v>
      </c>
      <c r="D1" s="1568" t="s">
        <v>1414</v>
      </c>
      <c r="E1" s="1568" t="s">
        <v>1415</v>
      </c>
      <c r="F1" s="1568" t="s">
        <v>1416</v>
      </c>
      <c r="G1" s="1568" t="s">
        <v>1417</v>
      </c>
      <c r="H1" s="1568" t="s">
        <v>1418</v>
      </c>
      <c r="I1" s="1568" t="s">
        <v>1419</v>
      </c>
      <c r="J1" s="1568" t="s">
        <v>1420</v>
      </c>
      <c r="K1" s="1568" t="s">
        <v>1421</v>
      </c>
      <c r="L1" s="1568" t="s">
        <v>1422</v>
      </c>
      <c r="M1" s="1568" t="s">
        <v>1423</v>
      </c>
      <c r="N1" s="1568" t="s">
        <v>1424</v>
      </c>
      <c r="O1" s="1568" t="s">
        <v>1425</v>
      </c>
      <c r="P1" s="1569" t="s">
        <v>573</v>
      </c>
      <c r="Q1" s="1569" t="s">
        <v>872</v>
      </c>
      <c r="R1" s="1568" t="s">
        <v>866</v>
      </c>
      <c r="S1" s="1568" t="s">
        <v>1426</v>
      </c>
      <c r="T1" s="1569" t="s">
        <v>1427</v>
      </c>
      <c r="U1" s="1568" t="s">
        <v>1428</v>
      </c>
      <c r="V1" s="1568" t="s">
        <v>1429</v>
      </c>
      <c r="W1" s="1568" t="s">
        <v>575</v>
      </c>
    </row>
    <row r="2" spans="1:23">
      <c r="A2" s="1571" t="s">
        <v>22</v>
      </c>
      <c r="B2" s="1571" t="s">
        <v>1430</v>
      </c>
      <c r="C2" s="1572" t="s">
        <v>579</v>
      </c>
      <c r="D2" s="1573" t="s">
        <v>1431</v>
      </c>
      <c r="E2" s="1573" t="s">
        <v>1432</v>
      </c>
      <c r="F2" s="1573" t="s">
        <v>1433</v>
      </c>
      <c r="G2" s="1573">
        <v>40</v>
      </c>
      <c r="H2" s="1573" t="s">
        <v>1433</v>
      </c>
      <c r="I2" s="1573" t="s">
        <v>1434</v>
      </c>
      <c r="J2" s="1573" t="s">
        <v>1435</v>
      </c>
      <c r="K2" s="1573" t="s">
        <v>1436</v>
      </c>
      <c r="L2" s="1573" t="s">
        <v>1436</v>
      </c>
      <c r="M2" s="1573" t="s">
        <v>1436</v>
      </c>
      <c r="N2" s="1573" t="s">
        <v>1436</v>
      </c>
      <c r="O2" s="1573" t="s">
        <v>1436</v>
      </c>
      <c r="P2" s="1573" t="s">
        <v>1436</v>
      </c>
      <c r="Q2" s="1573" t="s">
        <v>1436</v>
      </c>
      <c r="R2" s="1573" t="s">
        <v>868</v>
      </c>
      <c r="S2" s="1573" t="s">
        <v>1436</v>
      </c>
      <c r="T2" s="1573" t="s">
        <v>1437</v>
      </c>
      <c r="U2" s="1573" t="s">
        <v>1436</v>
      </c>
      <c r="V2" s="1573" t="s">
        <v>1438</v>
      </c>
      <c r="W2" s="1573" t="s">
        <v>1436</v>
      </c>
    </row>
    <row r="3" spans="1:23">
      <c r="A3" s="1571" t="s">
        <v>1439</v>
      </c>
      <c r="B3" s="1574" t="s">
        <v>873</v>
      </c>
      <c r="C3" s="1572" t="s">
        <v>580</v>
      </c>
      <c r="D3" s="1573" t="s">
        <v>1440</v>
      </c>
      <c r="E3" s="1573" t="s">
        <v>16</v>
      </c>
      <c r="F3" s="1573" t="s">
        <v>1441</v>
      </c>
      <c r="G3" s="1573">
        <v>50</v>
      </c>
      <c r="H3" s="1573" t="s">
        <v>1441</v>
      </c>
      <c r="I3" s="1573" t="s">
        <v>1442</v>
      </c>
      <c r="J3" s="1573" t="s">
        <v>1443</v>
      </c>
      <c r="K3" s="1573" t="s">
        <v>1444</v>
      </c>
      <c r="L3" s="1573" t="s">
        <v>1444</v>
      </c>
      <c r="M3" s="1573" t="s">
        <v>1444</v>
      </c>
      <c r="N3" s="1573" t="s">
        <v>1444</v>
      </c>
      <c r="O3" s="1573" t="s">
        <v>1444</v>
      </c>
      <c r="P3" s="1573" t="s">
        <v>1444</v>
      </c>
      <c r="Q3" s="1573" t="s">
        <v>1444</v>
      </c>
      <c r="R3" s="1573" t="s">
        <v>867</v>
      </c>
      <c r="S3" s="1573" t="s">
        <v>1444</v>
      </c>
      <c r="T3" s="1573" t="s">
        <v>1445</v>
      </c>
      <c r="U3" s="1573" t="s">
        <v>1444</v>
      </c>
      <c r="V3" s="1573" t="s">
        <v>1446</v>
      </c>
      <c r="W3" s="1573" t="s">
        <v>1444</v>
      </c>
    </row>
    <row r="4" spans="1:23">
      <c r="A4" s="1571" t="s">
        <v>1447</v>
      </c>
      <c r="B4" s="1571" t="s">
        <v>1448</v>
      </c>
      <c r="C4" s="1572" t="s">
        <v>581</v>
      </c>
      <c r="D4" s="1573" t="s">
        <v>655</v>
      </c>
      <c r="E4" s="1573" t="s">
        <v>1449</v>
      </c>
      <c r="F4" s="1573" t="s">
        <v>1450</v>
      </c>
      <c r="G4" s="1573">
        <v>70</v>
      </c>
      <c r="H4" s="1573" t="s">
        <v>1450</v>
      </c>
      <c r="I4" s="1573" t="s">
        <v>1451</v>
      </c>
      <c r="K4" s="1573" t="s">
        <v>1452</v>
      </c>
      <c r="L4" s="1573" t="s">
        <v>1452</v>
      </c>
      <c r="M4" s="1573" t="s">
        <v>1452</v>
      </c>
      <c r="N4" s="1573" t="s">
        <v>1452</v>
      </c>
      <c r="O4" s="1573" t="s">
        <v>1452</v>
      </c>
      <c r="P4" s="1573" t="s">
        <v>1452</v>
      </c>
      <c r="Q4" s="1573" t="s">
        <v>1452</v>
      </c>
      <c r="R4" s="1573" t="s">
        <v>869</v>
      </c>
      <c r="S4" s="1573" t="s">
        <v>1452</v>
      </c>
      <c r="T4" s="1573" t="s">
        <v>1453</v>
      </c>
      <c r="U4" s="1573" t="s">
        <v>1452</v>
      </c>
      <c r="W4" s="1573" t="s">
        <v>1452</v>
      </c>
    </row>
    <row r="5" spans="1:23">
      <c r="A5" s="1571" t="s">
        <v>1454</v>
      </c>
      <c r="B5" s="1571" t="s">
        <v>1455</v>
      </c>
      <c r="C5" s="1572" t="s">
        <v>582</v>
      </c>
      <c r="F5" s="1573" t="s">
        <v>1456</v>
      </c>
      <c r="H5" s="1573" t="s">
        <v>1457</v>
      </c>
      <c r="I5" s="1573" t="s">
        <v>1458</v>
      </c>
      <c r="K5" s="1573" t="s">
        <v>1459</v>
      </c>
      <c r="L5" s="1573" t="s">
        <v>1459</v>
      </c>
      <c r="M5" s="1573" t="s">
        <v>1459</v>
      </c>
      <c r="N5" s="1573" t="s">
        <v>1459</v>
      </c>
      <c r="O5" s="1573" t="s">
        <v>1459</v>
      </c>
      <c r="P5" s="1573" t="s">
        <v>1459</v>
      </c>
      <c r="Q5" s="1573" t="s">
        <v>1459</v>
      </c>
      <c r="R5" s="1573" t="s">
        <v>870</v>
      </c>
      <c r="S5" s="1573" t="s">
        <v>1459</v>
      </c>
      <c r="T5" s="1573" t="s">
        <v>1460</v>
      </c>
      <c r="U5" s="1573" t="s">
        <v>1459</v>
      </c>
      <c r="W5" s="1573" t="s">
        <v>1459</v>
      </c>
    </row>
    <row r="6" spans="1:23">
      <c r="A6" s="1571" t="s">
        <v>1461</v>
      </c>
      <c r="B6" s="1574" t="s">
        <v>874</v>
      </c>
      <c r="C6" s="1576" t="s">
        <v>30</v>
      </c>
      <c r="F6" s="1573" t="s">
        <v>1457</v>
      </c>
      <c r="H6" s="1573" t="s">
        <v>1462</v>
      </c>
      <c r="I6" s="1573" t="s">
        <v>1463</v>
      </c>
      <c r="K6" s="1573" t="s">
        <v>1464</v>
      </c>
      <c r="L6" s="1573" t="s">
        <v>1464</v>
      </c>
      <c r="M6" s="1573" t="s">
        <v>1464</v>
      </c>
      <c r="N6" s="1573" t="s">
        <v>1464</v>
      </c>
      <c r="O6" s="1573" t="s">
        <v>1464</v>
      </c>
      <c r="P6" s="1573" t="s">
        <v>1464</v>
      </c>
      <c r="Q6" s="1573" t="s">
        <v>1464</v>
      </c>
      <c r="R6" s="1573" t="s">
        <v>871</v>
      </c>
      <c r="S6" s="1573" t="s">
        <v>1464</v>
      </c>
      <c r="T6" s="1573"/>
      <c r="U6" s="1573" t="s">
        <v>1464</v>
      </c>
      <c r="W6" s="1573" t="s">
        <v>1464</v>
      </c>
    </row>
    <row r="7" spans="1:23">
      <c r="A7" s="1571" t="s">
        <v>1465</v>
      </c>
      <c r="B7" s="1574" t="s">
        <v>875</v>
      </c>
      <c r="C7" s="1572" t="s">
        <v>31</v>
      </c>
      <c r="F7" s="1573" t="s">
        <v>1466</v>
      </c>
      <c r="H7" s="1573" t="s">
        <v>1467</v>
      </c>
      <c r="I7" s="1573" t="s">
        <v>1468</v>
      </c>
    </row>
    <row r="8" spans="1:23">
      <c r="A8" s="1571" t="s">
        <v>1469</v>
      </c>
      <c r="B8" s="1571" t="s">
        <v>1470</v>
      </c>
      <c r="C8" s="1572" t="s">
        <v>583</v>
      </c>
      <c r="F8" s="1573" t="s">
        <v>1471</v>
      </c>
      <c r="H8" s="1573"/>
      <c r="I8" s="1573" t="s">
        <v>1472</v>
      </c>
    </row>
    <row r="9" spans="1:23">
      <c r="A9" s="1571" t="s">
        <v>1473</v>
      </c>
      <c r="B9" s="1571" t="s">
        <v>1474</v>
      </c>
      <c r="C9" s="1572" t="s">
        <v>584</v>
      </c>
      <c r="F9" s="1573" t="s">
        <v>1475</v>
      </c>
      <c r="H9" s="1573"/>
    </row>
    <row r="10" spans="1:23">
      <c r="A10" s="1571" t="s">
        <v>1476</v>
      </c>
      <c r="B10" s="1571" t="s">
        <v>1477</v>
      </c>
      <c r="C10" s="1572" t="s">
        <v>585</v>
      </c>
      <c r="F10" s="1573" t="s">
        <v>16</v>
      </c>
    </row>
    <row r="11" spans="1:23">
      <c r="A11" s="1571" t="s">
        <v>1478</v>
      </c>
      <c r="B11" s="1571" t="s">
        <v>1479</v>
      </c>
      <c r="C11" s="1572" t="s">
        <v>586</v>
      </c>
    </row>
    <row r="12" spans="1:23">
      <c r="A12" s="1571" t="s">
        <v>1480</v>
      </c>
      <c r="B12" s="1571" t="s">
        <v>1481</v>
      </c>
      <c r="C12" s="1572" t="s">
        <v>587</v>
      </c>
    </row>
    <row r="13" spans="1:23">
      <c r="A13" s="1571" t="s">
        <v>1482</v>
      </c>
      <c r="B13" s="1571" t="s">
        <v>1483</v>
      </c>
      <c r="C13" s="1572" t="s">
        <v>588</v>
      </c>
    </row>
    <row r="14" spans="1:23">
      <c r="A14" s="1571" t="s">
        <v>1484</v>
      </c>
      <c r="B14" s="1571" t="s">
        <v>1485</v>
      </c>
      <c r="C14" s="1573" t="s">
        <v>16</v>
      </c>
    </row>
    <row r="15" spans="1:23">
      <c r="A15" s="1571" t="s">
        <v>1486</v>
      </c>
      <c r="B15" s="1571" t="s">
        <v>1487</v>
      </c>
      <c r="C15" s="1572"/>
    </row>
    <row r="16" spans="1:23">
      <c r="A16" s="1571" t="s">
        <v>1488</v>
      </c>
      <c r="B16" s="1571" t="s">
        <v>576</v>
      </c>
      <c r="C16" s="1572"/>
    </row>
    <row r="17" spans="1:3">
      <c r="A17" s="1571" t="s">
        <v>1489</v>
      </c>
      <c r="B17" s="1571" t="s">
        <v>2790</v>
      </c>
      <c r="C17" s="1572"/>
    </row>
    <row r="18" spans="1:3">
      <c r="A18" s="1571" t="s">
        <v>1490</v>
      </c>
      <c r="B18" s="1571" t="s">
        <v>2934</v>
      </c>
      <c r="C18" s="1572"/>
    </row>
    <row r="19" spans="1:3">
      <c r="A19" s="1571" t="s">
        <v>1491</v>
      </c>
      <c r="B19" s="1571" t="s">
        <v>3233</v>
      </c>
      <c r="C19" s="1572"/>
    </row>
    <row r="20" spans="1:3">
      <c r="A20" s="1571" t="s">
        <v>1492</v>
      </c>
      <c r="B20" s="1571" t="s">
        <v>3238</v>
      </c>
      <c r="C20" s="1572"/>
    </row>
    <row r="21" spans="1:3">
      <c r="A21" s="1571" t="s">
        <v>1493</v>
      </c>
      <c r="B21" s="1571" t="s">
        <v>3340</v>
      </c>
      <c r="C21" s="1572"/>
    </row>
    <row r="22" spans="1:3">
      <c r="A22" s="1571" t="s">
        <v>1494</v>
      </c>
      <c r="B22" s="1571" t="s">
        <v>3262</v>
      </c>
      <c r="C22" s="1572"/>
    </row>
    <row r="23" spans="1:3">
      <c r="A23" s="1571" t="s">
        <v>1495</v>
      </c>
      <c r="B23" s="1571" t="s">
        <v>3341</v>
      </c>
      <c r="C23" s="1572"/>
    </row>
    <row r="24" spans="1:3">
      <c r="A24" s="1571" t="s">
        <v>1496</v>
      </c>
      <c r="B24" s="1571" t="s">
        <v>577</v>
      </c>
      <c r="C24" s="1572"/>
    </row>
    <row r="25" spans="1:3">
      <c r="A25" s="1571" t="s">
        <v>1497</v>
      </c>
      <c r="B25" s="1571" t="s">
        <v>577</v>
      </c>
      <c r="C25" s="1572"/>
    </row>
    <row r="26" spans="1:3">
      <c r="A26" s="1571" t="s">
        <v>1498</v>
      </c>
      <c r="B26" s="1571" t="s">
        <v>577</v>
      </c>
      <c r="C26" s="1572"/>
    </row>
    <row r="27" spans="1:3">
      <c r="A27" s="1571" t="s">
        <v>3179</v>
      </c>
      <c r="B27" s="1571" t="s">
        <v>577</v>
      </c>
      <c r="C27" s="1572"/>
    </row>
    <row r="28" spans="1:3">
      <c r="A28" s="1571" t="s">
        <v>3181</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1010</v>
      </c>
    </row>
    <row r="52" spans="1:4">
      <c r="A52" s="1577" t="s">
        <v>645</v>
      </c>
      <c r="B52" s="1577" t="s">
        <v>646</v>
      </c>
      <c r="C52" s="1575" t="s">
        <v>647</v>
      </c>
      <c r="D52" s="1575" t="s">
        <v>648</v>
      </c>
    </row>
    <row r="53" spans="1:4">
      <c r="A53" s="3069"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1577" t="s">
        <v>651</v>
      </c>
      <c r="C54" s="1575" t="s">
        <v>1007</v>
      </c>
    </row>
    <row r="55" spans="1:4">
      <c r="A55" s="3069"/>
      <c r="B55" s="1577" t="s">
        <v>652</v>
      </c>
      <c r="C55" s="1575" t="s">
        <v>1008</v>
      </c>
    </row>
    <row r="56" spans="1:4">
      <c r="A56" s="3069"/>
      <c r="B56" s="1577" t="s">
        <v>653</v>
      </c>
      <c r="C56" s="1575" t="s">
        <v>1012</v>
      </c>
    </row>
    <row r="57" spans="1:4">
      <c r="A57" s="3069"/>
      <c r="B57" s="1577" t="s">
        <v>654</v>
      </c>
      <c r="C57" s="1575" t="s">
        <v>1009</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75" style="1748" customWidth="1"/>
    <col min="8" max="8" width="10" style="1748" customWidth="1"/>
    <col min="9" max="9" width="11.125" style="1598" customWidth="1"/>
    <col min="10" max="10" width="10" style="1746" customWidth="1"/>
    <col min="11" max="11" width="10" style="2577" customWidth="1"/>
    <col min="12" max="13" width="10" style="2578"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2668</v>
      </c>
      <c r="B1" s="3070" t="str">
        <f>IF(B10="北京市","北京市",C10)&amp;F10&amp;IF(结果表!G1="在建","出让国有建设用地使用权及在建建筑物",IF(结果表!G1="土地","出让国有建设用地使用权",))&amp;B9&amp;"预评估"</f>
        <v>北京市房地产市场价值预评估</v>
      </c>
      <c r="C1" s="3071"/>
      <c r="D1" s="3071"/>
      <c r="E1" s="3071"/>
      <c r="F1" s="3071"/>
      <c r="G1" s="3071"/>
      <c r="H1" s="3071"/>
      <c r="I1" s="3072"/>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c r="A2" s="2344" t="s">
        <v>2669</v>
      </c>
      <c r="B2" s="127"/>
      <c r="D2" s="2614"/>
      <c r="E2" s="2605"/>
      <c r="F2" s="2605"/>
      <c r="G2" s="2606"/>
      <c r="H2" s="2606"/>
      <c r="I2" s="2606"/>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2670</v>
      </c>
      <c r="B3" s="2347"/>
      <c r="C3" s="2348" t="s">
        <v>2671</v>
      </c>
      <c r="D3" s="2347">
        <v>44914</v>
      </c>
      <c r="E3" s="2606"/>
      <c r="F3" s="2606"/>
      <c r="G3" s="2606"/>
      <c r="H3" s="2606"/>
      <c r="I3" s="2606"/>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2672</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2673</v>
      </c>
      <c r="B5" s="2353"/>
      <c r="C5" s="2354"/>
      <c r="D5" s="2355"/>
      <c r="E5" s="2606"/>
      <c r="F5" s="2606"/>
      <c r="G5" s="2606"/>
      <c r="H5" s="2606"/>
      <c r="I5" s="2606"/>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2674</v>
      </c>
      <c r="B6" s="2357"/>
      <c r="C6" s="2358"/>
      <c r="D6" s="2359"/>
      <c r="E6" s="2605"/>
      <c r="F6" s="2606"/>
      <c r="G6" s="2606"/>
      <c r="H6" s="2606"/>
      <c r="I6" s="2606"/>
      <c r="J6" s="2410"/>
      <c r="K6" s="2564" t="str">
        <f>IF(COUNTIF(B6,"*上海银行*"),"上海银行","")</f>
        <v/>
      </c>
      <c r="L6" s="2562"/>
      <c r="M6" s="2562"/>
      <c r="N6" s="2410"/>
      <c r="O6" s="1800"/>
      <c r="P6" s="2410"/>
      <c r="Q6" s="2410"/>
      <c r="R6" s="2410"/>
    </row>
    <row r="7" spans="1:28">
      <c r="A7" s="2356" t="s">
        <v>2675</v>
      </c>
      <c r="B7" s="2360"/>
      <c r="C7" s="2358"/>
      <c r="D7" s="2359"/>
      <c r="E7" s="2605"/>
      <c r="F7" s="2606"/>
      <c r="G7" s="2606"/>
      <c r="H7" s="2606"/>
      <c r="I7" s="2606"/>
      <c r="J7" s="2410"/>
      <c r="K7" s="2565"/>
      <c r="L7" s="2562"/>
      <c r="M7" s="2562"/>
      <c r="N7" s="2410"/>
      <c r="O7" s="1800"/>
      <c r="P7" s="2410"/>
      <c r="Q7" s="2410"/>
      <c r="R7" s="2410"/>
    </row>
    <row r="8" spans="1:28">
      <c r="A8" s="2361" t="s">
        <v>2676</v>
      </c>
      <c r="B8" s="2362" t="s">
        <v>3171</v>
      </c>
      <c r="C8" s="2363"/>
      <c r="D8" s="3073" t="s">
        <v>2677</v>
      </c>
      <c r="E8" s="2364"/>
      <c r="F8" s="2365"/>
      <c r="G8" s="2606"/>
      <c r="H8" s="2606"/>
      <c r="I8" s="2606"/>
      <c r="J8" s="2410"/>
      <c r="K8" s="2563"/>
      <c r="L8" s="2562"/>
      <c r="M8" s="2562"/>
      <c r="N8" s="2410"/>
      <c r="O8" s="1800"/>
      <c r="P8" s="2410"/>
      <c r="Q8" s="2410"/>
      <c r="R8" s="2410"/>
    </row>
    <row r="9" spans="1:28" ht="13.5" thickBot="1">
      <c r="A9" s="2366" t="s">
        <v>2678</v>
      </c>
      <c r="B9" s="2367" t="s">
        <v>3172</v>
      </c>
      <c r="C9" s="2368"/>
      <c r="D9" s="3074"/>
      <c r="E9" s="2367"/>
      <c r="F9" s="2369"/>
      <c r="G9" s="2607"/>
      <c r="H9" s="2607"/>
      <c r="I9" s="2607"/>
      <c r="J9" s="2410"/>
      <c r="K9" s="2565"/>
      <c r="L9" s="2562"/>
      <c r="M9" s="2562"/>
      <c r="N9" s="2410"/>
      <c r="O9" s="1800"/>
      <c r="P9" s="2410"/>
      <c r="Q9" s="2410"/>
      <c r="R9" s="2410"/>
    </row>
    <row r="10" spans="1:28" ht="13.5" thickTop="1">
      <c r="A10" s="2370" t="s">
        <v>2679</v>
      </c>
      <c r="B10" s="2371" t="s">
        <v>3173</v>
      </c>
      <c r="C10" s="2372"/>
      <c r="D10" s="2355"/>
      <c r="E10" s="2373" t="s">
        <v>2680</v>
      </c>
      <c r="F10" s="2608"/>
      <c r="G10" s="2609"/>
      <c r="H10" s="2610"/>
      <c r="I10" s="2611"/>
      <c r="J10" s="2410"/>
      <c r="K10" s="2565"/>
      <c r="L10" s="2562"/>
      <c r="M10" s="2562"/>
      <c r="N10" s="2410"/>
      <c r="O10" s="1800"/>
      <c r="P10" s="2410"/>
      <c r="Q10" s="2410"/>
      <c r="R10" s="2410"/>
    </row>
    <row r="11" spans="1:28">
      <c r="A11" s="2374" t="s">
        <v>2681</v>
      </c>
      <c r="B11" s="2375" t="s">
        <v>3174</v>
      </c>
      <c r="C11" s="2376"/>
      <c r="D11" s="2377"/>
      <c r="E11" s="2344"/>
      <c r="F11" s="2344"/>
      <c r="G11" s="2344"/>
      <c r="H11" s="2344"/>
      <c r="I11" s="2344"/>
      <c r="J11" s="2410"/>
      <c r="K11" s="2565"/>
      <c r="L11" s="2562"/>
      <c r="M11" s="2562"/>
      <c r="N11" s="2410"/>
      <c r="O11" s="1800"/>
      <c r="P11" s="2410"/>
      <c r="Q11" s="2410"/>
      <c r="R11" s="2410"/>
    </row>
    <row r="12" spans="1:28">
      <c r="A12" s="2378" t="s">
        <v>2682</v>
      </c>
      <c r="B12" s="2375" t="s">
        <v>3175</v>
      </c>
      <c r="C12" s="321" t="s">
        <v>2683</v>
      </c>
      <c r="D12" s="2379" t="s">
        <v>2684</v>
      </c>
      <c r="E12" s="2379" t="s">
        <v>2685</v>
      </c>
      <c r="F12" s="2379" t="s">
        <v>2686</v>
      </c>
      <c r="G12" s="2379" t="s">
        <v>2687</v>
      </c>
      <c r="H12" s="2379" t="s">
        <v>2688</v>
      </c>
      <c r="I12" s="2379" t="s">
        <v>2689</v>
      </c>
      <c r="J12" s="2410"/>
      <c r="K12" s="2565"/>
      <c r="L12" s="2562"/>
      <c r="M12" s="2562"/>
      <c r="N12" s="2410"/>
      <c r="O12" s="1800"/>
      <c r="P12" s="2410"/>
      <c r="Q12" s="2410"/>
      <c r="R12" s="2410"/>
    </row>
    <row r="13" spans="1:28">
      <c r="A13" s="1126"/>
      <c r="B13" s="2380"/>
      <c r="C13" s="2381" t="s">
        <v>2690</v>
      </c>
      <c r="D13" s="888"/>
      <c r="E13" s="888">
        <v>52670</v>
      </c>
      <c r="F13" s="888"/>
      <c r="G13" s="888"/>
      <c r="H13" s="888"/>
      <c r="I13" s="888"/>
      <c r="J13" s="2410"/>
      <c r="K13" s="2565"/>
      <c r="L13" s="2562"/>
      <c r="M13" s="2562"/>
      <c r="N13" s="2410"/>
      <c r="O13" s="1800"/>
      <c r="P13" s="2410"/>
      <c r="Q13" s="2410"/>
      <c r="R13" s="2410"/>
    </row>
    <row r="14" spans="1:28">
      <c r="A14" s="1126"/>
      <c r="B14" s="2380"/>
      <c r="C14" s="2381" t="s">
        <v>2691</v>
      </c>
      <c r="D14" s="2382"/>
      <c r="E14" s="2382">
        <v>40</v>
      </c>
      <c r="F14" s="2382"/>
      <c r="G14" s="2382"/>
      <c r="H14" s="2382"/>
      <c r="I14" s="2382"/>
      <c r="J14" s="2410"/>
      <c r="K14" s="2566"/>
      <c r="L14" s="2562"/>
      <c r="M14" s="2562"/>
      <c r="N14" s="2410"/>
      <c r="O14" s="1800"/>
      <c r="P14" s="2410"/>
      <c r="Q14" s="2410"/>
      <c r="R14" s="2410"/>
    </row>
    <row r="15" spans="1:28">
      <c r="A15" s="318"/>
      <c r="B15" s="2383"/>
      <c r="C15" s="2384" t="s">
        <v>2692</v>
      </c>
      <c r="D15" s="2385" t="str">
        <f>IF(B12="出让",IF(D13="","",ROUNDDOWN(MIN((D13-$D$3)/365,D14),2)),D14)</f>
        <v/>
      </c>
      <c r="E15" s="2385">
        <f>IF(B12="出让",IF(E13="","",ROUNDDOWN(MIN((E13-$D$3)/365,E14),2)),E14)</f>
        <v>21.24</v>
      </c>
      <c r="F15" s="2385" t="str">
        <f>IF(B12="出让",IF(F13="","",ROUNDDOWN(MIN((F13-$D$3)/365,F14),2)),F14)</f>
        <v/>
      </c>
      <c r="G15" s="2385" t="str">
        <f>IF(B12="出让",IF(G13="","",ROUNDDOWN(MIN((G13-$D$3)/365,G14),2)),G14)</f>
        <v/>
      </c>
      <c r="H15" s="2385" t="str">
        <f>IF(B12="出让",IF(H13="","",ROUNDDOWN(MIN((H13-$D$3)/365,H14),2)),H14)</f>
        <v/>
      </c>
      <c r="I15" s="2385" t="str">
        <f>IF(B12="出让",IF(I13="","",ROUNDDOWN(MIN((I13-$D$3)/365,I14),2)),I14)</f>
        <v/>
      </c>
      <c r="J15" s="2410"/>
      <c r="K15" s="2567"/>
      <c r="L15" s="1800"/>
      <c r="M15" s="1800"/>
      <c r="N15" s="2410"/>
      <c r="O15" s="1800"/>
      <c r="P15" s="2410"/>
      <c r="Q15" s="2410"/>
      <c r="R15" s="2410"/>
    </row>
    <row r="16" spans="1:28">
      <c r="A16" s="2373" t="s">
        <v>2693</v>
      </c>
      <c r="B16" s="3080"/>
      <c r="C16" s="3081"/>
      <c r="D16" s="3082"/>
      <c r="E16" s="2386" t="s">
        <v>2694</v>
      </c>
      <c r="F16" s="3083"/>
      <c r="G16" s="3084"/>
      <c r="H16" s="3084"/>
      <c r="I16" s="3085"/>
      <c r="J16" s="2410"/>
      <c r="K16" s="2567"/>
      <c r="L16" s="1800"/>
      <c r="M16" s="1800"/>
      <c r="N16" s="2410"/>
      <c r="O16" s="1800"/>
      <c r="P16" s="2410"/>
      <c r="Q16" s="2410"/>
      <c r="R16" s="2410"/>
    </row>
    <row r="17" spans="1:28">
      <c r="A17" s="311" t="s">
        <v>2695</v>
      </c>
      <c r="B17" s="300" t="s">
        <v>2696</v>
      </c>
      <c r="C17" s="11">
        <f>'数据-汇总表'!E3</f>
        <v>1018</v>
      </c>
      <c r="D17" s="1385" t="s">
        <v>2697</v>
      </c>
      <c r="E17" s="3086" t="s">
        <v>2698</v>
      </c>
      <c r="F17" s="3087"/>
      <c r="G17" s="3087"/>
      <c r="H17" s="3087"/>
      <c r="I17" s="3088"/>
      <c r="J17" s="2410"/>
      <c r="K17" s="2568"/>
      <c r="L17" s="1800"/>
      <c r="M17" s="1800"/>
      <c r="N17" s="2410"/>
      <c r="O17" s="1800"/>
      <c r="P17" s="2410"/>
      <c r="Q17" s="2410"/>
      <c r="R17" s="2410"/>
      <c r="S17" s="2410"/>
      <c r="T17" s="2410"/>
      <c r="U17" s="2410"/>
      <c r="V17" s="2410"/>
    </row>
    <row r="18" spans="1:28" ht="24.75" thickBot="1">
      <c r="A18" s="2387" t="s">
        <v>2699</v>
      </c>
      <c r="B18" s="1135" t="s">
        <v>2700</v>
      </c>
      <c r="C18" s="2388">
        <f>'数据-汇总表'!D3</f>
        <v>1</v>
      </c>
      <c r="D18" s="1137" t="s">
        <v>2701</v>
      </c>
      <c r="E18" s="3089" t="s">
        <v>2702</v>
      </c>
      <c r="F18" s="3090"/>
      <c r="G18" s="3090"/>
      <c r="H18" s="3090"/>
      <c r="I18" s="3091"/>
      <c r="J18" s="2410"/>
      <c r="K18" s="2568"/>
      <c r="L18" s="1800"/>
      <c r="M18" s="1800"/>
      <c r="N18" s="2410"/>
      <c r="O18" s="1800"/>
      <c r="P18" s="2410"/>
      <c r="Q18" s="2410"/>
      <c r="R18" s="2410"/>
      <c r="S18" s="2410"/>
      <c r="T18" s="2410"/>
      <c r="U18" s="2410"/>
      <c r="V18" s="2410"/>
    </row>
    <row r="19" spans="1:28" ht="37.5" thickTop="1" thickBot="1">
      <c r="A19" s="325" t="s">
        <v>1499</v>
      </c>
      <c r="B19" s="305" t="s">
        <v>2703</v>
      </c>
      <c r="C19" s="1585"/>
      <c r="D19" s="1586" t="s">
        <v>2704</v>
      </c>
      <c r="E19" s="1587"/>
      <c r="F19" s="1588" t="str">
        <f>IF(AND(C19="是",E19="否"),"是否提供他项权证或相关说明","")</f>
        <v/>
      </c>
      <c r="G19" s="1589"/>
      <c r="H19" s="2606"/>
      <c r="I19" s="2606"/>
      <c r="J19" s="2410"/>
      <c r="K19" s="2565"/>
      <c r="L19" s="2562"/>
      <c r="M19" s="2562"/>
      <c r="N19" s="2410"/>
      <c r="O19" s="1800"/>
      <c r="P19" s="2410"/>
      <c r="Q19" s="2410"/>
      <c r="R19" s="2410"/>
      <c r="S19" s="2410"/>
      <c r="T19" s="2410"/>
      <c r="U19" s="2410"/>
      <c r="V19" s="2410"/>
    </row>
    <row r="20" spans="1:28">
      <c r="A20" s="2581" t="s">
        <v>2705</v>
      </c>
      <c r="B20" s="3076" t="s">
        <v>2706</v>
      </c>
      <c r="C20" s="3077"/>
      <c r="D20" s="3078" t="s">
        <v>2707</v>
      </c>
      <c r="E20" s="3079"/>
      <c r="F20" s="2594" t="s">
        <v>1500</v>
      </c>
      <c r="G20" s="2606"/>
      <c r="H20" s="2606"/>
      <c r="I20" s="2606"/>
      <c r="J20" s="2410"/>
      <c r="K20" s="3075" t="s">
        <v>2708</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4.75" thickBot="1">
      <c r="A21" s="2581"/>
      <c r="B21" s="2582" t="s">
        <v>2709</v>
      </c>
      <c r="C21" s="2459" t="s">
        <v>1501</v>
      </c>
      <c r="D21" s="1590" t="s">
        <v>2710</v>
      </c>
      <c r="E21" s="2583" t="s">
        <v>1501</v>
      </c>
      <c r="F21" s="2595"/>
      <c r="G21" s="2606"/>
      <c r="H21" s="2606"/>
      <c r="I21" s="2606"/>
      <c r="J21" s="2410"/>
      <c r="K21" s="3075"/>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4.75" thickBot="1">
      <c r="A22" s="2581"/>
      <c r="B22" s="2584" t="s">
        <v>2711</v>
      </c>
      <c r="C22" s="2459" t="s">
        <v>1502</v>
      </c>
      <c r="D22" s="2606"/>
      <c r="E22" s="2606"/>
      <c r="F22" s="2606"/>
      <c r="G22" s="2606"/>
      <c r="H22" s="2606"/>
      <c r="I22" s="2606"/>
      <c r="J22" s="2410"/>
      <c r="K22" s="3075"/>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5" t="s">
        <v>2712</v>
      </c>
      <c r="B23" s="2456" t="s">
        <v>2713</v>
      </c>
      <c r="C23" s="2586"/>
      <c r="D23" s="2587" t="s">
        <v>2713</v>
      </c>
      <c r="E23" s="2588"/>
      <c r="F23" s="2606"/>
      <c r="G23" s="2606"/>
      <c r="H23" s="2606"/>
      <c r="I23" s="2606"/>
      <c r="J23" s="2410"/>
      <c r="K23" s="2564"/>
      <c r="L23" s="126"/>
      <c r="M23" s="2562"/>
      <c r="N23" s="2410"/>
      <c r="O23" s="1800"/>
      <c r="P23" s="2410"/>
      <c r="Q23" s="2410"/>
      <c r="R23" s="2410"/>
      <c r="S23" s="2410"/>
      <c r="T23" s="2410"/>
      <c r="U23" s="2410"/>
      <c r="V23" s="2410"/>
    </row>
    <row r="24" spans="1:28">
      <c r="A24" s="2585"/>
      <c r="B24" s="2456" t="s">
        <v>1503</v>
      </c>
      <c r="C24" s="2435"/>
      <c r="D24" s="2585" t="s">
        <v>1503</v>
      </c>
      <c r="E24" s="2589"/>
      <c r="F24" s="2606"/>
      <c r="G24" s="2606"/>
      <c r="H24" s="2606"/>
      <c r="I24" s="2606"/>
      <c r="J24" s="2410"/>
      <c r="K24" s="2564"/>
      <c r="L24" s="126"/>
      <c r="M24" s="2562"/>
      <c r="N24" s="2410"/>
      <c r="O24" s="1800"/>
      <c r="P24" s="2410"/>
      <c r="Q24" s="2410"/>
      <c r="R24" s="2410"/>
      <c r="S24" s="2410"/>
      <c r="T24" s="2410"/>
      <c r="U24" s="2410"/>
      <c r="V24" s="2410"/>
    </row>
    <row r="25" spans="1:28">
      <c r="A25" s="2585"/>
      <c r="B25" s="2456" t="s">
        <v>1504</v>
      </c>
      <c r="C25" s="2435"/>
      <c r="D25" s="2585" t="s">
        <v>1504</v>
      </c>
      <c r="E25" s="2589"/>
      <c r="F25" s="2606"/>
      <c r="G25" s="2606"/>
      <c r="H25" s="2606"/>
      <c r="I25" s="2606"/>
      <c r="J25" s="2410"/>
      <c r="K25" s="2565"/>
      <c r="L25" s="2562"/>
      <c r="M25" s="2562"/>
      <c r="N25" s="2410"/>
      <c r="O25" s="1800"/>
      <c r="P25" s="2410"/>
      <c r="Q25" s="2410"/>
      <c r="R25" s="2410"/>
      <c r="S25" s="2410"/>
      <c r="T25" s="2410"/>
      <c r="U25" s="2410"/>
      <c r="V25" s="2410"/>
    </row>
    <row r="26" spans="1:28" ht="13.5" thickBot="1">
      <c r="A26" s="2590"/>
      <c r="B26" s="2591" t="s">
        <v>1505</v>
      </c>
      <c r="C26" s="2592"/>
      <c r="D26" s="2590" t="s">
        <v>1505</v>
      </c>
      <c r="E26" s="2593"/>
      <c r="F26" s="2607"/>
      <c r="G26" s="2607"/>
      <c r="H26" s="2607"/>
      <c r="I26" s="2607"/>
      <c r="J26" s="2410"/>
      <c r="K26" s="2565"/>
      <c r="L26" s="2562"/>
      <c r="M26" s="2562"/>
      <c r="N26" s="2410"/>
      <c r="O26" s="1800"/>
      <c r="P26" s="2410"/>
      <c r="Q26" s="2410"/>
      <c r="R26" s="2410"/>
      <c r="S26" s="2410"/>
      <c r="T26" s="2410"/>
      <c r="U26" s="2410"/>
      <c r="V26" s="2410"/>
    </row>
    <row r="27" spans="1:28" ht="13.5" thickTop="1">
      <c r="A27" s="3093" t="s">
        <v>2714</v>
      </c>
      <c r="B27" s="318" t="s">
        <v>2715</v>
      </c>
      <c r="C27" s="2389"/>
      <c r="D27" s="2390"/>
      <c r="E27" s="2606"/>
      <c r="F27" s="2606"/>
      <c r="G27" s="2606"/>
      <c r="H27" s="2606"/>
      <c r="I27" s="2606"/>
      <c r="J27" s="2410"/>
      <c r="K27" s="2567"/>
      <c r="L27" s="1800"/>
      <c r="M27" s="1800"/>
      <c r="N27" s="2410"/>
      <c r="O27" s="1800"/>
      <c r="P27" s="2410"/>
      <c r="Q27" s="2410"/>
      <c r="R27" s="2410"/>
      <c r="S27" s="2410"/>
      <c r="T27" s="2410"/>
      <c r="U27" s="2410"/>
      <c r="V27" s="2410"/>
    </row>
    <row r="28" spans="1:28">
      <c r="A28" s="3093"/>
      <c r="B28" s="300" t="s">
        <v>2716</v>
      </c>
      <c r="C28" s="2391"/>
      <c r="D28" s="2392"/>
      <c r="E28" s="2606"/>
      <c r="F28" s="2606"/>
      <c r="G28" s="2606"/>
      <c r="H28" s="2606"/>
      <c r="I28" s="2606"/>
      <c r="J28" s="2410"/>
      <c r="K28" s="2565"/>
      <c r="L28" s="2562"/>
      <c r="M28" s="2562"/>
      <c r="N28" s="2410"/>
      <c r="O28" s="1800"/>
      <c r="P28" s="2410"/>
      <c r="Q28" s="2410"/>
      <c r="R28" s="2410"/>
      <c r="S28" s="2410"/>
      <c r="T28" s="2410"/>
      <c r="U28" s="2410"/>
      <c r="V28" s="2410"/>
    </row>
    <row r="29" spans="1:28">
      <c r="A29" s="3093"/>
      <c r="B29" s="300" t="s">
        <v>2717</v>
      </c>
      <c r="C29" s="2393"/>
      <c r="D29" s="2394"/>
      <c r="E29" s="2606"/>
      <c r="F29" s="2606"/>
      <c r="G29" s="2606"/>
      <c r="H29" s="2606"/>
      <c r="I29" s="2606"/>
      <c r="J29" s="2410"/>
      <c r="K29" s="2565"/>
      <c r="L29" s="2562"/>
      <c r="M29" s="2562"/>
      <c r="N29" s="2410"/>
      <c r="O29" s="1800"/>
      <c r="P29" s="2410"/>
      <c r="Q29" s="2410"/>
      <c r="R29" s="2410"/>
      <c r="S29" s="2410"/>
      <c r="T29" s="2410"/>
      <c r="U29" s="2410"/>
      <c r="V29" s="2410"/>
    </row>
    <row r="30" spans="1:28">
      <c r="A30" s="3094"/>
      <c r="B30" s="300" t="s">
        <v>2718</v>
      </c>
      <c r="C30" s="3095"/>
      <c r="D30" s="3096"/>
      <c r="E30" s="2606"/>
      <c r="F30" s="2606"/>
      <c r="G30" s="2606"/>
      <c r="H30" s="2606"/>
      <c r="I30" s="2606"/>
      <c r="J30" s="2410"/>
      <c r="K30" s="2565"/>
      <c r="L30" s="2562"/>
      <c r="M30" s="2562"/>
      <c r="N30" s="2410"/>
      <c r="O30" s="1800"/>
      <c r="P30" s="2410"/>
      <c r="Q30" s="2410"/>
      <c r="R30" s="2410"/>
      <c r="S30" s="2410"/>
      <c r="T30" s="2410"/>
      <c r="U30" s="2410"/>
      <c r="V30" s="2410"/>
    </row>
    <row r="31" spans="1:28">
      <c r="A31" s="3097" t="s">
        <v>2719</v>
      </c>
      <c r="B31" s="2395"/>
      <c r="C31" s="15" t="str">
        <f>IF(B31="现房","成新及维护状况正常否",IF(B31="在建","工程状态是否正常",IF(B31="土地","是否闲置","-")))</f>
        <v>-</v>
      </c>
      <c r="D31" s="1410"/>
      <c r="E31" s="2396"/>
      <c r="F31" s="2606"/>
      <c r="G31" s="2606"/>
      <c r="H31" s="2606"/>
      <c r="I31" s="2606"/>
      <c r="J31" s="2410"/>
      <c r="K31" s="2564"/>
      <c r="L31" s="2562"/>
      <c r="M31" s="2562"/>
      <c r="N31" s="2410"/>
      <c r="O31" s="1800"/>
      <c r="P31" s="2410"/>
      <c r="Q31" s="2410"/>
      <c r="R31" s="2410"/>
      <c r="S31" s="2410"/>
      <c r="T31" s="2410"/>
      <c r="U31" s="2410"/>
      <c r="V31" s="2410"/>
    </row>
    <row r="32" spans="1:28">
      <c r="A32" s="3098"/>
      <c r="B32" s="2395"/>
      <c r="C32" s="15" t="str">
        <f>IF(B32="现房","成新及维护状况是否正常",IF(B32="在建","工程状态是否正常",IF(B32="土地","是否闲置","-")))</f>
        <v>-</v>
      </c>
      <c r="D32" s="1410"/>
      <c r="E32" s="2396"/>
      <c r="F32" s="2606"/>
      <c r="G32" s="2606"/>
      <c r="H32" s="2606"/>
      <c r="I32" s="2606"/>
      <c r="J32" s="2410"/>
      <c r="K32" s="2565"/>
      <c r="L32" s="2562"/>
      <c r="M32" s="2562"/>
      <c r="N32" s="2410"/>
      <c r="O32" s="1800"/>
      <c r="P32" s="2410"/>
      <c r="Q32" s="2410"/>
      <c r="R32" s="2410"/>
      <c r="S32" s="2410"/>
      <c r="T32" s="2410"/>
      <c r="U32" s="2410"/>
      <c r="V32" s="2410"/>
    </row>
    <row r="33" spans="1:30">
      <c r="A33" s="3098"/>
      <c r="B33" s="2398"/>
      <c r="C33" s="1608" t="str">
        <f>IF(B33="现房","成新及维护状况是否正常",IF(B33="在建","工程状态是否正常",IF(B33="土地","是否闲置","-")))</f>
        <v>-</v>
      </c>
      <c r="D33" s="1403"/>
      <c r="E33" s="2399"/>
      <c r="F33" s="2606"/>
      <c r="G33" s="2606"/>
      <c r="H33" s="2606"/>
      <c r="I33" s="2606"/>
      <c r="J33" s="2410"/>
      <c r="K33" s="2565"/>
      <c r="L33" s="2562"/>
      <c r="M33" s="2562"/>
      <c r="N33" s="2410"/>
      <c r="O33" s="1800"/>
      <c r="P33" s="2410"/>
      <c r="Q33" s="2410"/>
      <c r="R33" s="2410"/>
      <c r="S33" s="2410"/>
      <c r="T33" s="2410"/>
      <c r="U33" s="2410"/>
      <c r="V33" s="2410"/>
    </row>
    <row r="34" spans="1:30">
      <c r="A34" s="300" t="s">
        <v>2720</v>
      </c>
      <c r="B34" s="1977"/>
      <c r="C34" s="1977"/>
      <c r="D34" s="1977"/>
      <c r="E34" s="1977"/>
      <c r="F34" s="1977"/>
      <c r="G34" s="1977"/>
      <c r="H34" s="1977"/>
      <c r="I34" s="2606"/>
      <c r="J34" s="2410"/>
      <c r="K34" s="11">
        <f>COUNTIF(B34:H34,"——")</f>
        <v>0</v>
      </c>
      <c r="L34" s="321" t="s">
        <v>2721</v>
      </c>
      <c r="M34" s="321" t="s">
        <v>2722</v>
      </c>
      <c r="N34" s="321" t="s">
        <v>2723</v>
      </c>
      <c r="O34" s="321" t="s">
        <v>2724</v>
      </c>
      <c r="P34" s="321" t="s">
        <v>2725</v>
      </c>
      <c r="Q34" s="321" t="s">
        <v>2726</v>
      </c>
      <c r="R34" s="321" t="s">
        <v>2727</v>
      </c>
      <c r="S34" s="3092" t="s">
        <v>2728</v>
      </c>
      <c r="T34" s="2400" t="str">
        <f>NUMBERSTRING(7-K34,1)&amp;"通"</f>
        <v>七通</v>
      </c>
      <c r="U34" s="2410"/>
      <c r="V34" s="2410"/>
    </row>
    <row r="35" spans="1:30">
      <c r="A35" s="2401"/>
      <c r="B35" s="3092" t="s">
        <v>2729</v>
      </c>
      <c r="C35" s="3092"/>
      <c r="D35" s="3092"/>
      <c r="E35" s="3092"/>
      <c r="F35" s="11">
        <f>C10</f>
        <v>0</v>
      </c>
      <c r="G35" s="2606"/>
      <c r="H35" s="2606"/>
      <c r="I35" s="2606"/>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092"/>
      <c r="T35" s="143" t="str">
        <f>IF(T34="一通",L35,IF(T34="二通",M35,IF(T34="三通",N35,IF(T34="四通",O35,IF(T34="五通",P35,IF(T34="六通",Q35,R35))))))</f>
        <v>、、、、、、</v>
      </c>
      <c r="U35" s="2410"/>
      <c r="V35" s="2410"/>
    </row>
    <row r="36" spans="1:30">
      <c r="A36" s="2345"/>
      <c r="B36" s="11" t="s">
        <v>2685</v>
      </c>
      <c r="C36" s="11" t="s">
        <v>2686</v>
      </c>
      <c r="D36" s="11" t="s">
        <v>2684</v>
      </c>
      <c r="E36" s="11" t="s">
        <v>2689</v>
      </c>
      <c r="F36" s="2612"/>
      <c r="G36" s="2606"/>
      <c r="H36" s="2606"/>
      <c r="I36" s="2606"/>
      <c r="J36" s="2410"/>
      <c r="K36" s="2565"/>
      <c r="L36" s="2562"/>
      <c r="M36" s="2562"/>
      <c r="N36" s="2410"/>
      <c r="O36" s="1800"/>
      <c r="P36" s="2410"/>
      <c r="Q36" s="2410"/>
      <c r="R36" s="2410"/>
      <c r="S36" s="2410"/>
      <c r="T36" s="2410"/>
      <c r="U36" s="2410"/>
      <c r="V36" s="2410"/>
    </row>
    <row r="37" spans="1:30">
      <c r="A37" s="2579" t="s">
        <v>2730</v>
      </c>
      <c r="B37" s="2402" t="s">
        <v>268</v>
      </c>
      <c r="C37" s="2402"/>
      <c r="D37" s="2402"/>
      <c r="E37" s="2402"/>
      <c r="F37" s="2612"/>
      <c r="G37" s="2606"/>
      <c r="H37" s="2606"/>
      <c r="I37" s="2606"/>
      <c r="J37" s="2410"/>
      <c r="K37" s="2565"/>
      <c r="L37" s="2562"/>
      <c r="M37" s="2562"/>
      <c r="N37" s="2410"/>
      <c r="O37" s="1800"/>
      <c r="P37" s="2410"/>
      <c r="Q37" s="2410"/>
      <c r="R37" s="2410"/>
      <c r="S37" s="2410"/>
      <c r="T37" s="2410"/>
      <c r="U37" s="2410"/>
      <c r="V37" s="2410"/>
    </row>
    <row r="38" spans="1:30" ht="13.5" thickBot="1">
      <c r="A38" s="2580" t="s">
        <v>2731</v>
      </c>
      <c r="B38" s="2403" t="s">
        <v>213</v>
      </c>
      <c r="C38" s="2403"/>
      <c r="D38" s="2403"/>
      <c r="E38" s="2403"/>
      <c r="F38" s="2613"/>
      <c r="G38" s="2607"/>
      <c r="H38" s="2607"/>
      <c r="I38" s="2607"/>
      <c r="J38" s="2410"/>
      <c r="K38" s="2565"/>
      <c r="L38" s="2562"/>
      <c r="M38" s="2562"/>
      <c r="N38" s="2410"/>
      <c r="O38" s="1800"/>
      <c r="P38" s="2410"/>
      <c r="Q38" s="2410"/>
      <c r="R38" s="2410"/>
      <c r="S38" s="2410"/>
      <c r="T38" s="2410"/>
      <c r="U38" s="2410"/>
      <c r="V38" s="2410"/>
    </row>
    <row r="39" spans="1:30" s="2406" customFormat="1" ht="14.25" thickTop="1" thickBot="1">
      <c r="A39" s="2404" t="s">
        <v>2732</v>
      </c>
      <c r="B39" s="2405"/>
      <c r="C39" s="2405"/>
      <c r="D39" s="2405"/>
      <c r="E39" s="2405"/>
      <c r="F39" s="2405"/>
      <c r="G39" s="2405"/>
      <c r="H39" s="2405"/>
      <c r="I39" s="2405"/>
      <c r="J39" s="2571"/>
      <c r="K39" s="2572"/>
      <c r="L39" s="2571"/>
      <c r="M39" s="2571"/>
      <c r="N39" s="2571"/>
      <c r="O39" s="2573"/>
      <c r="P39" s="2571"/>
      <c r="Q39" s="2571"/>
      <c r="R39" s="2571"/>
      <c r="S39" s="2571"/>
      <c r="T39" s="2571"/>
      <c r="U39" s="2571"/>
      <c r="V39" s="2571"/>
      <c r="W39" s="2574"/>
      <c r="X39" s="2574"/>
      <c r="Y39" s="2574"/>
      <c r="Z39" s="2574"/>
      <c r="AA39" s="2574"/>
      <c r="AB39" s="2574"/>
      <c r="AC39" s="2574"/>
      <c r="AD39" s="2574"/>
    </row>
    <row r="40" spans="1:30">
      <c r="A40" s="2344"/>
      <c r="B40" s="2344"/>
      <c r="C40" s="2344"/>
      <c r="D40" s="2344"/>
      <c r="E40" s="2344"/>
      <c r="F40" s="2344"/>
      <c r="G40" s="2344"/>
      <c r="H40" s="2344"/>
      <c r="I40" s="1596"/>
      <c r="J40" s="2410"/>
      <c r="K40" s="2564"/>
      <c r="L40" s="1800"/>
      <c r="M40" s="1800"/>
      <c r="N40" s="2410"/>
      <c r="O40" s="1800"/>
      <c r="P40" s="2410"/>
      <c r="Q40" s="2410"/>
      <c r="R40" s="2410"/>
      <c r="S40" s="2410"/>
      <c r="T40" s="2410"/>
      <c r="U40" s="2410"/>
      <c r="V40" s="2410"/>
    </row>
    <row r="41" spans="1:30">
      <c r="A41" s="2407" t="s">
        <v>2733</v>
      </c>
      <c r="B41" s="1757"/>
      <c r="C41" s="1410"/>
      <c r="D41" s="2344"/>
      <c r="E41" s="2344"/>
      <c r="F41" s="2344"/>
      <c r="G41" s="2344"/>
      <c r="H41" s="2344"/>
      <c r="I41" s="1596"/>
      <c r="J41" s="2410"/>
      <c r="K41" s="2565"/>
      <c r="L41" s="2562"/>
      <c r="M41" s="2562"/>
      <c r="N41" s="2410"/>
      <c r="O41" s="1800"/>
      <c r="P41" s="2410"/>
      <c r="Q41" s="2410"/>
      <c r="R41" s="2410"/>
      <c r="S41" s="2410"/>
      <c r="T41" s="2410"/>
      <c r="U41" s="2410"/>
      <c r="V41" s="2410"/>
    </row>
    <row r="42" spans="1:30" ht="25.5">
      <c r="A42" s="321" t="s">
        <v>2734</v>
      </c>
      <c r="B42" s="11" t="s">
        <v>2735</v>
      </c>
      <c r="C42" s="11" t="s">
        <v>2736</v>
      </c>
      <c r="D42" s="11" t="s">
        <v>2737</v>
      </c>
      <c r="E42" s="11" t="s">
        <v>2738</v>
      </c>
      <c r="F42" s="11" t="s">
        <v>2739</v>
      </c>
      <c r="G42" s="11" t="s">
        <v>2740</v>
      </c>
      <c r="H42" s="11" t="s">
        <v>2741</v>
      </c>
      <c r="I42" s="11" t="s">
        <v>2742</v>
      </c>
      <c r="J42" s="2575" t="s">
        <v>2743</v>
      </c>
      <c r="K42" s="2576" t="s">
        <v>2744</v>
      </c>
      <c r="L42" s="2576" t="s">
        <v>2745</v>
      </c>
      <c r="M42" s="2576" t="s">
        <v>2746</v>
      </c>
      <c r="N42" s="2569" t="s">
        <v>2747</v>
      </c>
      <c r="O42" s="2569" t="s">
        <v>2748</v>
      </c>
      <c r="P42" s="2569" t="s">
        <v>2749</v>
      </c>
      <c r="Q42" s="2570" t="s">
        <v>2750</v>
      </c>
      <c r="R42" s="2570" t="s">
        <v>2751</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5" width="9.875" style="1593" customWidth="1"/>
    <col min="16" max="16" width="9.75" style="1593" customWidth="1"/>
    <col min="17" max="17" width="9.375" style="1593" customWidth="1"/>
    <col min="18" max="18" width="9.25" style="1593" customWidth="1"/>
    <col min="19" max="19" width="10.875" style="1593" customWidth="1"/>
    <col min="20" max="21" width="10.75" style="1593" customWidth="1"/>
    <col min="22" max="22" width="10.875" style="1593" customWidth="1"/>
    <col min="23" max="27" width="10.75" style="1593" customWidth="1"/>
    <col min="28" max="28" width="10.875" style="1593" customWidth="1"/>
    <col min="29" max="29" width="11" style="1593" bestFit="1" customWidth="1"/>
    <col min="30" max="30" width="10" style="1593" bestFit="1" customWidth="1"/>
    <col min="31" max="31" width="9.75" style="1593" customWidth="1"/>
    <col min="32" max="46" width="9.5" style="1593" customWidth="1"/>
    <col min="47" max="47" width="18.125" style="1593" customWidth="1"/>
    <col min="48" max="50" width="9.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1506</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1507</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1508</v>
      </c>
      <c r="B2" s="11" t="s">
        <v>1509</v>
      </c>
      <c r="C2" s="11" t="s">
        <v>1510</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1511</v>
      </c>
      <c r="AZ2" s="1094" t="s">
        <v>1512</v>
      </c>
      <c r="BA2" s="11" t="s">
        <v>1513</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v>1</v>
      </c>
      <c r="B3" s="14">
        <f>IF(C3="否",G5-AT5,G5)</f>
        <v>1018</v>
      </c>
      <c r="C3" s="1599" t="s">
        <v>1514</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1515</v>
      </c>
      <c r="B5" s="1388"/>
      <c r="C5" s="1388"/>
      <c r="D5" s="1389"/>
      <c r="E5" s="16" t="s">
        <v>1</v>
      </c>
      <c r="F5" s="16">
        <f>SUM(F13:F587)</f>
        <v>0</v>
      </c>
      <c r="G5" s="16">
        <f>SUM(G13:G587)</f>
        <v>1018</v>
      </c>
      <c r="H5" s="16">
        <f t="shared" ref="H5:AT5" si="0">SUM(H13:H656)</f>
        <v>1018</v>
      </c>
      <c r="I5" s="16">
        <f t="shared" si="0"/>
        <v>256</v>
      </c>
      <c r="J5" s="16">
        <f t="shared" si="0"/>
        <v>0</v>
      </c>
      <c r="K5" s="16">
        <f t="shared" si="0"/>
        <v>762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1515</v>
      </c>
      <c r="AW5" s="1388"/>
      <c r="AX5" s="1388"/>
      <c r="AY5" s="17" t="s">
        <v>3</v>
      </c>
      <c r="AZ5" s="18">
        <f t="shared" ref="AZ5:BT5" si="1">SUM(AZ13:AZ656)</f>
        <v>1018</v>
      </c>
      <c r="BA5" s="18">
        <f t="shared" si="1"/>
        <v>1018</v>
      </c>
      <c r="BB5" s="18">
        <f t="shared" si="1"/>
        <v>256</v>
      </c>
      <c r="BC5" s="18">
        <f t="shared" si="1"/>
        <v>762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1516</v>
      </c>
      <c r="B6" s="1604"/>
      <c r="C6" s="1604"/>
      <c r="D6" s="1605"/>
      <c r="E6" s="16">
        <f>H6+AC6+AT6</f>
        <v>1</v>
      </c>
      <c r="F6" s="16" t="s">
        <v>1</v>
      </c>
      <c r="G6" s="16" t="s">
        <v>2</v>
      </c>
      <c r="H6" s="20">
        <f>SUMIF(I$12:AB$12,"总值",I6:AB6)</f>
        <v>1</v>
      </c>
      <c r="I6" s="16">
        <f t="shared" ref="I6:AB6" si="2">ROUND($A$3*I5/$B$3,2)</f>
        <v>0.25</v>
      </c>
      <c r="J6" s="16">
        <f t="shared" si="2"/>
        <v>0</v>
      </c>
      <c r="K6" s="16">
        <f t="shared" si="2"/>
        <v>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1516</v>
      </c>
      <c r="AW6" s="1604"/>
      <c r="AX6" s="1604"/>
      <c r="AY6" s="21">
        <f>IF(AY3&gt;0,AY3,ROUND($A$3*AZ5/$B$3,2))</f>
        <v>1</v>
      </c>
      <c r="AZ6" s="16" t="s">
        <v>3</v>
      </c>
      <c r="BA6" s="16">
        <f>ROUND($AY$6*BA5/$AZ$5,2)</f>
        <v>1</v>
      </c>
      <c r="BB6" s="16">
        <f>ROUND($AY$6*BB5/$AZ$5,2)</f>
        <v>0.25</v>
      </c>
      <c r="BC6" s="16">
        <f t="shared" ref="BC6:BH6" si="4">ROUND($AY$6*BC5/$AZ$5,2)</f>
        <v>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1517</v>
      </c>
      <c r="B7" s="1591" t="s">
        <v>1518</v>
      </c>
      <c r="C7" s="1591" t="s">
        <v>1519</v>
      </c>
      <c r="D7" s="1591" t="s">
        <v>1520</v>
      </c>
      <c r="E7" s="1591" t="s">
        <v>1521</v>
      </c>
      <c r="F7" s="1591" t="s">
        <v>1522</v>
      </c>
      <c r="G7" s="1608" t="s">
        <v>1523</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1524</v>
      </c>
      <c r="AV7" s="23" t="s">
        <v>1525</v>
      </c>
      <c r="AW7" s="1596" t="s">
        <v>1526</v>
      </c>
      <c r="AX7" s="23" t="s">
        <v>1519</v>
      </c>
      <c r="AY7" s="1388" t="s">
        <v>1527</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1528</v>
      </c>
      <c r="H8" s="1614" t="s">
        <v>1529</v>
      </c>
      <c r="I8" s="1615"/>
      <c r="J8" s="1398"/>
      <c r="K8" s="1398"/>
      <c r="L8" s="1398"/>
      <c r="M8" s="1398"/>
      <c r="N8" s="1398"/>
      <c r="O8" s="1398"/>
      <c r="P8" s="1398"/>
      <c r="Q8" s="1398"/>
      <c r="R8" s="1398"/>
      <c r="S8" s="1398"/>
      <c r="T8" s="1398"/>
      <c r="U8" s="1398"/>
      <c r="V8" s="1616"/>
      <c r="W8" s="1398"/>
      <c r="X8" s="1398"/>
      <c r="Y8" s="1398"/>
      <c r="Z8" s="1398"/>
      <c r="AA8" s="1616"/>
      <c r="AB8" s="1617"/>
      <c r="AC8" s="846" t="s">
        <v>1530</v>
      </c>
      <c r="AD8" s="1618"/>
      <c r="AE8" s="1610"/>
      <c r="AF8" s="1398"/>
      <c r="AG8" s="1398"/>
      <c r="AH8" s="1398"/>
      <c r="AI8" s="1398"/>
      <c r="AJ8" s="1398"/>
      <c r="AK8" s="1398"/>
      <c r="AL8" s="1398"/>
      <c r="AM8" s="1398"/>
      <c r="AN8" s="1398"/>
      <c r="AO8" s="1398"/>
      <c r="AP8" s="1398"/>
      <c r="AQ8" s="1398"/>
      <c r="AR8" s="1398"/>
      <c r="AS8" s="1398"/>
      <c r="AT8" s="1115" t="s">
        <v>1531</v>
      </c>
      <c r="AU8" s="1612" t="s">
        <v>1532</v>
      </c>
      <c r="AV8" s="1115"/>
      <c r="AW8" s="1597"/>
      <c r="AX8" s="1115"/>
      <c r="AY8" s="1596" t="s">
        <v>1533</v>
      </c>
      <c r="AZ8" s="1397" t="s">
        <v>1534</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1535</v>
      </c>
      <c r="I9" s="1621" t="s">
        <v>3177</v>
      </c>
      <c r="J9" s="846"/>
      <c r="K9" s="1621" t="s">
        <v>3177</v>
      </c>
      <c r="L9" s="846"/>
      <c r="M9" s="1621"/>
      <c r="N9" s="846"/>
      <c r="O9" s="1621"/>
      <c r="P9" s="846"/>
      <c r="Q9" s="1621"/>
      <c r="R9" s="846"/>
      <c r="S9" s="1621"/>
      <c r="T9" s="846"/>
      <c r="U9" s="1621"/>
      <c r="V9" s="846"/>
      <c r="W9" s="1621"/>
      <c r="X9" s="1622"/>
      <c r="Y9" s="1621"/>
      <c r="Z9" s="846"/>
      <c r="AA9" s="1621"/>
      <c r="AB9" s="846"/>
      <c r="AC9" s="1613" t="s">
        <v>1535</v>
      </c>
      <c r="AD9" s="15" t="s">
        <v>1536</v>
      </c>
      <c r="AE9" s="1121"/>
      <c r="AF9" s="15" t="s">
        <v>1537</v>
      </c>
      <c r="AG9" s="1121"/>
      <c r="AH9" s="15" t="s">
        <v>1536</v>
      </c>
      <c r="AI9" s="1121"/>
      <c r="AJ9" s="15" t="s">
        <v>1537</v>
      </c>
      <c r="AK9" s="1121"/>
      <c r="AL9" s="15" t="s">
        <v>1536</v>
      </c>
      <c r="AM9" s="1121"/>
      <c r="AN9" s="15" t="s">
        <v>1537</v>
      </c>
      <c r="AO9" s="1121"/>
      <c r="AP9" s="15" t="s">
        <v>1536</v>
      </c>
      <c r="AQ9" s="1121"/>
      <c r="AR9" s="15" t="s">
        <v>1537</v>
      </c>
      <c r="AS9" s="1623"/>
      <c r="AT9" s="1612"/>
      <c r="AU9" s="1612" t="s">
        <v>1538</v>
      </c>
      <c r="AV9" s="1115"/>
      <c r="AW9" s="1597"/>
      <c r="AX9" s="1115"/>
      <c r="AY9" s="28"/>
      <c r="AZ9" s="28" t="s">
        <v>1528</v>
      </c>
      <c r="BA9" s="1624" t="s">
        <v>1539</v>
      </c>
      <c r="BB9" s="1625"/>
      <c r="BC9" s="1133"/>
      <c r="BD9" s="1133"/>
      <c r="BE9" s="1133"/>
      <c r="BF9" s="1133"/>
      <c r="BG9" s="1133"/>
      <c r="BH9" s="1133"/>
      <c r="BI9" s="1133"/>
      <c r="BJ9" s="1133"/>
      <c r="BK9" s="1626"/>
      <c r="BL9" s="15" t="s">
        <v>1540</v>
      </c>
      <c r="BM9" s="1398"/>
      <c r="BN9" s="1615"/>
      <c r="BO9" s="1398"/>
      <c r="BP9" s="1398"/>
      <c r="BQ9" s="1398"/>
      <c r="BR9" s="1398"/>
      <c r="BS9" s="1398"/>
      <c r="BT9" s="26"/>
    </row>
    <row r="10" spans="1:72" s="1619" customFormat="1" ht="12.75">
      <c r="A10" s="1612"/>
      <c r="B10" s="1612"/>
      <c r="C10" s="1612"/>
      <c r="D10" s="1612"/>
      <c r="E10" s="1612"/>
      <c r="F10" s="1612"/>
      <c r="G10" s="1115"/>
      <c r="H10" s="28"/>
      <c r="I10" s="1621" t="s">
        <v>1101</v>
      </c>
      <c r="J10" s="846"/>
      <c r="K10" s="1627" t="s">
        <v>1101</v>
      </c>
      <c r="L10" s="846"/>
      <c r="M10" s="1627"/>
      <c r="N10" s="846"/>
      <c r="O10" s="1627"/>
      <c r="P10" s="846"/>
      <c r="Q10" s="1627"/>
      <c r="R10" s="846"/>
      <c r="S10" s="1627"/>
      <c r="T10" s="846"/>
      <c r="U10" s="1627"/>
      <c r="V10" s="846"/>
      <c r="W10" s="1627"/>
      <c r="X10" s="846"/>
      <c r="Y10" s="1627"/>
      <c r="Z10" s="846"/>
      <c r="AA10" s="1627"/>
      <c r="AB10" s="846"/>
      <c r="AC10" s="1115"/>
      <c r="AD10" s="15" t="s">
        <v>1541</v>
      </c>
      <c r="AE10" s="1628"/>
      <c r="AF10" s="15" t="s">
        <v>1541</v>
      </c>
      <c r="AG10" s="1628"/>
      <c r="AH10" s="15" t="s">
        <v>1542</v>
      </c>
      <c r="AI10" s="1628"/>
      <c r="AJ10" s="15" t="s">
        <v>1542</v>
      </c>
      <c r="AK10" s="1628"/>
      <c r="AL10" s="15" t="s">
        <v>1543</v>
      </c>
      <c r="AM10" s="1121"/>
      <c r="AN10" s="15" t="s">
        <v>1543</v>
      </c>
      <c r="AO10" s="1121"/>
      <c r="AP10" s="15" t="s">
        <v>1544</v>
      </c>
      <c r="AQ10" s="1121"/>
      <c r="AR10" s="15" t="s">
        <v>1544</v>
      </c>
      <c r="AS10" s="1121"/>
      <c r="AT10" s="1612"/>
      <c r="AU10" s="1612"/>
      <c r="AV10" s="1115"/>
      <c r="AW10" s="1597"/>
      <c r="AX10" s="1115"/>
      <c r="AY10" s="28"/>
      <c r="AZ10" s="28"/>
      <c r="BA10" s="1629" t="s">
        <v>1535</v>
      </c>
      <c r="BB10" s="1630" t="str">
        <f>I9</f>
        <v>地上</v>
      </c>
      <c r="BC10" s="29" t="str">
        <f>K9</f>
        <v>地上</v>
      </c>
      <c r="BD10" s="29">
        <f>M9</f>
        <v>0</v>
      </c>
      <c r="BE10" s="29">
        <f>O9</f>
        <v>0</v>
      </c>
      <c r="BF10" s="29">
        <f>Q9</f>
        <v>0</v>
      </c>
      <c r="BG10" s="29">
        <f>S9</f>
        <v>0</v>
      </c>
      <c r="BH10" s="29">
        <f>U9</f>
        <v>0</v>
      </c>
      <c r="BI10" s="29">
        <f>W9</f>
        <v>0</v>
      </c>
      <c r="BJ10" s="29">
        <f>Y9</f>
        <v>0</v>
      </c>
      <c r="BK10" s="29">
        <f>AA9</f>
        <v>0</v>
      </c>
      <c r="BL10" s="25" t="s">
        <v>1535</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3178</v>
      </c>
      <c r="J11" s="1633"/>
      <c r="K11" s="1632" t="s">
        <v>3180</v>
      </c>
      <c r="L11" s="1633"/>
      <c r="M11" s="1632"/>
      <c r="N11" s="1633"/>
      <c r="O11" s="1632"/>
      <c r="P11" s="1633"/>
      <c r="Q11" s="1632"/>
      <c r="R11" s="1633"/>
      <c r="S11" s="1632"/>
      <c r="T11" s="1633"/>
      <c r="U11" s="1632"/>
      <c r="V11" s="1633"/>
      <c r="W11" s="1632"/>
      <c r="X11" s="1633"/>
      <c r="Y11" s="1632"/>
      <c r="Z11" s="1633"/>
      <c r="AA11" s="1632"/>
      <c r="AB11" s="1633"/>
      <c r="AC11" s="1115"/>
      <c r="AD11" s="1634" t="s">
        <v>1545</v>
      </c>
      <c r="AE11" s="1399"/>
      <c r="AF11" s="1634" t="s">
        <v>1545</v>
      </c>
      <c r="AG11" s="1399"/>
      <c r="AH11" s="1634" t="s">
        <v>1546</v>
      </c>
      <c r="AI11" s="1635"/>
      <c r="AJ11" s="1634" t="s">
        <v>1546</v>
      </c>
      <c r="AK11" s="1399"/>
      <c r="AL11" s="1397"/>
      <c r="AM11" s="1399"/>
      <c r="AN11" s="1397"/>
      <c r="AO11" s="1399"/>
      <c r="AP11" s="1397"/>
      <c r="AQ11" s="1399"/>
      <c r="AR11" s="1397"/>
      <c r="AS11" s="1399"/>
      <c r="AT11" s="1597"/>
      <c r="AU11" s="1612"/>
      <c r="AV11" s="1115"/>
      <c r="AW11" s="1597"/>
      <c r="AX11" s="1115"/>
      <c r="AY11" s="28"/>
      <c r="AZ11" s="28"/>
      <c r="BA11" s="28"/>
      <c r="BB11" s="1617" t="str">
        <f>I10</f>
        <v>商业</v>
      </c>
      <c r="BC11" s="1617" t="str">
        <f>K10</f>
        <v>商业</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387" t="s">
        <v>1548</v>
      </c>
      <c r="W12" s="11" t="s">
        <v>1547</v>
      </c>
      <c r="X12" s="11" t="s">
        <v>1548</v>
      </c>
      <c r="Y12" s="11" t="s">
        <v>1547</v>
      </c>
      <c r="Z12" s="11" t="s">
        <v>1548</v>
      </c>
      <c r="AA12" s="11" t="s">
        <v>1547</v>
      </c>
      <c r="AB12" s="11" t="s">
        <v>1548</v>
      </c>
      <c r="AC12" s="1639"/>
      <c r="AD12" s="138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637" t="s">
        <v>1548</v>
      </c>
      <c r="AT12" s="1640"/>
      <c r="AU12" s="1637"/>
      <c r="AV12" s="31"/>
      <c r="AW12" s="1596"/>
      <c r="AX12" s="31"/>
      <c r="AY12" s="1641"/>
      <c r="AZ12" s="28"/>
      <c r="BA12" s="1629"/>
      <c r="BB12" s="24" t="str">
        <f>I11</f>
        <v>1层</v>
      </c>
      <c r="BC12" s="1642" t="str">
        <f>K11</f>
        <v>3层</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c r="D13" s="1643" t="s">
        <v>3176</v>
      </c>
      <c r="E13" s="16">
        <f>IF($C$3="是",ROUND($A$3*G13/$B$3,2),ROUND($A$3*(G13-AT13)/$B$3,2))</f>
        <v>1</v>
      </c>
      <c r="F13" s="32"/>
      <c r="G13" s="33">
        <f>H13+AC13+AT13</f>
        <v>1018</v>
      </c>
      <c r="H13" s="20">
        <f>SUMIF(I$12:AB$12,"总值",I13:AB13)</f>
        <v>1018</v>
      </c>
      <c r="I13" s="2973">
        <v>256</v>
      </c>
      <c r="J13" s="1644"/>
      <c r="K13" s="1644">
        <v>762</v>
      </c>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f t="shared" si="6"/>
        <v>0</v>
      </c>
      <c r="AY13" s="1389">
        <f>ROUND($AY$6*AZ13/$AZ$5,2)</f>
        <v>1</v>
      </c>
      <c r="AZ13" s="16">
        <f>BA13+BL13</f>
        <v>1018</v>
      </c>
      <c r="BA13" s="16">
        <f>SUM(BB13:BK13)</f>
        <v>1018</v>
      </c>
      <c r="BB13" s="16">
        <f>IF($D13="是",I13-J13,0)</f>
        <v>256</v>
      </c>
      <c r="BC13" s="16">
        <f>IF($D13="是",K13-L13,0)</f>
        <v>762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1592"/>
      <c r="D14" s="1643"/>
      <c r="E14" s="16">
        <f>IF($C$3="是",ROUND($A$3*G14/$B$3,2),ROUND($A$3*(G14-AT14)/$B$3,2))</f>
        <v>0</v>
      </c>
      <c r="F14" s="32"/>
      <c r="G14" s="33">
        <f>H14+AC14+AT14</f>
        <v>0</v>
      </c>
      <c r="H14" s="20">
        <f>SUMIF(I$12:AB$12,"总值",I14:AB14)</f>
        <v>0</v>
      </c>
      <c r="I14" s="1644"/>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1592"/>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f t="shared" si="6"/>
        <v>0</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1592"/>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1592"/>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52" customWidth="1"/>
    <col min="2" max="2" width="10.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25" style="1652"/>
  </cols>
  <sheetData>
    <row r="1" spans="1:16" ht="19.5" thickBot="1">
      <c r="A1" s="1651" t="s">
        <v>1574</v>
      </c>
      <c r="B1" s="1181"/>
      <c r="C1" s="1181"/>
      <c r="D1" s="1181"/>
      <c r="E1" s="1181"/>
      <c r="F1" s="1181"/>
      <c r="G1" s="1181"/>
      <c r="H1" s="1181"/>
      <c r="I1" s="1181"/>
      <c r="J1" s="1181"/>
      <c r="K1" s="1181"/>
      <c r="L1" s="1181"/>
      <c r="M1" s="1181"/>
      <c r="N1" s="1181"/>
      <c r="O1" s="1181"/>
      <c r="P1" s="1181"/>
    </row>
    <row r="2" spans="1:16" ht="15">
      <c r="A2" s="3110" t="s">
        <v>1575</v>
      </c>
      <c r="B2" s="3110"/>
      <c r="C2" s="3110"/>
      <c r="D2" s="832" t="s">
        <v>1551</v>
      </c>
      <c r="E2" s="1653" t="s">
        <v>1552</v>
      </c>
      <c r="F2" s="2603"/>
      <c r="G2" s="2596"/>
      <c r="H2" s="2597"/>
      <c r="I2" s="2308" t="s">
        <v>1576</v>
      </c>
      <c r="J2" s="2603"/>
      <c r="K2" s="2603"/>
      <c r="L2" s="2603"/>
      <c r="M2" s="2603"/>
      <c r="N2" s="2604"/>
      <c r="O2" s="2603"/>
      <c r="P2" s="2603"/>
    </row>
    <row r="3" spans="1:16" ht="15.75" thickBot="1">
      <c r="A3" s="3111" t="s">
        <v>1549</v>
      </c>
      <c r="B3" s="3111"/>
      <c r="C3" s="3111"/>
      <c r="D3" s="44">
        <f>'数据-基础表'!AY6</f>
        <v>1</v>
      </c>
      <c r="E3" s="44">
        <f>'数据-基础表'!AZ5</f>
        <v>1018</v>
      </c>
      <c r="F3" s="2603"/>
      <c r="G3" s="45"/>
      <c r="H3" s="46" t="s">
        <v>1550</v>
      </c>
      <c r="I3" s="887">
        <f>ROUND('数据-基础表'!B3/'数据-基础表'!A3,2)</f>
        <v>1018</v>
      </c>
      <c r="J3" s="2603"/>
      <c r="K3" s="2603"/>
      <c r="L3" s="2603"/>
      <c r="M3" s="2603"/>
      <c r="N3" s="2604"/>
      <c r="O3" s="2603"/>
      <c r="P3" s="2603"/>
    </row>
    <row r="4" spans="1:16" ht="15">
      <c r="A4" s="3112"/>
      <c r="B4" s="3113"/>
      <c r="C4" s="3114"/>
      <c r="D4" s="1654" t="s">
        <v>1551</v>
      </c>
      <c r="E4" s="1655" t="s">
        <v>1552</v>
      </c>
      <c r="F4" s="2603"/>
      <c r="G4" s="2598" t="s">
        <v>1577</v>
      </c>
      <c r="H4" s="46" t="s">
        <v>1557</v>
      </c>
      <c r="I4" s="887">
        <f>ROUND(SUMIF('数据-基础表'!I9:AS9,"地上",'数据-基础表'!I5:AS5)/'数据-基础表'!A3,2)</f>
        <v>1018</v>
      </c>
      <c r="J4" s="2603"/>
      <c r="K4" s="2603"/>
      <c r="L4" s="2603"/>
      <c r="M4" s="2603"/>
      <c r="N4" s="2604"/>
      <c r="O4" s="2603"/>
      <c r="P4" s="2603"/>
    </row>
    <row r="5" spans="1:16">
      <c r="A5" s="45" t="s">
        <v>1553</v>
      </c>
      <c r="B5" s="3115" t="s">
        <v>1554</v>
      </c>
      <c r="C5" s="3115"/>
      <c r="D5" s="46">
        <f>ROUND($D$3*E5/$E$3,2)</f>
        <v>0</v>
      </c>
      <c r="E5" s="47">
        <f>SUMIF('数据-基础表'!$11:$11,"住宅",'数据-基础表'!$5:$5)</f>
        <v>0</v>
      </c>
      <c r="F5" s="2603"/>
      <c r="G5" s="45"/>
      <c r="H5" s="46" t="s">
        <v>1550</v>
      </c>
      <c r="I5" s="887">
        <f>ROUND(E31/D31,2)</f>
        <v>1018</v>
      </c>
      <c r="J5" s="2603"/>
      <c r="K5" s="2603"/>
      <c r="L5" s="2603"/>
      <c r="M5" s="2603"/>
      <c r="N5" s="2603"/>
      <c r="O5" s="2603"/>
      <c r="P5" s="2603"/>
    </row>
    <row r="6" spans="1:16" ht="15" thickBot="1">
      <c r="A6" s="1657"/>
      <c r="B6" s="3115" t="s">
        <v>1555</v>
      </c>
      <c r="C6" s="3115"/>
      <c r="D6" s="46">
        <f>ROUND($D$3*E6/$E$3,2)</f>
        <v>1</v>
      </c>
      <c r="E6" s="47">
        <f>E3-E5</f>
        <v>1018</v>
      </c>
      <c r="F6" s="2603"/>
      <c r="G6" s="1659" t="s">
        <v>1556</v>
      </c>
      <c r="H6" s="48" t="s">
        <v>1557</v>
      </c>
      <c r="I6" s="2599">
        <f>ROUND(F31/D31,2)</f>
        <v>1018</v>
      </c>
      <c r="J6" s="2603"/>
      <c r="K6" s="2603"/>
      <c r="L6" s="2603"/>
      <c r="M6" s="2603"/>
      <c r="N6" s="2603"/>
      <c r="O6" s="2603"/>
      <c r="P6" s="2603"/>
    </row>
    <row r="7" spans="1:16" ht="15.75" thickBot="1">
      <c r="A7" s="3107"/>
      <c r="B7" s="3108"/>
      <c r="C7" s="3109"/>
      <c r="D7" s="1654" t="s">
        <v>1551</v>
      </c>
      <c r="E7" s="1658" t="s">
        <v>1558</v>
      </c>
      <c r="F7" s="2603"/>
      <c r="G7" s="2600" t="s">
        <v>1559</v>
      </c>
      <c r="H7" s="100"/>
      <c r="I7" s="2601"/>
      <c r="J7" s="2603"/>
      <c r="K7" s="2603"/>
      <c r="L7" s="2603"/>
      <c r="M7" s="2603"/>
      <c r="N7" s="2603"/>
      <c r="O7" s="2603"/>
      <c r="P7" s="2603"/>
    </row>
    <row r="8" spans="1:16">
      <c r="A8" s="45" t="s">
        <v>1560</v>
      </c>
      <c r="B8" s="48" t="s">
        <v>1561</v>
      </c>
      <c r="C8" s="46" t="s">
        <v>1562</v>
      </c>
      <c r="D8" s="46">
        <f t="shared" ref="D8:D15" si="0">ROUND($D$3*E8/$E$3,2)</f>
        <v>1</v>
      </c>
      <c r="E8" s="49">
        <f>SUMIF('数据-基础表'!BB10:BK10,"地上",'数据-基础表'!BB5:BK5)</f>
        <v>1018</v>
      </c>
      <c r="F8" s="2603"/>
      <c r="G8" s="2603"/>
      <c r="H8" s="2603"/>
      <c r="I8" s="2603"/>
      <c r="J8" s="2603"/>
      <c r="K8" s="2603"/>
      <c r="L8" s="2603"/>
      <c r="M8" s="2603"/>
      <c r="N8" s="2603"/>
      <c r="O8" s="2603"/>
      <c r="P8" s="2603"/>
    </row>
    <row r="9" spans="1:16">
      <c r="A9" s="1659"/>
      <c r="B9" s="1660"/>
      <c r="C9" s="46" t="s">
        <v>1563</v>
      </c>
      <c r="D9" s="46">
        <f t="shared" si="0"/>
        <v>0</v>
      </c>
      <c r="E9" s="50">
        <v>0</v>
      </c>
      <c r="F9" s="2603"/>
      <c r="G9" s="2603"/>
      <c r="H9" s="2603"/>
      <c r="I9" s="2603"/>
      <c r="J9" s="2603"/>
      <c r="K9" s="2603"/>
      <c r="L9" s="2603"/>
      <c r="M9" s="2603"/>
      <c r="N9" s="2603"/>
      <c r="O9" s="2603"/>
      <c r="P9" s="2603"/>
    </row>
    <row r="10" spans="1:16">
      <c r="A10" s="1659"/>
      <c r="B10" s="1660"/>
      <c r="C10" s="46" t="s">
        <v>1572</v>
      </c>
      <c r="D10" s="46">
        <f t="shared" si="0"/>
        <v>0</v>
      </c>
      <c r="E10" s="49">
        <f>SUMPRODUCT(('数据-基础表'!BB10:BK10="地下")*('数据-基础表'!BB11:BK11="商业")*('数据-基础表'!BB5:BK5))</f>
        <v>0</v>
      </c>
      <c r="F10" s="2603"/>
      <c r="G10" s="2603"/>
      <c r="H10" s="2603"/>
      <c r="I10" s="2603"/>
      <c r="J10" s="2603"/>
      <c r="K10" s="2603"/>
      <c r="L10" s="2603"/>
      <c r="M10" s="2603"/>
      <c r="N10" s="2603"/>
      <c r="O10" s="2603"/>
      <c r="P10" s="2603"/>
    </row>
    <row r="11" spans="1:16">
      <c r="A11" s="1659"/>
      <c r="B11" s="1660"/>
      <c r="C11" s="46" t="s">
        <v>1564</v>
      </c>
      <c r="D11" s="46">
        <f t="shared" si="0"/>
        <v>0</v>
      </c>
      <c r="E11" s="4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1659"/>
      <c r="B12" s="1660"/>
      <c r="C12" s="46" t="s">
        <v>1565</v>
      </c>
      <c r="D12" s="46">
        <f t="shared" si="0"/>
        <v>0</v>
      </c>
      <c r="E12" s="49">
        <f>SUMPRODUCT(('数据-基础表'!BB10:BK10="地下")*('数据-基础表'!BB11:BK11="仓储")*('数据-基础表'!BB5:BK5))</f>
        <v>0</v>
      </c>
      <c r="F12" s="2603"/>
      <c r="G12" s="2603"/>
      <c r="H12" s="2603"/>
      <c r="I12" s="2603"/>
      <c r="J12" s="2603"/>
      <c r="K12" s="2603"/>
      <c r="L12" s="2603"/>
      <c r="M12" s="2603"/>
      <c r="N12" s="2603"/>
      <c r="O12" s="2603"/>
      <c r="P12" s="2603"/>
    </row>
    <row r="13" spans="1:16">
      <c r="A13" s="1659"/>
      <c r="B13" s="1660"/>
      <c r="C13" s="46" t="s">
        <v>1566</v>
      </c>
      <c r="D13" s="46">
        <f t="shared" si="0"/>
        <v>0</v>
      </c>
      <c r="E13" s="49">
        <f>SUMPRODUCT(('数据-基础表'!BB10:BK10="地下")*('数据-基础表'!BB11:BK11="车库")*('数据-基础表'!BB5:BK5))</f>
        <v>0</v>
      </c>
      <c r="F13" s="2603"/>
      <c r="G13" s="2603"/>
      <c r="H13" s="2603"/>
      <c r="I13" s="2603"/>
      <c r="J13" s="2603"/>
      <c r="K13" s="2603"/>
      <c r="L13" s="2603"/>
      <c r="M13" s="2603"/>
      <c r="N13" s="2603"/>
      <c r="O13" s="2603"/>
      <c r="P13" s="2603"/>
    </row>
    <row r="14" spans="1:16">
      <c r="A14" s="1659"/>
      <c r="B14" s="1660"/>
      <c r="C14" s="46" t="s">
        <v>1578</v>
      </c>
      <c r="D14" s="46">
        <f t="shared" si="0"/>
        <v>0</v>
      </c>
      <c r="E14" s="49">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659"/>
      <c r="B15" s="1660"/>
      <c r="C15" s="46" t="s">
        <v>1573</v>
      </c>
      <c r="D15" s="46">
        <f t="shared" si="0"/>
        <v>0</v>
      </c>
      <c r="E15" s="49">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657"/>
      <c r="B16" s="1660"/>
      <c r="C16" s="48" t="s">
        <v>1567</v>
      </c>
      <c r="D16" s="48">
        <f>SUM(D8:D15)</f>
        <v>1</v>
      </c>
      <c r="E16" s="51">
        <f>SUM(E8:E15)</f>
        <v>1018</v>
      </c>
      <c r="F16" s="2603"/>
      <c r="G16" s="2603"/>
      <c r="H16" s="1661" t="s">
        <v>1579</v>
      </c>
      <c r="I16" s="1662"/>
      <c r="J16" s="1181"/>
      <c r="K16" s="3104" t="s">
        <v>1579</v>
      </c>
      <c r="L16" s="3105"/>
      <c r="M16" s="3105"/>
      <c r="N16" s="3105"/>
      <c r="O16" s="3105"/>
      <c r="P16" s="3106"/>
    </row>
    <row r="17" spans="1:19" ht="15">
      <c r="A17" s="1663" t="s">
        <v>1580</v>
      </c>
      <c r="B17" s="1664" t="s">
        <v>1581</v>
      </c>
      <c r="C17" s="1665" t="s">
        <v>1582</v>
      </c>
      <c r="D17" s="1666" t="s">
        <v>1570</v>
      </c>
      <c r="E17" s="1667" t="s">
        <v>1571</v>
      </c>
      <c r="F17" s="1668"/>
      <c r="G17" s="1669"/>
      <c r="H17" s="1670" t="s">
        <v>1583</v>
      </c>
      <c r="I17" s="1671" t="s">
        <v>1568</v>
      </c>
      <c r="J17" s="1181"/>
      <c r="K17" s="3101" t="s">
        <v>1584</v>
      </c>
      <c r="L17" s="3102"/>
      <c r="M17" s="3103"/>
      <c r="N17" s="3101" t="s">
        <v>1585</v>
      </c>
      <c r="O17" s="3102"/>
      <c r="P17" s="3103"/>
      <c r="R17" s="854" t="s">
        <v>1586</v>
      </c>
      <c r="S17" s="58"/>
    </row>
    <row r="18" spans="1:19" ht="15">
      <c r="A18" s="1659"/>
      <c r="B18" s="1656"/>
      <c r="C18" s="1672"/>
      <c r="D18" s="1673"/>
      <c r="E18" s="1674" t="s">
        <v>1587</v>
      </c>
      <c r="F18" s="1675" t="s">
        <v>1588</v>
      </c>
      <c r="G18" s="1676" t="s">
        <v>1589</v>
      </c>
      <c r="H18" s="1087" t="s">
        <v>1590</v>
      </c>
      <c r="I18" s="1677" t="s">
        <v>1591</v>
      </c>
      <c r="J18" s="1181"/>
      <c r="K18" s="1087" t="s">
        <v>1592</v>
      </c>
      <c r="L18" s="1678" t="s">
        <v>1593</v>
      </c>
      <c r="M18" s="887" t="s">
        <v>1594</v>
      </c>
      <c r="N18" s="1087" t="s">
        <v>1592</v>
      </c>
      <c r="O18" s="1678" t="s">
        <v>1593</v>
      </c>
      <c r="P18" s="887" t="s">
        <v>1594</v>
      </c>
      <c r="R18" s="46" t="s">
        <v>1595</v>
      </c>
      <c r="S18" s="46" t="s">
        <v>1596</v>
      </c>
    </row>
    <row r="19" spans="1:19">
      <c r="A19" s="1679"/>
      <c r="B19" s="48" t="s">
        <v>1569</v>
      </c>
      <c r="C19" s="1680" t="s">
        <v>3182</v>
      </c>
      <c r="D19" s="46">
        <f>ROUND($D$3*E19/$E$3,2)</f>
        <v>0.25</v>
      </c>
      <c r="E19" s="54">
        <f t="shared" ref="E19:E26" si="1">SUM(F19:G19)</f>
        <v>256</v>
      </c>
      <c r="F19" s="2726">
        <f>'数据-基础表'!I13</f>
        <v>256</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0.25</v>
      </c>
      <c r="S19" s="54">
        <f t="shared" si="5"/>
        <v>256</v>
      </c>
    </row>
    <row r="20" spans="1:19">
      <c r="A20" s="1679"/>
      <c r="B20" s="48" t="s">
        <v>1597</v>
      </c>
      <c r="C20" s="1680" t="s">
        <v>3183</v>
      </c>
      <c r="D20" s="46">
        <f t="shared" ref="D20:D26" si="6">ROUND($D$3*E20/$E$3,2)</f>
        <v>0.75</v>
      </c>
      <c r="E20" s="54">
        <f t="shared" si="1"/>
        <v>762</v>
      </c>
      <c r="F20" s="2726">
        <f>'数据-基础表'!K13</f>
        <v>762</v>
      </c>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0.75</v>
      </c>
      <c r="S20" s="54">
        <f t="shared" si="5"/>
        <v>762</v>
      </c>
    </row>
    <row r="21" spans="1:19">
      <c r="A21" s="1679"/>
      <c r="B21" s="48" t="s">
        <v>1597</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1597</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1597</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1597</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1597</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1597</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1598</v>
      </c>
      <c r="D27" s="1182">
        <f>SUM(D19:D26)</f>
        <v>1</v>
      </c>
      <c r="E27" s="1183">
        <f>IF(SUM(E19:E26)='数据-基础表'!BA5,SUM(E19:E26),IF(F27="地上面积有误","面积有误","地下面积有误"))</f>
        <v>1018</v>
      </c>
      <c r="F27" s="1182">
        <f>IF(SUM(F19:F26)=E8,SUM(F19:F26),"地上面积有误")</f>
        <v>1018</v>
      </c>
      <c r="G27" s="1184">
        <f>SUM(G19:G26)</f>
        <v>0</v>
      </c>
      <c r="H27" s="1185">
        <f>SUM(H19:H26)</f>
        <v>0</v>
      </c>
      <c r="I27" s="1186">
        <f>SUM(I19:I26)</f>
        <v>0</v>
      </c>
      <c r="J27" s="1181"/>
      <c r="K27" s="1187">
        <f t="shared" ref="K27:P27" si="10">SUM(K19:K26)</f>
        <v>0</v>
      </c>
      <c r="L27" s="870">
        <f t="shared" si="10"/>
        <v>0</v>
      </c>
      <c r="M27" s="1188">
        <f t="shared" si="10"/>
        <v>0</v>
      </c>
      <c r="N27" s="1187">
        <f t="shared" si="10"/>
        <v>0</v>
      </c>
      <c r="O27" s="870">
        <f t="shared" si="10"/>
        <v>0</v>
      </c>
      <c r="P27" s="99">
        <f t="shared" si="10"/>
        <v>0</v>
      </c>
      <c r="R27" s="1075">
        <f>IF(SUM(R19:R26)=$D$3,SUM(R19:R26),SUM(R19:R26)&amp;"误差"&amp;ROUND(SUM(R19:R26)-$D$3,2))</f>
        <v>1</v>
      </c>
      <c r="S27" s="46">
        <f>IF(SUM(S19:S26)=$E$3,SUM(S19:S26),SUM(S19:S26)&amp;"误差"&amp;ROUND(SUM(S19:S26)-E3,2))</f>
        <v>1018</v>
      </c>
    </row>
    <row r="28" spans="1:19">
      <c r="A28" s="1679"/>
      <c r="B28" s="48" t="s">
        <v>1599</v>
      </c>
      <c r="C28" s="58" t="s">
        <v>1600</v>
      </c>
      <c r="D28" s="46">
        <f>ROUND($D$3*E28/$E$3,2)</f>
        <v>0</v>
      </c>
      <c r="E28" s="54">
        <f>SUM(F28:G28)</f>
        <v>0</v>
      </c>
      <c r="F28" s="58">
        <f>'数据-基础表'!BQ5+'数据-基础表'!BS5</f>
        <v>0</v>
      </c>
      <c r="G28" s="59">
        <f>'数据-基础表'!BR5+'数据-基础表'!BT5</f>
        <v>0</v>
      </c>
      <c r="H28" s="2603"/>
      <c r="I28" s="2603"/>
      <c r="J28" s="2603"/>
      <c r="K28" s="2603"/>
      <c r="L28" s="2603"/>
      <c r="M28" s="2603"/>
      <c r="N28" s="2603"/>
      <c r="O28" s="2603"/>
      <c r="P28" s="2603"/>
    </row>
    <row r="29" spans="1:19">
      <c r="A29" s="1679"/>
      <c r="B29" s="48" t="s">
        <v>1599</v>
      </c>
      <c r="C29" s="1685" t="s">
        <v>1601</v>
      </c>
      <c r="D29" s="46">
        <f>ROUND($D$3*E29/$E$3,2)</f>
        <v>0</v>
      </c>
      <c r="E29" s="54">
        <f>SUM(F29:G29)</f>
        <v>0</v>
      </c>
      <c r="F29" s="60">
        <f>'数据-基础表'!BM5+'数据-基础表'!BO5</f>
        <v>0</v>
      </c>
      <c r="G29" s="51">
        <f>'数据-基础表'!BN5+'数据-基础表'!BP5</f>
        <v>0</v>
      </c>
      <c r="H29" s="2603"/>
      <c r="I29" s="2603"/>
      <c r="J29" s="2603"/>
      <c r="K29" s="2603"/>
      <c r="L29" s="2603"/>
      <c r="M29" s="2603"/>
      <c r="N29" s="2603"/>
      <c r="O29" s="2603"/>
      <c r="P29" s="2603"/>
    </row>
    <row r="30" spans="1:19" ht="15">
      <c r="A30" s="1679"/>
      <c r="B30" s="48"/>
      <c r="C30" s="1686" t="s">
        <v>1598</v>
      </c>
      <c r="D30" s="1182">
        <f>SUM(D28:D29)</f>
        <v>0</v>
      </c>
      <c r="E30" s="1182">
        <f>SUM(E28:E29)</f>
        <v>0</v>
      </c>
      <c r="F30" s="1182">
        <f>SUM(F28:F29)</f>
        <v>0</v>
      </c>
      <c r="G30" s="1184">
        <f>SUM(G28:G29)</f>
        <v>0</v>
      </c>
      <c r="H30" s="2603"/>
      <c r="I30" s="2603"/>
      <c r="J30" s="2603"/>
      <c r="K30" s="2603"/>
      <c r="L30" s="2603"/>
      <c r="M30" s="2603"/>
      <c r="N30" s="2603"/>
      <c r="O30" s="2603"/>
      <c r="P30" s="2603"/>
    </row>
    <row r="31" spans="1:19" ht="15.75" thickBot="1">
      <c r="A31" s="1687"/>
      <c r="B31" s="101"/>
      <c r="C31" s="870" t="s">
        <v>1602</v>
      </c>
      <c r="D31" s="652">
        <f>D27+D30</f>
        <v>1</v>
      </c>
      <c r="E31" s="652">
        <f>E27+E30</f>
        <v>1018</v>
      </c>
      <c r="F31" s="653">
        <f>F27+F30</f>
        <v>1018</v>
      </c>
      <c r="G31" s="654">
        <f>G27+G30</f>
        <v>0</v>
      </c>
      <c r="H31" s="2603"/>
      <c r="I31" s="2603"/>
      <c r="J31" s="2603"/>
      <c r="K31" s="2603"/>
      <c r="L31" s="2603"/>
      <c r="M31" s="2603"/>
      <c r="N31" s="2603"/>
      <c r="O31" s="2603"/>
      <c r="P31" s="2603"/>
    </row>
    <row r="32" spans="1:19">
      <c r="A32" s="1656"/>
      <c r="B32" s="1656" t="s">
        <v>1603</v>
      </c>
      <c r="C32" s="1656"/>
      <c r="D32" s="1656"/>
      <c r="E32" s="1097">
        <f>SUMIF(C19:C26,"*住宅*",E19:E26)</f>
        <v>0</v>
      </c>
      <c r="F32" s="1656"/>
      <c r="G32" s="1656"/>
      <c r="H32" s="2603"/>
      <c r="I32" s="2603"/>
      <c r="J32" s="2603"/>
      <c r="K32" s="2603"/>
      <c r="L32" s="2603"/>
      <c r="M32" s="2603"/>
      <c r="N32" s="2603"/>
      <c r="O32" s="2603"/>
      <c r="P32" s="2603"/>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3" priority="1" stopIfTrue="1" operator="containsText" text="面积有误">
      <formula>NOT(ISERROR(SEARCH("面积有误",E27)))</formula>
    </cfRule>
    <cfRule type="cellIs" dxfId="262" priority="3" stopIfTrue="1" operator="equal">
      <formula>"地下面积有误"</formula>
    </cfRule>
  </conditionalFormatting>
  <conditionalFormatting sqref="F27">
    <cfRule type="cellIs" dxfId="26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8" customWidth="1"/>
    <col min="2" max="2" width="12" style="1691" customWidth="1"/>
    <col min="3" max="3" width="12.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7.5" style="1691" customWidth="1"/>
    <col min="22" max="22" width="6.375" style="1691" customWidth="1"/>
    <col min="23" max="30" width="6.75" style="1691" customWidth="1"/>
    <col min="31" max="31" width="8" style="1691" customWidth="1"/>
    <col min="32" max="34" width="7.25" style="1691" customWidth="1"/>
    <col min="35" max="39" width="8" style="1691" customWidth="1"/>
    <col min="40" max="40" width="13.75" style="127"/>
    <col min="41" max="41" width="11.625" style="127" customWidth="1"/>
    <col min="42" max="42" width="9.75" style="127" customWidth="1"/>
    <col min="43" max="67" width="13.75" style="127"/>
    <col min="68" max="16384" width="13.75" style="1691"/>
  </cols>
  <sheetData>
    <row r="1" spans="1:67" ht="19.5" thickBot="1">
      <c r="A1" s="1689" t="s">
        <v>1604</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75" thickBot="1">
      <c r="A2" s="1692" t="s">
        <v>1605</v>
      </c>
      <c r="B2" s="1091">
        <f>项目基本情况!D3</f>
        <v>44914</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3"/>
      <c r="AO2" s="2603"/>
      <c r="AP2" s="2603"/>
      <c r="AQ2" s="2603"/>
      <c r="AR2" s="2603"/>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3"/>
      <c r="AO3" s="2603"/>
      <c r="AP3" s="2603"/>
      <c r="AQ3" s="2603"/>
      <c r="AR3" s="2603"/>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1606</v>
      </c>
      <c r="B4" s="1694"/>
      <c r="C4" s="1695"/>
      <c r="D4" s="1696"/>
      <c r="E4" s="1695" t="s">
        <v>1607</v>
      </c>
      <c r="F4" s="1695"/>
      <c r="G4" s="1695"/>
      <c r="H4" s="1695"/>
      <c r="I4" s="1695"/>
      <c r="J4" s="1697"/>
      <c r="K4" s="1698"/>
      <c r="L4" s="1699"/>
      <c r="M4" s="1695"/>
      <c r="N4" s="1695" t="s">
        <v>1608</v>
      </c>
      <c r="O4" s="1695"/>
      <c r="P4" s="1695"/>
      <c r="Q4" s="1695"/>
      <c r="R4" s="1695"/>
      <c r="S4" s="1697"/>
      <c r="T4" s="2602" t="str">
        <f>'数据-汇总表'!I17</f>
        <v>按面积比例</v>
      </c>
      <c r="U4" s="1694" t="s">
        <v>1609</v>
      </c>
      <c r="V4" s="1695"/>
      <c r="W4" s="1695"/>
      <c r="X4" s="1695"/>
      <c r="Y4" s="1697"/>
      <c r="Z4" s="1665" t="s">
        <v>1610</v>
      </c>
      <c r="AA4" s="1665"/>
      <c r="AB4" s="1665"/>
      <c r="AC4" s="1665"/>
      <c r="AD4" s="1665"/>
      <c r="AE4" s="1663" t="s">
        <v>1611</v>
      </c>
      <c r="AF4" s="1665"/>
      <c r="AG4" s="1700"/>
      <c r="AH4" s="1694"/>
      <c r="AI4" s="1695"/>
      <c r="AJ4" s="1695"/>
      <c r="AK4" s="1695"/>
      <c r="AL4" s="1695"/>
      <c r="AM4" s="1697"/>
      <c r="AN4" s="2603"/>
      <c r="AO4" s="2603"/>
      <c r="AP4" s="2603"/>
      <c r="AQ4" s="2603"/>
      <c r="AR4" s="2603"/>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1612</v>
      </c>
      <c r="B5" s="1702" t="s">
        <v>1613</v>
      </c>
      <c r="C5" s="1703" t="s">
        <v>1614</v>
      </c>
      <c r="D5" s="1704" t="s">
        <v>1615</v>
      </c>
      <c r="E5" s="512" t="s">
        <v>1616</v>
      </c>
      <c r="F5" s="1705" t="s">
        <v>1617</v>
      </c>
      <c r="G5" s="512" t="s">
        <v>1618</v>
      </c>
      <c r="H5" s="512" t="s">
        <v>1619</v>
      </c>
      <c r="I5" s="512" t="s">
        <v>1620</v>
      </c>
      <c r="J5" s="1362" t="s">
        <v>1621</v>
      </c>
      <c r="K5" s="1706" t="s">
        <v>1622</v>
      </c>
      <c r="L5" s="1707" t="s">
        <v>1623</v>
      </c>
      <c r="M5" s="1708" t="s">
        <v>1624</v>
      </c>
      <c r="N5" s="1709" t="s">
        <v>3185</v>
      </c>
      <c r="O5" s="1707" t="s">
        <v>1625</v>
      </c>
      <c r="P5" s="1710" t="s">
        <v>1626</v>
      </c>
      <c r="Q5" s="62" t="s">
        <v>1627</v>
      </c>
      <c r="R5" s="1711" t="s">
        <v>1628</v>
      </c>
      <c r="S5" s="1712" t="s">
        <v>1629</v>
      </c>
      <c r="T5" s="1713" t="s">
        <v>1630</v>
      </c>
      <c r="U5" s="1092" t="s">
        <v>1631</v>
      </c>
      <c r="V5" s="512" t="s">
        <v>1632</v>
      </c>
      <c r="W5" s="512" t="s">
        <v>1633</v>
      </c>
      <c r="X5" s="64"/>
      <c r="Y5" s="63" t="s">
        <v>1634</v>
      </c>
      <c r="Z5" s="1211" t="s">
        <v>1631</v>
      </c>
      <c r="AA5" s="512" t="s">
        <v>1632</v>
      </c>
      <c r="AB5" s="512" t="s">
        <v>1633</v>
      </c>
      <c r="AC5" s="64"/>
      <c r="AD5" s="64" t="s">
        <v>1634</v>
      </c>
      <c r="AE5" s="1092" t="s">
        <v>1635</v>
      </c>
      <c r="AF5" s="512" t="s">
        <v>1636</v>
      </c>
      <c r="AG5" s="63" t="s">
        <v>1637</v>
      </c>
      <c r="AH5" s="1092" t="s">
        <v>1638</v>
      </c>
      <c r="AI5" s="1211" t="s">
        <v>1639</v>
      </c>
      <c r="AJ5" s="1211" t="s">
        <v>1640</v>
      </c>
      <c r="AK5" s="512" t="s">
        <v>1641</v>
      </c>
      <c r="AL5" s="512" t="s">
        <v>1642</v>
      </c>
      <c r="AM5" s="63" t="s">
        <v>1643</v>
      </c>
      <c r="AN5" s="1714" t="s">
        <v>1644</v>
      </c>
      <c r="AO5" s="1584" t="s">
        <v>1645</v>
      </c>
      <c r="AP5" s="1075" t="s">
        <v>1646</v>
      </c>
      <c r="AQ5" s="1715" t="s">
        <v>1647</v>
      </c>
      <c r="AR5" s="1715" t="s">
        <v>1648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1层</v>
      </c>
      <c r="B6" s="1717" t="str">
        <f>IF(A6=0,"","经营性")</f>
        <v>经营性</v>
      </c>
      <c r="C6" s="1718" t="s">
        <v>1101</v>
      </c>
      <c r="D6" s="890">
        <f>SUMIF(项目基本情况!D$12:I$12,C6,项目基本情况!D$14:I$14)</f>
        <v>40</v>
      </c>
      <c r="E6" s="889">
        <f>IF(B6="","",SUMIF(项目基本情况!D$12:I$12,C6,项目基本情况!D$13:I$13))</f>
        <v>52670</v>
      </c>
      <c r="F6" s="65">
        <f>SUMIF(项目基本情况!D$12:I$12,C6,项目基本情况!D$15:I$15)</f>
        <v>21.24</v>
      </c>
      <c r="G6" s="66">
        <f t="shared" ref="G6:G13" si="0">IF(ISERROR(ROUND(POWER(1+H6,D6-F6)*(POWER(1+H6,F6)-1)/(POWER(1+H6,D6)-1),3)),0,ROUND(POWER(1+H6,D6-F6)*(POWER(1+H6,F6)-1)/(POWER(1+H6,D6)-1),3))</f>
        <v>0</v>
      </c>
      <c r="H6" s="700"/>
      <c r="I6" s="700">
        <v>5.5E-2</v>
      </c>
      <c r="J6" s="67"/>
      <c r="K6" s="1077">
        <f>SUMIF('数据-汇总表'!C$19:C$33,A6,'数据-汇总表'!E$19:E$33)</f>
        <v>256</v>
      </c>
      <c r="L6" s="701">
        <v>4000</v>
      </c>
      <c r="M6" s="68">
        <f t="shared" ref="M6:M14" si="1">ROUND(K6*L6/10000,0)</f>
        <v>102</v>
      </c>
      <c r="N6" s="699">
        <v>0.84</v>
      </c>
      <c r="O6" s="68" t="str">
        <f>IF($N$5="成新度","——",ROUND(M6*N6,0))</f>
        <v>——</v>
      </c>
      <c r="P6" s="69" t="str">
        <f>IF($N$5="成新度","——",M6-O6)</f>
        <v>——</v>
      </c>
      <c r="Q6" s="702">
        <f>结果汇总!H3</f>
        <v>0.2</v>
      </c>
      <c r="R6" s="70">
        <f ca="1">SUMIF('数据-汇总表'!C$19:C$33,A6,'数据-汇总表'!R$19:R$27)</f>
        <v>0.25</v>
      </c>
      <c r="S6" s="52">
        <f>IF('数据-汇总表'!$I$17="按面积比例",SUMIF('数据-汇总表'!C$19:C$33,A6,'数据-汇总表'!K$19:K$33),SUMIF('数据-汇总表'!C$19:C$33,A6,'数据-汇总表'!N$19:N$33))</f>
        <v>0</v>
      </c>
      <c r="T6" s="1202">
        <f>ROUND($L$14*S6/10000,0)</f>
        <v>0</v>
      </c>
      <c r="U6" s="71">
        <f>'比较法-租金2022'!B3</f>
        <v>12.1</v>
      </c>
      <c r="V6" s="72">
        <v>0.02</v>
      </c>
      <c r="W6" s="72">
        <v>0.1</v>
      </c>
      <c r="X6" s="1086"/>
      <c r="Y6" s="73">
        <f>N6</f>
        <v>0.84</v>
      </c>
      <c r="Z6" s="74"/>
      <c r="AA6" s="67"/>
      <c r="AB6" s="67"/>
      <c r="AC6" s="1086"/>
      <c r="AD6" s="75">
        <f>N6</f>
        <v>0.84</v>
      </c>
      <c r="AE6" s="1087">
        <f ca="1">IF(AN6="",0,SUMIF(INDIRECT("'"&amp;AN6&amp;"'"&amp;"!E:E"),$AE$5,INDIRECT("'"&amp;AN6&amp;"'"&amp;"!F:F")))</f>
        <v>21.24</v>
      </c>
      <c r="AF6" s="79"/>
      <c r="AG6" s="135">
        <f>IF(AF6="",0,AE6-AF6)</f>
        <v>0</v>
      </c>
      <c r="AH6" s="76">
        <f>'数据-基础表'!I13</f>
        <v>256</v>
      </c>
      <c r="AI6" s="78">
        <v>365</v>
      </c>
      <c r="AJ6" s="79"/>
      <c r="AK6" s="80">
        <v>0.01</v>
      </c>
      <c r="AL6" s="81">
        <v>1E-3</v>
      </c>
      <c r="AM6" s="82">
        <v>0.01</v>
      </c>
      <c r="AN6" s="1719" t="s">
        <v>3232</v>
      </c>
      <c r="AO6" s="53">
        <f ca="1">SUMIF(INDIRECT("'"&amp;AN6&amp;"'"&amp;"!A:A"),"总价",INDIRECT("'"&amp;AN6&amp;"'"&amp;"!B:B"))</f>
        <v>1221</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t="str">
        <f>'数据-汇总表'!C20</f>
        <v>3层</v>
      </c>
      <c r="B7" s="1717" t="str">
        <f t="shared" ref="B7:B13" si="2">IF(A7=0,"","经营性")</f>
        <v>经营性</v>
      </c>
      <c r="C7" s="1718" t="s">
        <v>1101</v>
      </c>
      <c r="D7" s="890">
        <f>SUMIF(项目基本情况!D$12:I$12,C7,项目基本情况!D$14:I$14)</f>
        <v>40</v>
      </c>
      <c r="E7" s="889">
        <f>IF(B7="","",SUMIF(项目基本情况!D$12:I$12,C7,项目基本情况!D$13:I$13))</f>
        <v>52670</v>
      </c>
      <c r="F7" s="65">
        <f>SUMIF(项目基本情况!D$12:I$12,C7,项目基本情况!D$15:I$15)</f>
        <v>21.24</v>
      </c>
      <c r="G7" s="66">
        <f t="shared" si="0"/>
        <v>0</v>
      </c>
      <c r="H7" s="700"/>
      <c r="I7" s="700">
        <f>I6</f>
        <v>5.5E-2</v>
      </c>
      <c r="J7" s="67"/>
      <c r="K7" s="1077">
        <f>SUMIF('数据-汇总表'!C$19:C$33,A7,'数据-汇总表'!E$19:E$33)</f>
        <v>762</v>
      </c>
      <c r="L7" s="701">
        <f>L6</f>
        <v>4000</v>
      </c>
      <c r="M7" s="68">
        <f t="shared" si="1"/>
        <v>305</v>
      </c>
      <c r="N7" s="699">
        <f>N6</f>
        <v>0.84</v>
      </c>
      <c r="O7" s="68" t="str">
        <f t="shared" ref="O7:O14" si="3">IF($N$5="成新度","——",ROUND(M7*N7,0))</f>
        <v>——</v>
      </c>
      <c r="P7" s="69" t="str">
        <f t="shared" ref="P7:P14" si="4">IF($N$5="成新度","——",M7-O7)</f>
        <v>——</v>
      </c>
      <c r="Q7" s="702">
        <f>结果汇总!H6</f>
        <v>0.1</v>
      </c>
      <c r="R7" s="70">
        <f ca="1">SUMIF('数据-汇总表'!C$19:C$33,A7,'数据-汇总表'!R$19:R$27)</f>
        <v>0.75</v>
      </c>
      <c r="S7" s="52">
        <f>IF('数据-汇总表'!$I$17="按面积比例",SUMIF('数据-汇总表'!C$19:C$33,A7,'数据-汇总表'!K$19:K$33),SUMIF('数据-汇总表'!C$19:C$33,A7,'数据-汇总表'!N$19:N$33))</f>
        <v>0</v>
      </c>
      <c r="T7" s="1202">
        <f t="shared" ref="T7:T13" si="5">ROUND($L$14*S7/10000,0)</f>
        <v>0</v>
      </c>
      <c r="U7" s="71">
        <f>ROUND(U6*结果汇总!D11,1)</f>
        <v>7.3</v>
      </c>
      <c r="V7" s="72">
        <f>V6</f>
        <v>0.02</v>
      </c>
      <c r="W7" s="72">
        <f>W6</f>
        <v>0.1</v>
      </c>
      <c r="X7" s="1086"/>
      <c r="Y7" s="73">
        <f>Y6</f>
        <v>0.84</v>
      </c>
      <c r="Z7" s="74"/>
      <c r="AA7" s="67"/>
      <c r="AB7" s="67"/>
      <c r="AC7" s="1086"/>
      <c r="AD7" s="75">
        <f>AD6</f>
        <v>0.84</v>
      </c>
      <c r="AE7" s="1087">
        <f t="shared" ref="AE7:AE13" ca="1" si="6">IF(AN7="",0,SUMIF(INDIRECT("'"&amp;AN7&amp;"'"&amp;"!E:E"),$AE$5,INDIRECT("'"&amp;AN7&amp;"'"&amp;"!F:F")))</f>
        <v>21.24</v>
      </c>
      <c r="AF7" s="79"/>
      <c r="AG7" s="135">
        <f t="shared" ref="AG7:AG13" si="7">IF(AF7="",0,AE7-AF7)</f>
        <v>0</v>
      </c>
      <c r="AH7" s="76">
        <f>'数据-汇总表'!F20</f>
        <v>762</v>
      </c>
      <c r="AI7" s="78">
        <v>365</v>
      </c>
      <c r="AJ7" s="79"/>
      <c r="AK7" s="80">
        <f>AK6</f>
        <v>0.01</v>
      </c>
      <c r="AL7" s="81">
        <f>AL6</f>
        <v>1E-3</v>
      </c>
      <c r="AM7" s="82">
        <f>AM6</f>
        <v>0.01</v>
      </c>
      <c r="AN7" s="1719" t="s">
        <v>3261</v>
      </c>
      <c r="AO7" s="53">
        <f t="shared" ref="AO7:AO13" ca="1" si="8">SUMIF(INDIRECT("'"&amp;AN7&amp;"'"&amp;"!A:A"),"总价",INDIRECT("'"&amp;AN7&amp;"'"&amp;"!B:B"))</f>
        <v>2195</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c r="A8" s="1716">
        <f>'数据-汇总表'!C21</f>
        <v>0</v>
      </c>
      <c r="B8" s="1717" t="str">
        <f t="shared" si="2"/>
        <v/>
      </c>
      <c r="C8" s="1718"/>
      <c r="D8" s="890">
        <f>SUMIF(项目基本情况!D$12:I$12,C8,项目基本情况!D$14:I$14)</f>
        <v>0</v>
      </c>
      <c r="E8" s="889" t="str">
        <f>IF(B8="","",SUMIF(项目基本情况!D$12:I$12,C8,项目基本情况!D$13:I$13))</f>
        <v/>
      </c>
      <c r="F8" s="65">
        <f>SUMIF(项目基本情况!D$12:I$12,C8,项目基本情况!D$15:I$15)</f>
        <v>0</v>
      </c>
      <c r="G8" s="66">
        <f t="shared" si="0"/>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c r="A9" s="1716">
        <f>'数据-汇总表'!C22</f>
        <v>0</v>
      </c>
      <c r="B9" s="1717" t="str">
        <f t="shared" si="2"/>
        <v/>
      </c>
      <c r="C9" s="1718"/>
      <c r="D9" s="890">
        <f>SUMIF(项目基本情况!D$12:I$12,C9,项目基本情况!D$14:I$14)</f>
        <v>0</v>
      </c>
      <c r="E9" s="889" t="str">
        <f>IF(B9="","",SUMIF(项目基本情况!D$12:I$12,C9,项目基本情况!D$13:I$13))</f>
        <v/>
      </c>
      <c r="F9" s="65">
        <f>SUMIF(项目基本情况!D$12:I$12,C9,项目基本情况!D$15:I$15)</f>
        <v>0</v>
      </c>
      <c r="G9" s="66">
        <f t="shared" si="0"/>
        <v>0</v>
      </c>
      <c r="H9" s="67"/>
      <c r="I9" s="67"/>
      <c r="J9" s="67"/>
      <c r="K9" s="1077">
        <f>SUMIF('数据-汇总表'!C$19:C$33,A9,'数据-汇总表'!E$19:E$33)</f>
        <v>0</v>
      </c>
      <c r="L9" s="701"/>
      <c r="M9" s="68">
        <f t="shared" si="1"/>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c r="A10" s="1716">
        <f>'数据-汇总表'!C23</f>
        <v>0</v>
      </c>
      <c r="B10" s="1717" t="str">
        <f t="shared" si="2"/>
        <v/>
      </c>
      <c r="C10" s="1718"/>
      <c r="D10" s="890">
        <f>SUMIF(项目基本情况!D$12:I$12,C10,项目基本情况!D$14:I$14)</f>
        <v>0</v>
      </c>
      <c r="E10" s="889" t="str">
        <f>IF(B10="","",SUMIF(项目基本情况!D$12:I$12,C10,项目基本情况!D$13:I$13))</f>
        <v/>
      </c>
      <c r="F10" s="65">
        <f>SUMIF(项目基本情况!D$12:I$12,C10,项目基本情况!D$15:I$15)</f>
        <v>0</v>
      </c>
      <c r="G10" s="66">
        <f t="shared" si="0"/>
        <v>0</v>
      </c>
      <c r="H10" s="67"/>
      <c r="I10" s="67"/>
      <c r="J10" s="67"/>
      <c r="K10" s="1077">
        <f>SUMIF('数据-汇总表'!C$19:C$33,A10,'数据-汇总表'!E$19:E$33)</f>
        <v>0</v>
      </c>
      <c r="L10" s="701"/>
      <c r="M10" s="68">
        <f t="shared" si="1"/>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c r="A11" s="1716">
        <f>'数据-汇总表'!C24</f>
        <v>0</v>
      </c>
      <c r="B11" s="1717" t="str">
        <f t="shared" si="2"/>
        <v/>
      </c>
      <c r="C11" s="1718"/>
      <c r="D11" s="890">
        <f>SUMIF(项目基本情况!D$12:I$12,C11,项目基本情况!D$14:I$14)</f>
        <v>0</v>
      </c>
      <c r="E11" s="889" t="str">
        <f>IF(B11="","",SUMIF(项目基本情况!D$12:I$12,C11,项目基本情况!D$13:I$13))</f>
        <v/>
      </c>
      <c r="F11" s="65">
        <f>SUMIF(项目基本情况!D$12:I$12,C11,项目基本情况!D$15:I$15)</f>
        <v>0</v>
      </c>
      <c r="G11" s="66">
        <f t="shared" si="0"/>
        <v>0</v>
      </c>
      <c r="H11" s="67"/>
      <c r="I11" s="67"/>
      <c r="J11" s="67"/>
      <c r="K11" s="1077">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c r="A12" s="1716">
        <f>'数据-汇总表'!C25</f>
        <v>0</v>
      </c>
      <c r="B12" s="1717" t="str">
        <f t="shared" si="2"/>
        <v/>
      </c>
      <c r="C12" s="1718"/>
      <c r="D12" s="890">
        <f>SUMIF(项目基本情况!D$12:I$12,C12,项目基本情况!D$14:I$14)</f>
        <v>0</v>
      </c>
      <c r="E12" s="889" t="str">
        <f>IF(B12="","",SUMIF(项目基本情况!D$12:I$12,C12,项目基本情况!D$13:I$13))</f>
        <v/>
      </c>
      <c r="F12" s="65">
        <f>SUMIF(项目基本情况!D$12:I$12,C12,项目基本情况!D$15:I$15)</f>
        <v>0</v>
      </c>
      <c r="G12" s="66">
        <f t="shared" si="0"/>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c r="A13" s="1716">
        <f>'数据-汇总表'!C26</f>
        <v>0</v>
      </c>
      <c r="B13" s="1717" t="str">
        <f t="shared" si="2"/>
        <v/>
      </c>
      <c r="C13" s="1718"/>
      <c r="D13" s="890">
        <f>SUMIF(项目基本情况!D$12:I$12,C13,项目基本情况!D$14:I$14)</f>
        <v>0</v>
      </c>
      <c r="E13" s="889" t="str">
        <f>IF(B13="","",SUMIF(项目基本情况!D$12:I$12,C13,项目基本情况!D$13:I$13))</f>
        <v/>
      </c>
      <c r="F13" s="65">
        <f>SUMIF(项目基本情况!D$12:I$12,C13,项目基本情况!D$15:I$15)</f>
        <v>0</v>
      </c>
      <c r="G13" s="66">
        <f t="shared" si="0"/>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1649</v>
      </c>
      <c r="B14" s="1717" t="s">
        <v>1650</v>
      </c>
      <c r="C14" s="1722" t="s">
        <v>1649</v>
      </c>
      <c r="D14" s="890"/>
      <c r="E14" s="889"/>
      <c r="F14" s="65"/>
      <c r="G14" s="66"/>
      <c r="H14" s="1076"/>
      <c r="I14" s="1076"/>
      <c r="J14" s="1076"/>
      <c r="K14" s="1077">
        <f>SUMIF('数据-汇总表'!C$19:C$33,A14,'数据-汇总表'!E$19:E$33)</f>
        <v>0</v>
      </c>
      <c r="L14" s="84"/>
      <c r="M14" s="68">
        <f t="shared" si="1"/>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3"/>
      <c r="AP14" s="2603"/>
      <c r="AQ14" s="2603"/>
      <c r="AR14" s="2603"/>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1651</v>
      </c>
      <c r="B15" s="1717" t="s">
        <v>1650</v>
      </c>
      <c r="C15" s="1722" t="s">
        <v>1652</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3"/>
      <c r="AP15" s="2603"/>
      <c r="AQ15" s="2603"/>
      <c r="AR15" s="2603"/>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1653</v>
      </c>
      <c r="B16" s="87"/>
      <c r="C16" s="868"/>
      <c r="D16" s="1724"/>
      <c r="E16" s="87"/>
      <c r="F16" s="87"/>
      <c r="G16" s="88" t="e">
        <f>ROUND(SUMPRODUCT(G6:G13,K6:K13)/SUMPRODUCT((G6:G13&gt;0)*(K6:K13)),3)</f>
        <v>#DIV/0!</v>
      </c>
      <c r="H16" s="89" t="e">
        <f>ROUND(SUMPRODUCT(H6:H13,K6:K13)/SUMPRODUCT((H6:H13&gt;0)*(K6:K13)),3)</f>
        <v>#DIV/0!</v>
      </c>
      <c r="I16" s="90"/>
      <c r="J16" s="90"/>
      <c r="K16" s="91">
        <f>SUM(K6:K15)</f>
        <v>1018</v>
      </c>
      <c r="L16" s="92">
        <f>ROUND(M16*10000/SUM(K6:K14),0)</f>
        <v>3998</v>
      </c>
      <c r="M16" s="92">
        <f>SUM(M6:M14)</f>
        <v>407</v>
      </c>
      <c r="N16" s="93">
        <f>ROUND(SUMPRODUCT(M6:M14,N6:N14)/M16,3)</f>
        <v>0.84</v>
      </c>
      <c r="O16" s="92">
        <f>SUM(O6:O14)</f>
        <v>0</v>
      </c>
      <c r="P16" s="92">
        <f>SUM(P6:P14)</f>
        <v>0</v>
      </c>
      <c r="Q16" s="94">
        <f>ROUND(SUMPRODUCT(Q6:Q13,K6:K13)/SUMPRODUCT((Q6:Q13&gt;0)*(K6:K13)),2)</f>
        <v>0.13</v>
      </c>
      <c r="R16" s="1081">
        <f ca="1">SUM(R6:R13)</f>
        <v>1</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3"/>
      <c r="AP16" s="2603"/>
      <c r="AQ16" s="2603"/>
      <c r="AR16" s="2603"/>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5" thickBot="1">
      <c r="A18" s="61" t="s">
        <v>1654</v>
      </c>
      <c r="B18" s="2627"/>
      <c r="C18" s="2603"/>
      <c r="D18" s="2618"/>
      <c r="E18" s="2603"/>
      <c r="F18" s="2603"/>
      <c r="G18" s="2603"/>
      <c r="H18" s="2603"/>
      <c r="I18" s="2603"/>
      <c r="J18" s="2603"/>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25">
      <c r="A19" s="1726" t="s">
        <v>1655</v>
      </c>
      <c r="B19" s="102"/>
      <c r="C19" s="2729" t="s">
        <v>2802</v>
      </c>
      <c r="D19" s="2618"/>
      <c r="E19" s="2603"/>
      <c r="F19" s="2603"/>
      <c r="G19" s="2603"/>
      <c r="H19" s="2603"/>
      <c r="I19" s="2603"/>
      <c r="J19" s="2603"/>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25">
      <c r="A20" s="1727" t="s">
        <v>1656</v>
      </c>
      <c r="B20" s="103">
        <v>2</v>
      </c>
      <c r="C20" s="2730" t="s">
        <v>2800</v>
      </c>
      <c r="D20" s="2618"/>
      <c r="E20" s="2603"/>
      <c r="F20" s="2603"/>
      <c r="G20" s="2603"/>
      <c r="H20" s="2603"/>
      <c r="I20" s="2603"/>
      <c r="J20" s="2603"/>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25">
      <c r="A21" s="1728" t="s">
        <v>1657</v>
      </c>
      <c r="B21" s="103">
        <v>2</v>
      </c>
      <c r="C21" s="2603"/>
      <c r="D21" s="2618"/>
      <c r="E21" s="2603"/>
      <c r="F21" s="2603"/>
      <c r="G21" s="2603"/>
      <c r="H21" s="2603"/>
      <c r="I21" s="2603"/>
      <c r="J21" s="2603"/>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25">
      <c r="A22" s="1727" t="s">
        <v>1658</v>
      </c>
      <c r="B22" s="104">
        <f>B19+B20</f>
        <v>2</v>
      </c>
      <c r="C22" s="2603"/>
      <c r="D22" s="2618"/>
      <c r="E22" s="2603"/>
      <c r="F22" s="2603"/>
      <c r="G22" s="2603"/>
      <c r="H22" s="2603"/>
      <c r="I22" s="2603"/>
      <c r="J22" s="2603"/>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25">
      <c r="A23" s="1728" t="s">
        <v>1659</v>
      </c>
      <c r="B23" s="104">
        <f>B19+B21</f>
        <v>2</v>
      </c>
      <c r="C23" s="2603"/>
      <c r="D23" s="2618"/>
      <c r="E23" s="2603"/>
      <c r="F23" s="2603"/>
      <c r="G23" s="2603"/>
      <c r="H23" s="2603"/>
      <c r="I23" s="2603"/>
      <c r="J23" s="2603"/>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5" thickBot="1">
      <c r="A24" s="1729" t="s">
        <v>1660</v>
      </c>
      <c r="B24" s="105">
        <f>B20-B21</f>
        <v>0</v>
      </c>
      <c r="C24" s="2603"/>
      <c r="D24" s="2618"/>
      <c r="E24" s="2603"/>
      <c r="F24" s="2603"/>
      <c r="G24" s="2603"/>
      <c r="H24" s="2603"/>
      <c r="I24" s="2603"/>
      <c r="J24" s="2603"/>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5" thickBot="1">
      <c r="A25" s="1579"/>
      <c r="B25" s="1672"/>
      <c r="C25" s="2603"/>
      <c r="D25" s="2618"/>
      <c r="E25" s="2603"/>
      <c r="F25" s="2603"/>
      <c r="G25" s="2603"/>
      <c r="H25" s="2603"/>
      <c r="I25" s="2603"/>
      <c r="J25" s="2603"/>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5" thickBot="1">
      <c r="A26" s="1692" t="s">
        <v>1661</v>
      </c>
      <c r="B26" s="1730" t="s">
        <v>1662</v>
      </c>
      <c r="C26" s="2619" t="s">
        <v>1663</v>
      </c>
      <c r="D26" s="2618"/>
      <c r="E26" s="2603"/>
      <c r="F26" s="2603"/>
      <c r="G26" s="2603"/>
      <c r="H26" s="2603"/>
      <c r="I26" s="2603"/>
      <c r="J26" s="2603"/>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7.75">
      <c r="A27" s="1731" t="s">
        <v>1664</v>
      </c>
      <c r="B27" s="106">
        <v>160</v>
      </c>
      <c r="C27" s="2731" t="s">
        <v>2804</v>
      </c>
      <c r="D27" s="2621"/>
      <c r="E27" s="2604"/>
      <c r="F27" s="2604"/>
      <c r="G27" s="2603"/>
      <c r="H27" s="2603"/>
      <c r="I27" s="2603"/>
      <c r="J27" s="2603"/>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7.75">
      <c r="A28" s="1732" t="s">
        <v>1665</v>
      </c>
      <c r="B28" s="108">
        <v>200</v>
      </c>
      <c r="C28" s="2622"/>
      <c r="D28" s="2621"/>
      <c r="E28" s="2604"/>
      <c r="F28" s="2604"/>
      <c r="G28" s="2603"/>
      <c r="H28" s="2603"/>
      <c r="I28" s="2603"/>
      <c r="J28" s="2603"/>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8.5" thickBot="1">
      <c r="A29" s="1733" t="s">
        <v>1666</v>
      </c>
      <c r="B29" s="110"/>
      <c r="C29" s="2732" t="s">
        <v>2791</v>
      </c>
      <c r="D29" s="2621"/>
      <c r="E29" s="2604"/>
      <c r="F29" s="2604"/>
      <c r="G29" s="2603"/>
      <c r="H29" s="2603"/>
      <c r="I29" s="2603"/>
      <c r="J29" s="2603"/>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7">
      <c r="A30" s="1734" t="s">
        <v>1667</v>
      </c>
      <c r="B30" s="647">
        <v>200</v>
      </c>
      <c r="C30" s="2622"/>
      <c r="D30" s="2621"/>
      <c r="E30" s="2604"/>
      <c r="F30" s="2604"/>
      <c r="G30" s="2603"/>
      <c r="H30" s="2603"/>
      <c r="I30" s="2603"/>
      <c r="J30" s="2603"/>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7">
      <c r="A31" s="1732" t="s">
        <v>1668</v>
      </c>
      <c r="B31" s="109">
        <f>B30-B32</f>
        <v>200</v>
      </c>
      <c r="C31" s="2620"/>
      <c r="D31" s="2621"/>
      <c r="E31" s="2604"/>
      <c r="F31" s="2604"/>
      <c r="G31" s="2603"/>
      <c r="H31" s="2603"/>
      <c r="I31" s="2603"/>
      <c r="J31" s="2603"/>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7.75" thickBot="1">
      <c r="A32" s="1735" t="s">
        <v>1669</v>
      </c>
      <c r="B32" s="648"/>
      <c r="C32" s="2622"/>
      <c r="D32" s="2618"/>
      <c r="E32" s="2603"/>
      <c r="F32" s="2603"/>
      <c r="G32" s="2603"/>
      <c r="H32" s="2603"/>
      <c r="I32" s="2603"/>
      <c r="J32" s="2603"/>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25">
      <c r="A33" s="1731" t="s">
        <v>1670</v>
      </c>
      <c r="B33" s="649">
        <v>0.03</v>
      </c>
      <c r="C33" s="2733" t="s">
        <v>2792</v>
      </c>
      <c r="D33" s="2618"/>
      <c r="E33" s="2603"/>
      <c r="F33" s="2603"/>
      <c r="G33" s="2603"/>
      <c r="H33" s="2603"/>
      <c r="I33" s="2603"/>
      <c r="J33" s="2603"/>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25">
      <c r="A34" s="1732" t="s">
        <v>1671</v>
      </c>
      <c r="B34" s="111">
        <v>0</v>
      </c>
      <c r="C34" s="2733" t="s">
        <v>2793</v>
      </c>
      <c r="D34" s="2626" t="s">
        <v>2801</v>
      </c>
      <c r="E34" s="2624"/>
      <c r="F34" s="2603"/>
      <c r="G34" s="2603"/>
      <c r="H34" s="2603"/>
      <c r="I34" s="2603"/>
      <c r="J34" s="2603"/>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25">
      <c r="A35" s="1732" t="s">
        <v>1672</v>
      </c>
      <c r="B35" s="108">
        <v>300</v>
      </c>
      <c r="C35" s="2733" t="s">
        <v>2794</v>
      </c>
      <c r="D35" s="2621"/>
      <c r="E35" s="2604"/>
      <c r="F35" s="2604"/>
      <c r="G35" s="2603"/>
      <c r="H35" s="2603"/>
      <c r="I35" s="2603"/>
      <c r="J35" s="2603"/>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5" thickBot="1">
      <c r="A36" s="1733" t="s">
        <v>1673</v>
      </c>
      <c r="B36" s="112">
        <v>1.4999999999999999E-2</v>
      </c>
      <c r="C36" s="2733" t="s">
        <v>2795</v>
      </c>
      <c r="D36" s="2618"/>
      <c r="E36" s="2603"/>
      <c r="F36" s="2603"/>
      <c r="G36" s="2603"/>
      <c r="H36" s="2603"/>
      <c r="I36" s="2603"/>
      <c r="J36" s="2603"/>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25">
      <c r="A37" s="1734" t="s">
        <v>1674</v>
      </c>
      <c r="B37" s="113">
        <v>0.02</v>
      </c>
      <c r="C37" s="2733" t="s">
        <v>2796</v>
      </c>
      <c r="D37" s="2618"/>
      <c r="E37" s="2603"/>
      <c r="F37" s="2603"/>
      <c r="G37" s="2603"/>
      <c r="H37" s="2603"/>
      <c r="I37" s="2603"/>
      <c r="J37" s="2603"/>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25">
      <c r="A38" s="1732" t="s">
        <v>1675</v>
      </c>
      <c r="B38" s="2974">
        <v>0.03</v>
      </c>
      <c r="C38" s="2733" t="s">
        <v>2796</v>
      </c>
      <c r="D38" s="2618"/>
      <c r="E38" s="2603"/>
      <c r="F38" s="2603"/>
      <c r="G38" s="2603"/>
      <c r="H38" s="2603"/>
      <c r="I38" s="2603"/>
      <c r="J38" s="2603"/>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25">
      <c r="A39" s="1735" t="s">
        <v>1676</v>
      </c>
      <c r="B39" s="315">
        <f ca="1">存贷款利率!I1</f>
        <v>1.4999999999999999E-2</v>
      </c>
      <c r="C39" s="2623"/>
      <c r="D39" s="2618"/>
      <c r="E39" s="2603"/>
      <c r="F39" s="2603"/>
      <c r="G39" s="2603"/>
      <c r="H39" s="2603"/>
      <c r="I39" s="2603"/>
      <c r="J39" s="2603"/>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29.25" thickBot="1">
      <c r="A40" s="2975" t="s">
        <v>3252</v>
      </c>
      <c r="B40" s="1123">
        <f ca="1">IF(A40="利息：取LPR",存贷款利率!G1,存贷款利率!G1+C40)</f>
        <v>4.7500000000000001E-2</v>
      </c>
      <c r="C40" s="2976">
        <v>1.0999999999999999E-2</v>
      </c>
      <c r="D40" s="2615"/>
      <c r="E40" s="2618"/>
      <c r="F40" s="2603"/>
      <c r="G40" s="2603"/>
      <c r="H40" s="2603"/>
      <c r="I40" s="2603"/>
      <c r="J40" s="2603"/>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25">
      <c r="A41" s="1731" t="s">
        <v>1677</v>
      </c>
      <c r="B41" s="114">
        <f>B42+B43</f>
        <v>5.6000000000000001E-2</v>
      </c>
      <c r="C41" s="2620"/>
      <c r="D41" s="2615"/>
      <c r="E41" s="2618"/>
      <c r="F41" s="2603"/>
      <c r="G41" s="2603"/>
      <c r="H41" s="2603"/>
      <c r="I41" s="2603"/>
      <c r="J41" s="2603"/>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25">
      <c r="A42" s="1736" t="s">
        <v>1678</v>
      </c>
      <c r="B42" s="115">
        <v>0.05</v>
      </c>
      <c r="C42" s="2625">
        <f>IF(B2&lt;DATE(2016,5,1),0,B42)</f>
        <v>0.05</v>
      </c>
      <c r="D42" s="2618"/>
      <c r="E42" s="2603"/>
      <c r="F42" s="2603"/>
      <c r="G42" s="2603"/>
      <c r="H42" s="2603"/>
      <c r="I42" s="2603"/>
      <c r="J42" s="2603"/>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25">
      <c r="A43" s="1736" t="s">
        <v>1679</v>
      </c>
      <c r="B43" s="116">
        <f>B42*(B44+B45+B46)+B47</f>
        <v>6.000000000000001E-3</v>
      </c>
      <c r="C43" s="2620"/>
      <c r="D43" s="2618"/>
      <c r="E43" s="2603"/>
      <c r="F43" s="2603"/>
      <c r="G43" s="2603"/>
      <c r="H43" s="2603"/>
      <c r="I43" s="2603"/>
      <c r="J43" s="2603"/>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25">
      <c r="A44" s="1737" t="s">
        <v>1680</v>
      </c>
      <c r="B44" s="117">
        <v>7.0000000000000007E-2</v>
      </c>
      <c r="C44" s="2733" t="s">
        <v>2805</v>
      </c>
      <c r="D44" s="2618"/>
      <c r="E44" s="2603"/>
      <c r="F44" s="2603"/>
      <c r="G44" s="2603"/>
      <c r="H44" s="2603"/>
      <c r="I44" s="2603"/>
      <c r="J44" s="2603"/>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25">
      <c r="A45" s="1737" t="s">
        <v>1681</v>
      </c>
      <c r="B45" s="115">
        <v>0.03</v>
      </c>
      <c r="C45" s="2732" t="s">
        <v>2797</v>
      </c>
      <c r="D45" s="2618"/>
      <c r="E45" s="2603"/>
      <c r="F45" s="2603"/>
      <c r="G45" s="2603"/>
      <c r="H45" s="2603"/>
      <c r="I45" s="2603"/>
      <c r="J45" s="2603"/>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25">
      <c r="A46" s="1737" t="s">
        <v>1682</v>
      </c>
      <c r="B46" s="115">
        <v>0.02</v>
      </c>
      <c r="C46" s="2732" t="s">
        <v>2798</v>
      </c>
      <c r="D46" s="2618"/>
      <c r="E46" s="2603"/>
      <c r="F46" s="2603"/>
      <c r="G46" s="2603"/>
      <c r="H46" s="2603"/>
      <c r="I46" s="2603"/>
      <c r="J46" s="2603"/>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5" thickBot="1">
      <c r="A47" s="1738" t="s">
        <v>1683</v>
      </c>
      <c r="B47" s="118"/>
      <c r="C47" s="2735" t="s">
        <v>2806</v>
      </c>
      <c r="D47" s="2618"/>
      <c r="E47" s="2603"/>
      <c r="F47" s="2603"/>
      <c r="G47" s="2603"/>
      <c r="H47" s="2603"/>
      <c r="I47" s="2603"/>
      <c r="J47" s="2603"/>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25">
      <c r="A48" s="1739" t="s">
        <v>1684</v>
      </c>
      <c r="B48" s="119">
        <v>0.03</v>
      </c>
      <c r="C48" s="2732" t="s">
        <v>2797</v>
      </c>
      <c r="D48" s="2618"/>
      <c r="E48" s="2603"/>
      <c r="F48" s="2603"/>
      <c r="G48" s="2603"/>
      <c r="H48" s="2603"/>
      <c r="I48" s="2603"/>
      <c r="J48" s="2603"/>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735" t="s">
        <v>1685</v>
      </c>
      <c r="B49" s="115">
        <v>5.0000000000000001E-4</v>
      </c>
      <c r="C49" s="2732" t="s">
        <v>2799</v>
      </c>
      <c r="D49" s="2618"/>
      <c r="E49" s="2603"/>
      <c r="F49" s="2603"/>
      <c r="G49" s="2603"/>
      <c r="H49" s="2603"/>
      <c r="I49" s="2603"/>
      <c r="J49" s="2603"/>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25">
      <c r="A50" s="1740" t="s">
        <v>1686</v>
      </c>
      <c r="B50" s="120">
        <v>1.2E-2</v>
      </c>
      <c r="C50" s="2604"/>
      <c r="D50" s="2618"/>
      <c r="E50" s="2603"/>
      <c r="F50" s="2603"/>
      <c r="G50" s="2603"/>
      <c r="H50" s="2603"/>
      <c r="I50" s="2603"/>
      <c r="J50" s="2603"/>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1687</v>
      </c>
      <c r="B51" s="121">
        <v>0.12</v>
      </c>
      <c r="C51" s="2604"/>
      <c r="D51" s="2618"/>
      <c r="E51" s="2603"/>
      <c r="F51" s="2603"/>
      <c r="G51" s="2603"/>
      <c r="H51" s="2603"/>
      <c r="I51" s="2603"/>
      <c r="J51" s="2603"/>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25">
      <c r="A52" s="1740" t="s">
        <v>1688</v>
      </c>
      <c r="B52" s="122">
        <f>SUMIF(A54:A63,B53,B54:B63)</f>
        <v>0</v>
      </c>
      <c r="C52" s="2604"/>
      <c r="D52" s="2618"/>
      <c r="E52" s="2603"/>
      <c r="F52" s="2603"/>
      <c r="G52" s="2603"/>
      <c r="H52" s="2603"/>
      <c r="I52" s="2603"/>
      <c r="J52" s="2603"/>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7">
      <c r="A53" s="1732" t="s">
        <v>1689</v>
      </c>
      <c r="B53" s="1741"/>
      <c r="C53" s="2604" t="s">
        <v>1690</v>
      </c>
      <c r="D53" s="2734" t="s">
        <v>2803</v>
      </c>
      <c r="E53" s="2603"/>
      <c r="F53" s="2603"/>
      <c r="G53" s="2603"/>
      <c r="H53" s="2603"/>
      <c r="I53" s="2603"/>
      <c r="J53" s="2603"/>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25">
      <c r="A54" s="1742" t="s">
        <v>1691</v>
      </c>
      <c r="B54" s="77"/>
      <c r="C54" s="2604">
        <v>30</v>
      </c>
      <c r="D54" s="2618"/>
      <c r="E54" s="2603"/>
      <c r="F54" s="2603"/>
      <c r="G54" s="2603"/>
      <c r="H54" s="2603"/>
      <c r="I54" s="2603"/>
      <c r="J54" s="2603"/>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25">
      <c r="A55" s="1742" t="s">
        <v>1692</v>
      </c>
      <c r="B55" s="77"/>
      <c r="C55" s="2604">
        <v>24</v>
      </c>
      <c r="D55" s="2618"/>
      <c r="E55" s="2603"/>
      <c r="F55" s="2603"/>
      <c r="G55" s="2603"/>
      <c r="H55" s="2603"/>
      <c r="I55" s="2603"/>
      <c r="J55" s="2603"/>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25">
      <c r="A56" s="1742" t="s">
        <v>1693</v>
      </c>
      <c r="B56" s="77"/>
      <c r="C56" s="2604">
        <v>18</v>
      </c>
      <c r="D56" s="2618"/>
      <c r="E56" s="2603"/>
      <c r="F56" s="2603"/>
      <c r="G56" s="2603"/>
      <c r="H56" s="2603"/>
      <c r="I56" s="2603"/>
      <c r="J56" s="2603"/>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25">
      <c r="A57" s="1742" t="s">
        <v>1694</v>
      </c>
      <c r="B57" s="77"/>
      <c r="C57" s="2604">
        <v>12</v>
      </c>
      <c r="D57" s="2618"/>
      <c r="E57" s="2603"/>
      <c r="F57" s="2603"/>
      <c r="G57" s="2603"/>
      <c r="H57" s="2603"/>
      <c r="I57" s="2603"/>
      <c r="J57" s="2603"/>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25">
      <c r="A58" s="1742" t="s">
        <v>1695</v>
      </c>
      <c r="B58" s="77"/>
      <c r="C58" s="2604">
        <v>3</v>
      </c>
      <c r="D58" s="2618"/>
      <c r="E58" s="2603"/>
      <c r="F58" s="2603"/>
      <c r="G58" s="2603"/>
      <c r="H58" s="2603"/>
      <c r="I58" s="2603"/>
      <c r="J58" s="2603"/>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25">
      <c r="A59" s="1742" t="s">
        <v>1696</v>
      </c>
      <c r="B59" s="77"/>
      <c r="C59" s="2604">
        <v>1.5</v>
      </c>
      <c r="D59" s="2618"/>
      <c r="E59" s="2603"/>
      <c r="F59" s="2603"/>
      <c r="G59" s="2603"/>
      <c r="H59" s="2603"/>
      <c r="I59" s="2603"/>
      <c r="J59" s="2603"/>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25">
      <c r="A60" s="1742" t="s">
        <v>1697</v>
      </c>
      <c r="B60" s="77"/>
      <c r="C60" s="2603"/>
      <c r="D60" s="2618"/>
      <c r="E60" s="2603"/>
      <c r="F60" s="2603"/>
      <c r="G60" s="2603"/>
      <c r="H60" s="2603"/>
      <c r="I60" s="2603"/>
      <c r="J60" s="2603"/>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25">
      <c r="A61" s="1742" t="s">
        <v>1698</v>
      </c>
      <c r="B61" s="77"/>
      <c r="C61" s="2603"/>
      <c r="D61" s="2618"/>
      <c r="E61" s="2603"/>
      <c r="F61" s="2603"/>
      <c r="G61" s="2603"/>
      <c r="H61" s="2603"/>
      <c r="I61" s="2603"/>
      <c r="J61" s="2603"/>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25">
      <c r="A62" s="1742" t="s">
        <v>1699</v>
      </c>
      <c r="B62" s="77"/>
      <c r="C62" s="2603"/>
      <c r="D62" s="2618"/>
      <c r="E62" s="2603"/>
      <c r="F62" s="2603"/>
      <c r="G62" s="2603"/>
      <c r="H62" s="2603"/>
      <c r="I62" s="2603"/>
      <c r="J62" s="2603"/>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743" t="s">
        <v>1700</v>
      </c>
      <c r="B63" s="123"/>
      <c r="C63" s="2603"/>
      <c r="D63" s="2618"/>
      <c r="E63" s="2603"/>
      <c r="F63" s="2603"/>
      <c r="G63" s="2603"/>
      <c r="H63" s="2603"/>
      <c r="I63" s="2603"/>
      <c r="J63" s="2603"/>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6"/>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6"/>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6"/>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6"/>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6"/>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40" customWidth="1"/>
    <col min="9" max="9" width="16.75" style="2440" customWidth="1"/>
    <col min="10" max="10" width="2.625" style="2440" customWidth="1"/>
    <col min="11" max="11" width="11.875" style="2440" customWidth="1"/>
    <col min="12" max="12" width="16.75" style="2440" customWidth="1"/>
    <col min="13" max="13" width="2.625" style="2440" customWidth="1"/>
    <col min="14" max="14" width="11.875" style="2440" customWidth="1"/>
    <col min="15" max="15" width="16.75" style="2440" customWidth="1"/>
    <col min="16" max="16" width="2.625" style="2440" customWidth="1"/>
    <col min="17" max="17" width="11.875" style="2440" customWidth="1"/>
    <col min="18" max="18" width="16.75" style="835" customWidth="1"/>
    <col min="19" max="29" width="9" style="835"/>
    <col min="30" max="16384" width="9" style="1652"/>
  </cols>
  <sheetData>
    <row r="1" spans="1:29" s="2424" customFormat="1" ht="18.75" thickBot="1">
      <c r="A1" s="3116" t="s">
        <v>2783</v>
      </c>
      <c r="B1" s="3117"/>
      <c r="C1" s="3117"/>
      <c r="D1" s="3117"/>
      <c r="E1" s="3117"/>
      <c r="F1" s="3117"/>
      <c r="G1" s="3117"/>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5" thickBot="1">
      <c r="A2" s="2425"/>
      <c r="B2" s="2426"/>
      <c r="C2" s="2427" t="s">
        <v>2778</v>
      </c>
      <c r="D2" s="1725"/>
      <c r="E2" s="2425"/>
      <c r="F2" s="2428"/>
      <c r="G2" s="2427" t="s">
        <v>2779</v>
      </c>
      <c r="H2" s="835"/>
      <c r="I2" s="835"/>
      <c r="J2" s="835"/>
      <c r="K2" s="835"/>
      <c r="L2" s="835"/>
      <c r="M2" s="835"/>
      <c r="N2" s="835"/>
      <c r="O2" s="835"/>
      <c r="P2" s="835"/>
      <c r="Q2" s="835"/>
    </row>
    <row r="3" spans="1:29" ht="48">
      <c r="A3" s="2412" t="s">
        <v>2780</v>
      </c>
      <c r="B3" s="2429" t="s">
        <v>2752</v>
      </c>
      <c r="C3" s="2430" t="s">
        <v>2781</v>
      </c>
      <c r="D3" s="2431"/>
      <c r="E3" s="2413" t="s">
        <v>2780</v>
      </c>
      <c r="F3" s="2432" t="s">
        <v>2753</v>
      </c>
      <c r="G3" s="2433" t="s">
        <v>2782</v>
      </c>
      <c r="H3" s="835"/>
      <c r="I3" s="835"/>
      <c r="J3" s="835"/>
      <c r="K3" s="835"/>
      <c r="L3" s="835"/>
      <c r="M3" s="835"/>
      <c r="N3" s="835"/>
      <c r="O3" s="835"/>
      <c r="P3" s="835"/>
      <c r="Q3" s="835"/>
    </row>
    <row r="4" spans="1:29" ht="72">
      <c r="A4" s="2413"/>
      <c r="B4" s="321" t="s">
        <v>2754</v>
      </c>
      <c r="C4" s="2962" t="s">
        <v>3189</v>
      </c>
      <c r="D4" s="2431"/>
      <c r="E4" s="2434"/>
      <c r="F4" s="1410" t="s">
        <v>2755</v>
      </c>
      <c r="G4" s="2435" t="s">
        <v>2756</v>
      </c>
      <c r="H4" s="835"/>
      <c r="I4" s="835"/>
      <c r="J4" s="835"/>
      <c r="K4" s="835"/>
      <c r="L4" s="835"/>
      <c r="M4" s="835"/>
      <c r="N4" s="835"/>
      <c r="O4" s="835"/>
      <c r="P4" s="835"/>
      <c r="Q4" s="835"/>
    </row>
    <row r="5" spans="1:29" ht="60">
      <c r="A5" s="2413"/>
      <c r="B5" s="321" t="s">
        <v>2757</v>
      </c>
      <c r="C5" s="2962" t="s">
        <v>3190</v>
      </c>
      <c r="D5" s="2431"/>
      <c r="E5" s="2434"/>
      <c r="F5" s="321" t="s">
        <v>2758</v>
      </c>
      <c r="G5" s="2435" t="s">
        <v>2759</v>
      </c>
      <c r="H5" s="835"/>
      <c r="I5" s="835"/>
      <c r="J5" s="835"/>
      <c r="K5" s="835"/>
      <c r="L5" s="835"/>
      <c r="M5" s="835"/>
      <c r="N5" s="835"/>
      <c r="O5" s="835"/>
      <c r="P5" s="835"/>
      <c r="Q5" s="835"/>
    </row>
    <row r="6" spans="1:29" ht="84">
      <c r="A6" s="2413"/>
      <c r="B6" s="321" t="s">
        <v>2760</v>
      </c>
      <c r="C6" s="2963" t="s">
        <v>3223</v>
      </c>
      <c r="D6" s="2431"/>
      <c r="E6" s="2434"/>
      <c r="F6" s="321" t="s">
        <v>2761</v>
      </c>
      <c r="G6" s="2435" t="s">
        <v>2762</v>
      </c>
      <c r="H6" s="835"/>
      <c r="I6" s="835"/>
      <c r="J6" s="835"/>
      <c r="K6" s="835"/>
      <c r="L6" s="835"/>
      <c r="M6" s="835"/>
      <c r="N6" s="835"/>
      <c r="O6" s="835"/>
      <c r="P6" s="835"/>
      <c r="Q6" s="835"/>
    </row>
    <row r="7" spans="1:29" ht="24.75" thickBot="1">
      <c r="A7" s="2413"/>
      <c r="B7" s="321" t="s">
        <v>2758</v>
      </c>
      <c r="C7" s="2963" t="s">
        <v>3196</v>
      </c>
      <c r="D7" s="2410"/>
      <c r="E7" s="2436"/>
      <c r="F7" s="2437" t="s">
        <v>2763</v>
      </c>
      <c r="G7" s="2438" t="s">
        <v>2764</v>
      </c>
      <c r="H7" s="835"/>
      <c r="I7" s="835"/>
      <c r="J7" s="835"/>
      <c r="K7" s="835"/>
      <c r="L7" s="835"/>
      <c r="M7" s="835"/>
      <c r="N7" s="835"/>
      <c r="O7" s="835"/>
      <c r="P7" s="835"/>
      <c r="Q7" s="835"/>
    </row>
    <row r="8" spans="1:29" ht="24">
      <c r="A8" s="2413"/>
      <c r="B8" s="321" t="s">
        <v>2761</v>
      </c>
      <c r="C8" s="2963" t="s">
        <v>3191</v>
      </c>
      <c r="D8" s="2410"/>
      <c r="E8" s="2410"/>
      <c r="F8" s="126"/>
      <c r="G8" s="126"/>
      <c r="H8" s="835"/>
      <c r="I8" s="835"/>
      <c r="J8" s="835"/>
      <c r="K8" s="835"/>
      <c r="L8" s="835"/>
      <c r="M8" s="835"/>
      <c r="N8" s="835"/>
      <c r="O8" s="835"/>
      <c r="P8" s="835"/>
      <c r="Q8" s="835"/>
    </row>
    <row r="9" spans="1:29" ht="48">
      <c r="A9" s="2413"/>
      <c r="B9" s="321" t="s">
        <v>2765</v>
      </c>
      <c r="C9" s="2962" t="s">
        <v>3292</v>
      </c>
      <c r="D9" s="2431"/>
      <c r="E9" s="2410"/>
      <c r="F9" s="126"/>
      <c r="G9" s="126"/>
      <c r="H9" s="835"/>
      <c r="I9" s="835"/>
      <c r="J9" s="835"/>
      <c r="K9" s="835"/>
      <c r="L9" s="835"/>
      <c r="M9" s="835"/>
      <c r="N9" s="835"/>
      <c r="O9" s="835"/>
      <c r="P9" s="835"/>
      <c r="Q9" s="835"/>
    </row>
    <row r="10" spans="1:29" ht="15" thickBot="1">
      <c r="A10" s="2414"/>
      <c r="B10" s="2439" t="s">
        <v>2766</v>
      </c>
      <c r="C10" s="2964" t="s">
        <v>3192</v>
      </c>
      <c r="D10" s="2431"/>
      <c r="E10" s="2431"/>
      <c r="F10" s="126"/>
      <c r="G10" s="126"/>
      <c r="J10" s="2441"/>
      <c r="M10" s="2441"/>
      <c r="P10" s="2441"/>
      <c r="R10" s="2440"/>
    </row>
    <row r="11" spans="1:29">
      <c r="A11" s="2442"/>
      <c r="B11" s="2410"/>
      <c r="C11" s="2431"/>
      <c r="D11" s="2431"/>
      <c r="E11" s="2431"/>
      <c r="F11" s="2410"/>
      <c r="G11" s="2410"/>
      <c r="J11" s="2441"/>
      <c r="M11" s="2441"/>
      <c r="P11" s="2441"/>
      <c r="R11" s="2440"/>
    </row>
    <row r="12" spans="1:29" s="2424" customFormat="1" ht="18">
      <c r="A12" s="2442"/>
      <c r="B12" s="2410"/>
      <c r="C12" s="2431"/>
      <c r="D12" s="2443"/>
      <c r="E12" s="2431"/>
      <c r="F12" s="2410"/>
      <c r="G12" s="2410"/>
      <c r="H12" s="2444"/>
      <c r="I12" s="2444"/>
      <c r="J12" s="2444"/>
      <c r="K12" s="2444"/>
      <c r="L12" s="2445"/>
      <c r="M12" s="2444"/>
      <c r="N12" s="2446"/>
      <c r="O12" s="2446"/>
      <c r="P12" s="2446"/>
      <c r="Q12" s="2446"/>
      <c r="R12" s="2423"/>
      <c r="S12" s="2423"/>
      <c r="T12" s="2423"/>
      <c r="U12" s="2423"/>
      <c r="V12" s="2423"/>
      <c r="W12" s="2423"/>
      <c r="X12" s="2423"/>
      <c r="Y12" s="2423"/>
      <c r="Z12" s="2423"/>
      <c r="AA12" s="2423"/>
      <c r="AB12" s="2423"/>
      <c r="AC12" s="2423"/>
    </row>
    <row r="13" spans="1:29" ht="15.75" thickBot="1">
      <c r="A13" s="2447" t="s">
        <v>2784</v>
      </c>
      <c r="B13" s="2443"/>
      <c r="C13" s="2443"/>
      <c r="D13" s="2442"/>
      <c r="E13" s="2443"/>
      <c r="F13" s="2443"/>
      <c r="G13" s="2443"/>
    </row>
    <row r="14" spans="1:29" ht="15" thickBot="1">
      <c r="A14" s="2448"/>
      <c r="B14" s="2448"/>
      <c r="C14" s="2449" t="s">
        <v>2767</v>
      </c>
      <c r="D14" s="2431"/>
      <c r="E14" s="2450"/>
      <c r="F14" s="2450"/>
      <c r="G14" s="2427" t="s">
        <v>2768</v>
      </c>
    </row>
    <row r="15" spans="1:29" ht="51">
      <c r="A15" s="2415" t="s">
        <v>2769</v>
      </c>
      <c r="B15" s="2451" t="s">
        <v>2752</v>
      </c>
      <c r="C15" s="2452" t="str">
        <f>C3</f>
        <v>估价对象周边居住用地比例、居住小区规模和社区发展完善程度，综合评价居住社区成熟度一般</v>
      </c>
      <c r="D15" s="2431"/>
      <c r="E15" s="2416" t="s">
        <v>2770</v>
      </c>
      <c r="F15" s="2451" t="s">
        <v>2771</v>
      </c>
      <c r="G15" s="2453" t="str">
        <f>G3</f>
        <v>估价对象位于XX开发区，园区建设成熟度XX，产业集聚程度XX</v>
      </c>
    </row>
    <row r="16" spans="1:29" ht="76.5">
      <c r="A16" s="2417"/>
      <c r="B16" s="2454" t="s">
        <v>2754</v>
      </c>
      <c r="C16" s="2455" t="str">
        <f>C4</f>
        <v>估价对象位于西直门商圈，周边有嘉茂购物中心、智地钻河中心、华远企业中心、阳光大厦、京煤大厦等商业项目，商业氛围较成熟，人流量较大，商业繁华度较好</v>
      </c>
      <c r="D16" s="2431"/>
      <c r="E16" s="2418"/>
      <c r="F16" s="2456" t="s">
        <v>2755</v>
      </c>
      <c r="G16" s="2457" t="str">
        <f>G4</f>
        <v>估价对象周边道路状况、公共交通通达情况、停车便捷程度，综合评价交通便捷度较好</v>
      </c>
    </row>
    <row r="17" spans="1:17" ht="63.75">
      <c r="A17" s="2417"/>
      <c r="B17" s="2454" t="s">
        <v>2757</v>
      </c>
      <c r="C17" s="2455" t="str">
        <f>C5</f>
        <v>估价对象位于西直门商圈，周边有智地钻河中心、华远企业中心、阳光大厦、京煤大厦等写字楼，项目较多，入驻率较高，办公集聚程度较好</v>
      </c>
      <c r="D17" s="2410"/>
      <c r="E17" s="2418"/>
      <c r="F17" s="2456" t="s">
        <v>2772</v>
      </c>
      <c r="G17" s="2458"/>
    </row>
    <row r="18" spans="1:17" ht="89.25">
      <c r="A18" s="2417"/>
      <c r="B18" s="2456" t="s">
        <v>2760</v>
      </c>
      <c r="C18" s="2457" t="str">
        <f>C6</f>
        <v>估价对象周边有16路、26路、305路、603路、夜14路、快速直达专线35路等多条公交线路，距地铁2、4、13号线换乘站（西直门站）及京张城际铁路（北京北站）约1.2公里，综合评价交通便捷度较好</v>
      </c>
      <c r="D18" s="2410"/>
      <c r="E18" s="2418"/>
      <c r="F18" s="2456" t="s">
        <v>2763</v>
      </c>
      <c r="G18" s="2457" t="str">
        <f>G7</f>
        <v>该园区内是否有污染型企业，绿化情况，卫生条件，整体环境状况判断</v>
      </c>
    </row>
    <row r="19" spans="1:17" ht="25.5">
      <c r="A19" s="2417"/>
      <c r="B19" s="2456" t="s">
        <v>2773</v>
      </c>
      <c r="C19" s="2458"/>
      <c r="D19" s="2431"/>
      <c r="E19" s="2418"/>
      <c r="F19" s="321" t="s">
        <v>2758</v>
      </c>
      <c r="G19" s="2457" t="str">
        <f>G5</f>
        <v>估价对象所在区域公共配套设施齐备情况</v>
      </c>
    </row>
    <row r="20" spans="1:17" ht="51">
      <c r="A20" s="2417"/>
      <c r="B20" s="2456" t="s">
        <v>2774</v>
      </c>
      <c r="C20" s="2455" t="str">
        <f>C9</f>
        <v>区域自然环境：南长河、北护城河等；人文环境：北京动物园、北京海洋馆、北京展览馆、北京天文馆等；综合评价环境状况好</v>
      </c>
      <c r="D20" s="2410"/>
      <c r="E20" s="2418"/>
      <c r="F20" s="321" t="s">
        <v>2761</v>
      </c>
      <c r="G20" s="2457" t="str">
        <f>G6</f>
        <v>估价对象所在区域基础设施水平</v>
      </c>
    </row>
    <row r="21" spans="1:17" ht="25.5">
      <c r="A21" s="2417"/>
      <c r="B21" s="321" t="s">
        <v>2758</v>
      </c>
      <c r="C21" s="2457" t="str">
        <f>C7</f>
        <v>估价对象所在区域公共配套设施齐备</v>
      </c>
      <c r="D21" s="2431"/>
      <c r="E21" s="2418"/>
      <c r="F21" s="2456" t="s">
        <v>2775</v>
      </c>
      <c r="G21" s="2459"/>
    </row>
    <row r="22" spans="1:17" ht="13.5" customHeight="1">
      <c r="A22" s="2417"/>
      <c r="B22" s="321" t="s">
        <v>2761</v>
      </c>
      <c r="C22" s="2457" t="str">
        <f>C8</f>
        <v>估价对象所在区域基础设施水平达七通</v>
      </c>
      <c r="D22" s="2431"/>
      <c r="E22" s="2418"/>
      <c r="F22" s="2456" t="s">
        <v>2766</v>
      </c>
      <c r="G22" s="2458"/>
    </row>
    <row r="23" spans="1:17" s="835" customFormat="1" ht="15" thickBot="1">
      <c r="A23" s="2417"/>
      <c r="B23" s="2456" t="s">
        <v>2775</v>
      </c>
      <c r="C23" s="2459"/>
      <c r="D23" s="1744"/>
      <c r="E23" s="2419"/>
      <c r="F23" s="2460" t="s">
        <v>2776</v>
      </c>
      <c r="G23" s="2461"/>
      <c r="H23" s="2440"/>
      <c r="I23" s="2440"/>
      <c r="J23" s="2440"/>
      <c r="K23" s="2440"/>
      <c r="L23" s="2440"/>
      <c r="M23" s="2440"/>
      <c r="N23" s="2440"/>
      <c r="O23" s="2440"/>
      <c r="P23" s="2440"/>
      <c r="Q23" s="2440"/>
    </row>
    <row r="24" spans="1:17" s="835" customFormat="1" ht="15" thickBot="1">
      <c r="A24" s="2420"/>
      <c r="B24" s="2460" t="s">
        <v>2777</v>
      </c>
      <c r="C24" s="2462" t="str">
        <f>C10</f>
        <v>城市次干道——高梁桥斜街</v>
      </c>
      <c r="D24" s="1744"/>
      <c r="E24" s="2410"/>
      <c r="F24" s="2410"/>
      <c r="G24" s="2410"/>
      <c r="H24" s="2440"/>
      <c r="I24" s="2440"/>
      <c r="J24" s="2440"/>
      <c r="K24" s="2440"/>
      <c r="L24" s="2440"/>
      <c r="M24" s="2440"/>
      <c r="N24" s="2440"/>
      <c r="O24" s="2440"/>
      <c r="P24" s="2440"/>
      <c r="Q24" s="2440"/>
    </row>
    <row r="25" spans="1:17" s="835" customFormat="1">
      <c r="B25" s="2440"/>
      <c r="C25" s="2440"/>
      <c r="D25" s="2440"/>
      <c r="H25" s="2440"/>
      <c r="I25" s="2440"/>
      <c r="J25" s="2440"/>
      <c r="K25" s="2440"/>
      <c r="L25" s="2440"/>
      <c r="M25" s="2440"/>
      <c r="N25" s="2440"/>
      <c r="O25" s="2440"/>
      <c r="P25" s="2440"/>
      <c r="Q25" s="2440"/>
    </row>
    <row r="26" spans="1:17" s="835" customFormat="1">
      <c r="B26" s="2440"/>
      <c r="C26" s="2440"/>
      <c r="D26" s="2440"/>
      <c r="H26" s="2440"/>
      <c r="I26" s="2440"/>
      <c r="J26" s="2440"/>
      <c r="K26" s="2440"/>
      <c r="L26" s="2440"/>
      <c r="M26" s="2440"/>
      <c r="N26" s="2440"/>
      <c r="O26" s="2440"/>
      <c r="P26" s="2440"/>
      <c r="Q26" s="2440"/>
    </row>
    <row r="27" spans="1:17" s="835" customFormat="1">
      <c r="B27" s="2440"/>
      <c r="C27" s="2440"/>
      <c r="D27" s="2440"/>
      <c r="H27" s="2440"/>
      <c r="I27" s="2440"/>
      <c r="J27" s="2440"/>
      <c r="K27" s="2440"/>
      <c r="L27" s="2440"/>
      <c r="M27" s="2440"/>
      <c r="N27" s="2440"/>
      <c r="O27" s="2440"/>
      <c r="P27" s="2440"/>
      <c r="Q27" s="2440"/>
    </row>
    <row r="28" spans="1:17" s="835" customFormat="1">
      <c r="B28" s="2440"/>
      <c r="C28" s="2440"/>
      <c r="D28" s="2440"/>
      <c r="H28" s="2440"/>
      <c r="I28" s="2440"/>
      <c r="J28" s="2440"/>
      <c r="K28" s="2440"/>
      <c r="L28" s="2440"/>
      <c r="M28" s="2440"/>
      <c r="N28" s="2440"/>
      <c r="O28" s="2440"/>
      <c r="P28" s="2440"/>
      <c r="Q28" s="2440"/>
    </row>
    <row r="29" spans="1:17" s="835" customFormat="1">
      <c r="B29" s="2440"/>
      <c r="C29" s="2440"/>
      <c r="D29" s="2440"/>
      <c r="H29" s="2440"/>
      <c r="I29" s="2440"/>
      <c r="J29" s="2440"/>
      <c r="K29" s="2440"/>
      <c r="L29" s="2440"/>
      <c r="M29" s="2440"/>
      <c r="N29" s="2440"/>
      <c r="O29" s="2440"/>
      <c r="P29" s="2440"/>
      <c r="Q29" s="2440"/>
    </row>
    <row r="30" spans="1:17" s="835" customFormat="1">
      <c r="B30" s="2440"/>
      <c r="C30" s="2440"/>
      <c r="D30" s="2440"/>
      <c r="H30" s="2440"/>
      <c r="I30" s="2440"/>
      <c r="J30" s="2440"/>
      <c r="K30" s="2440"/>
      <c r="L30" s="2440"/>
      <c r="M30" s="2440"/>
      <c r="N30" s="2440"/>
      <c r="O30" s="2440"/>
      <c r="P30" s="2440"/>
      <c r="Q30" s="2440"/>
    </row>
    <row r="31" spans="1:17" s="835" customFormat="1">
      <c r="B31" s="2440"/>
      <c r="C31" s="2440"/>
      <c r="D31" s="2440"/>
      <c r="H31" s="2440"/>
      <c r="I31" s="2440"/>
      <c r="J31" s="2440"/>
      <c r="K31" s="2440"/>
      <c r="L31" s="2440"/>
      <c r="M31" s="2440"/>
      <c r="N31" s="2440"/>
      <c r="O31" s="2440"/>
      <c r="P31" s="2440"/>
      <c r="Q31" s="2440"/>
    </row>
    <row r="32" spans="1:17" s="835" customFormat="1">
      <c r="B32" s="2440"/>
      <c r="C32" s="2440"/>
      <c r="D32" s="2440"/>
      <c r="H32" s="2440"/>
      <c r="I32" s="2440"/>
      <c r="J32" s="2440"/>
      <c r="K32" s="2440"/>
      <c r="L32" s="2440"/>
      <c r="M32" s="2440"/>
      <c r="N32" s="2440"/>
      <c r="O32" s="2440"/>
      <c r="P32" s="2440"/>
      <c r="Q32" s="2440"/>
    </row>
    <row r="33" spans="2:17" s="835" customFormat="1">
      <c r="B33" s="2440"/>
      <c r="C33" s="2440"/>
      <c r="D33" s="2440"/>
      <c r="H33" s="2440"/>
      <c r="I33" s="2440"/>
      <c r="J33" s="2440"/>
      <c r="K33" s="2440"/>
      <c r="L33" s="2440"/>
      <c r="M33" s="2440"/>
      <c r="N33" s="2440"/>
      <c r="O33" s="2440"/>
      <c r="P33" s="2440"/>
      <c r="Q33" s="2440"/>
    </row>
    <row r="34" spans="2:17" s="835" customFormat="1">
      <c r="B34" s="2440"/>
      <c r="C34" s="2440"/>
      <c r="D34" s="2440"/>
      <c r="H34" s="2440"/>
      <c r="I34" s="2440"/>
      <c r="J34" s="2440"/>
      <c r="K34" s="2440"/>
      <c r="L34" s="2440"/>
      <c r="M34" s="2440"/>
      <c r="N34" s="2440"/>
      <c r="O34" s="2440"/>
      <c r="P34" s="2440"/>
      <c r="Q34" s="2440"/>
    </row>
    <row r="35" spans="2:17" s="835" customFormat="1">
      <c r="B35" s="2440"/>
      <c r="C35" s="2440"/>
      <c r="D35" s="2440"/>
      <c r="H35" s="2440"/>
      <c r="I35" s="2440"/>
      <c r="J35" s="2440"/>
      <c r="K35" s="2440"/>
      <c r="L35" s="2440"/>
      <c r="M35" s="2440"/>
      <c r="N35" s="2440"/>
      <c r="O35" s="2440"/>
      <c r="P35" s="2440"/>
      <c r="Q35" s="2440"/>
    </row>
    <row r="36" spans="2:17" s="835" customFormat="1">
      <c r="B36" s="2440"/>
      <c r="C36" s="2440"/>
      <c r="D36" s="2440"/>
      <c r="H36" s="2440"/>
      <c r="I36" s="2440"/>
      <c r="J36" s="2440"/>
      <c r="K36" s="2440"/>
      <c r="L36" s="2440"/>
      <c r="M36" s="2440"/>
      <c r="N36" s="2440"/>
      <c r="O36" s="2440"/>
      <c r="P36" s="2440"/>
      <c r="Q36" s="2440"/>
    </row>
    <row r="37" spans="2:17" s="835" customFormat="1">
      <c r="B37" s="2440"/>
      <c r="C37" s="2440"/>
      <c r="D37" s="2440"/>
      <c r="H37" s="2440"/>
      <c r="I37" s="2440"/>
      <c r="J37" s="2440"/>
      <c r="K37" s="2440"/>
      <c r="L37" s="2440"/>
      <c r="M37" s="2440"/>
      <c r="N37" s="2440"/>
      <c r="O37" s="2440"/>
      <c r="P37" s="2440"/>
      <c r="Q37" s="2440"/>
    </row>
    <row r="38" spans="2:17" s="835" customFormat="1">
      <c r="B38" s="2440"/>
      <c r="C38" s="2440"/>
      <c r="D38" s="2440"/>
      <c r="E38" s="2440"/>
      <c r="F38" s="2440"/>
      <c r="G38" s="2440"/>
      <c r="H38" s="2440"/>
      <c r="I38" s="2440"/>
      <c r="J38" s="2440"/>
      <c r="K38" s="2440"/>
      <c r="L38" s="2440"/>
      <c r="M38" s="2440"/>
      <c r="N38" s="2440"/>
      <c r="O38" s="2440"/>
      <c r="P38" s="2440"/>
      <c r="Q38" s="2440"/>
    </row>
    <row r="39" spans="2:17" s="835" customFormat="1">
      <c r="B39" s="2440"/>
      <c r="C39" s="2440"/>
      <c r="D39" s="2440"/>
      <c r="E39" s="2440"/>
      <c r="F39" s="2440"/>
      <c r="G39" s="2440"/>
      <c r="H39" s="2440"/>
      <c r="I39" s="2440"/>
      <c r="J39" s="2440"/>
      <c r="K39" s="2440"/>
      <c r="L39" s="2440"/>
      <c r="M39" s="2440"/>
      <c r="N39" s="2440"/>
      <c r="O39" s="2440"/>
      <c r="P39" s="2440"/>
      <c r="Q39" s="2440"/>
    </row>
    <row r="40" spans="2:17" s="835" customFormat="1">
      <c r="B40" s="2440"/>
      <c r="C40" s="2440"/>
      <c r="D40" s="2440"/>
      <c r="E40" s="2440"/>
      <c r="F40" s="2440"/>
      <c r="G40" s="2440"/>
      <c r="H40" s="2440"/>
      <c r="I40" s="2440"/>
      <c r="J40" s="2440"/>
      <c r="K40" s="2440"/>
      <c r="L40" s="2440"/>
      <c r="M40" s="2440"/>
      <c r="N40" s="2440"/>
      <c r="O40" s="2440"/>
      <c r="P40" s="2440"/>
      <c r="Q40" s="2440"/>
    </row>
    <row r="41" spans="2:17" s="835" customFormat="1">
      <c r="B41" s="2440"/>
      <c r="C41" s="2440"/>
      <c r="D41" s="2440"/>
      <c r="E41" s="2440"/>
      <c r="F41" s="2440"/>
      <c r="G41" s="2440"/>
      <c r="H41" s="2440"/>
      <c r="I41" s="2440"/>
      <c r="J41" s="2440"/>
      <c r="K41" s="2440"/>
      <c r="L41" s="2440"/>
      <c r="M41" s="2440"/>
      <c r="N41" s="2440"/>
      <c r="O41" s="2440"/>
      <c r="P41" s="2440"/>
      <c r="Q41" s="2440"/>
    </row>
    <row r="42" spans="2:17" s="835" customFormat="1">
      <c r="B42" s="2440"/>
      <c r="C42" s="2440"/>
      <c r="D42" s="2440"/>
      <c r="E42" s="2440"/>
      <c r="F42" s="2440"/>
      <c r="G42" s="2440"/>
      <c r="H42" s="2440"/>
      <c r="I42" s="2440"/>
      <c r="J42" s="2440"/>
      <c r="K42" s="2440"/>
      <c r="L42" s="2440"/>
      <c r="M42" s="2440"/>
      <c r="N42" s="2440"/>
      <c r="O42" s="2440"/>
      <c r="P42" s="2440"/>
      <c r="Q42" s="2440"/>
    </row>
    <row r="43" spans="2:17" s="835" customFormat="1">
      <c r="B43" s="2440"/>
      <c r="C43" s="2440"/>
      <c r="D43" s="2440"/>
      <c r="E43" s="2440"/>
      <c r="F43" s="2440"/>
      <c r="G43" s="2440"/>
      <c r="H43" s="2440"/>
      <c r="I43" s="2440"/>
      <c r="J43" s="2440"/>
      <c r="K43" s="2440"/>
      <c r="L43" s="2440"/>
      <c r="M43" s="2440"/>
      <c r="N43" s="2440"/>
      <c r="O43" s="2440"/>
      <c r="P43" s="2440"/>
      <c r="Q43" s="2440"/>
    </row>
    <row r="44" spans="2:17" s="835" customFormat="1">
      <c r="B44" s="2440"/>
      <c r="C44" s="2440"/>
      <c r="D44" s="2440"/>
      <c r="E44" s="2440"/>
      <c r="F44" s="2440"/>
      <c r="G44" s="2440"/>
      <c r="H44" s="2440"/>
      <c r="I44" s="2440"/>
      <c r="J44" s="2440"/>
      <c r="K44" s="2440"/>
      <c r="L44" s="2440"/>
      <c r="M44" s="2440"/>
      <c r="N44" s="2440"/>
      <c r="O44" s="2440"/>
      <c r="P44" s="2440"/>
      <c r="Q44" s="2440"/>
    </row>
    <row r="45" spans="2:17" s="835" customFormat="1">
      <c r="B45" s="2440"/>
      <c r="C45" s="2440"/>
      <c r="D45" s="2440"/>
      <c r="E45" s="2440"/>
      <c r="F45" s="2440"/>
      <c r="G45" s="2440"/>
      <c r="H45" s="2440"/>
      <c r="I45" s="2440"/>
      <c r="J45" s="2440"/>
      <c r="K45" s="2440"/>
      <c r="L45" s="2440"/>
      <c r="M45" s="2440"/>
      <c r="N45" s="2440"/>
      <c r="O45" s="2440"/>
      <c r="P45" s="2440"/>
      <c r="Q45" s="2440"/>
    </row>
    <row r="46" spans="2:17" s="835" customFormat="1">
      <c r="B46" s="2440"/>
      <c r="C46" s="2440"/>
      <c r="D46" s="2440"/>
      <c r="E46" s="2440"/>
      <c r="F46" s="2440"/>
      <c r="G46" s="2440"/>
      <c r="H46" s="2440"/>
      <c r="I46" s="2440"/>
      <c r="J46" s="2440"/>
      <c r="K46" s="2440"/>
      <c r="L46" s="2440"/>
      <c r="M46" s="2440"/>
      <c r="N46" s="2440"/>
      <c r="O46" s="2440"/>
      <c r="P46" s="2440"/>
      <c r="Q46" s="2440"/>
    </row>
    <row r="47" spans="2:17" s="835" customFormat="1">
      <c r="B47" s="2440"/>
      <c r="C47" s="2440"/>
      <c r="D47" s="2440"/>
      <c r="E47" s="2440"/>
      <c r="F47" s="2440"/>
      <c r="G47" s="2440"/>
      <c r="H47" s="2440"/>
      <c r="I47" s="2440"/>
      <c r="J47" s="2440"/>
      <c r="K47" s="2440"/>
      <c r="L47" s="2440"/>
      <c r="M47" s="2440"/>
      <c r="N47" s="2440"/>
      <c r="O47" s="2440"/>
      <c r="P47" s="2440"/>
      <c r="Q47" s="2440"/>
    </row>
    <row r="48" spans="2:17" s="835" customFormat="1">
      <c r="B48" s="2440"/>
      <c r="C48" s="2440"/>
      <c r="D48" s="2440"/>
      <c r="E48" s="2440"/>
      <c r="F48" s="2440"/>
      <c r="G48" s="2440"/>
      <c r="H48" s="2440"/>
      <c r="I48" s="2440"/>
      <c r="J48" s="2440"/>
      <c r="K48" s="2440"/>
      <c r="L48" s="2440"/>
      <c r="M48" s="2440"/>
      <c r="N48" s="2440"/>
      <c r="O48" s="2440"/>
      <c r="P48" s="2440"/>
      <c r="Q48" s="2440"/>
    </row>
    <row r="49" spans="2:17" s="835" customFormat="1">
      <c r="B49" s="2440"/>
      <c r="C49" s="2440"/>
      <c r="D49" s="2440"/>
      <c r="E49" s="2440"/>
      <c r="F49" s="2440"/>
      <c r="G49" s="2440"/>
      <c r="H49" s="2440"/>
      <c r="I49" s="2440"/>
      <c r="J49" s="2440"/>
      <c r="K49" s="2440"/>
      <c r="L49" s="2440"/>
      <c r="M49" s="2440"/>
      <c r="N49" s="2440"/>
      <c r="O49" s="2440"/>
      <c r="P49" s="2440"/>
      <c r="Q49" s="2440"/>
    </row>
    <row r="50" spans="2:17" s="835" customFormat="1">
      <c r="B50" s="2440"/>
      <c r="C50" s="2440"/>
      <c r="D50" s="2440"/>
      <c r="E50" s="2440"/>
      <c r="F50" s="2440"/>
      <c r="G50" s="2440"/>
      <c r="H50" s="2440"/>
      <c r="I50" s="2440"/>
      <c r="J50" s="2440"/>
      <c r="K50" s="2440"/>
      <c r="L50" s="2440"/>
      <c r="M50" s="2440"/>
      <c r="N50" s="2440"/>
      <c r="O50" s="2440"/>
      <c r="P50" s="2440"/>
      <c r="Q50" s="2440"/>
    </row>
    <row r="51" spans="2:17" s="835" customFormat="1">
      <c r="B51" s="2440"/>
      <c r="C51" s="2440"/>
      <c r="D51" s="2440"/>
      <c r="E51" s="2440"/>
      <c r="F51" s="2440"/>
      <c r="G51" s="2440"/>
      <c r="H51" s="2440"/>
      <c r="I51" s="2440"/>
      <c r="J51" s="2440"/>
      <c r="K51" s="2440"/>
      <c r="L51" s="2440"/>
      <c r="M51" s="2440"/>
      <c r="N51" s="2440"/>
      <c r="O51" s="2440"/>
      <c r="P51" s="2440"/>
      <c r="Q51" s="2440"/>
    </row>
    <row r="52" spans="2:17" s="835" customFormat="1">
      <c r="B52" s="2440"/>
      <c r="C52" s="2440"/>
      <c r="D52" s="2440"/>
      <c r="E52" s="2440"/>
      <c r="F52" s="2440"/>
      <c r="G52" s="2440"/>
      <c r="H52" s="2440"/>
      <c r="I52" s="2440"/>
      <c r="J52" s="2440"/>
      <c r="K52" s="2440"/>
      <c r="L52" s="2440"/>
      <c r="M52" s="2440"/>
      <c r="N52" s="2440"/>
      <c r="O52" s="2440"/>
      <c r="P52" s="2440"/>
      <c r="Q52" s="2440"/>
    </row>
    <row r="53" spans="2:17" s="835" customFormat="1">
      <c r="B53" s="2440"/>
      <c r="C53" s="2440"/>
      <c r="D53" s="2440"/>
      <c r="E53" s="2440"/>
      <c r="F53" s="2440"/>
      <c r="G53" s="2440"/>
      <c r="H53" s="2440"/>
      <c r="I53" s="2440"/>
      <c r="J53" s="2440"/>
      <c r="K53" s="2440"/>
      <c r="L53" s="2440"/>
      <c r="M53" s="2440"/>
      <c r="N53" s="2440"/>
      <c r="O53" s="2440"/>
      <c r="P53" s="2440"/>
      <c r="Q53" s="2440"/>
    </row>
    <row r="54" spans="2:17" s="835" customFormat="1">
      <c r="B54" s="2440"/>
      <c r="C54" s="2440"/>
      <c r="D54" s="2440"/>
      <c r="E54" s="2440"/>
      <c r="F54" s="2440"/>
      <c r="G54" s="2440"/>
      <c r="H54" s="2440"/>
      <c r="I54" s="2440"/>
      <c r="J54" s="2440"/>
      <c r="K54" s="2440"/>
      <c r="L54" s="2440"/>
      <c r="M54" s="2440"/>
      <c r="N54" s="2440"/>
      <c r="O54" s="2440"/>
      <c r="P54" s="2440"/>
      <c r="Q54" s="2440"/>
    </row>
    <row r="55" spans="2:17" s="835" customFormat="1">
      <c r="B55" s="2440"/>
      <c r="C55" s="2440"/>
      <c r="D55" s="2440"/>
      <c r="E55" s="2440"/>
      <c r="F55" s="2440"/>
      <c r="G55" s="2440"/>
      <c r="H55" s="2440"/>
      <c r="I55" s="2440"/>
      <c r="J55" s="2440"/>
      <c r="K55" s="2440"/>
      <c r="L55" s="2440"/>
      <c r="M55" s="2440"/>
      <c r="N55" s="2440"/>
      <c r="O55" s="2440"/>
      <c r="P55" s="2440"/>
      <c r="Q55" s="2440"/>
    </row>
    <row r="56" spans="2:17" s="835" customFormat="1">
      <c r="B56" s="2440"/>
      <c r="C56" s="2440"/>
      <c r="D56" s="2440"/>
      <c r="E56" s="2440"/>
      <c r="F56" s="2440"/>
      <c r="G56" s="2440"/>
      <c r="H56" s="2440"/>
      <c r="I56" s="2440"/>
      <c r="J56" s="2440"/>
      <c r="K56" s="2440"/>
      <c r="L56" s="2440"/>
      <c r="M56" s="2440"/>
      <c r="N56" s="2440"/>
      <c r="O56" s="2440"/>
      <c r="P56" s="2440"/>
      <c r="Q56" s="2440"/>
    </row>
    <row r="57" spans="2:17" s="835" customFormat="1">
      <c r="B57" s="2440"/>
      <c r="C57" s="2440"/>
      <c r="D57" s="2440"/>
      <c r="E57" s="2440"/>
      <c r="F57" s="2440"/>
      <c r="G57" s="2440"/>
      <c r="H57" s="2440"/>
      <c r="I57" s="2440"/>
      <c r="J57" s="2440"/>
      <c r="K57" s="2440"/>
      <c r="L57" s="2440"/>
      <c r="M57" s="2440"/>
      <c r="N57" s="2440"/>
      <c r="O57" s="2440"/>
      <c r="P57" s="2440"/>
      <c r="Q57" s="2440"/>
    </row>
    <row r="58" spans="2:17" s="835" customFormat="1">
      <c r="B58" s="2440"/>
      <c r="C58" s="2440"/>
      <c r="D58" s="2440"/>
      <c r="E58" s="2440"/>
      <c r="F58" s="2440"/>
      <c r="G58" s="2440"/>
      <c r="H58" s="2440"/>
      <c r="I58" s="2440"/>
      <c r="J58" s="2440"/>
      <c r="K58" s="2440"/>
      <c r="L58" s="2440"/>
      <c r="M58" s="2440"/>
      <c r="N58" s="2440"/>
      <c r="O58" s="2440"/>
      <c r="P58" s="2440"/>
      <c r="Q58" s="2440"/>
    </row>
    <row r="59" spans="2:17" s="835" customFormat="1">
      <c r="B59" s="2440"/>
      <c r="C59" s="2440"/>
      <c r="D59" s="2440"/>
      <c r="E59" s="2440"/>
      <c r="F59" s="2440"/>
      <c r="G59" s="2440"/>
      <c r="H59" s="2440"/>
      <c r="I59" s="2440"/>
      <c r="J59" s="2440"/>
      <c r="K59" s="2440"/>
      <c r="L59" s="2440"/>
      <c r="M59" s="2440"/>
      <c r="N59" s="2440"/>
      <c r="O59" s="2440"/>
      <c r="P59" s="2440"/>
      <c r="Q59" s="2440"/>
    </row>
    <row r="60" spans="2:17" s="835" customFormat="1">
      <c r="B60" s="2440"/>
      <c r="C60" s="2440"/>
      <c r="D60" s="2440"/>
      <c r="E60" s="2440"/>
      <c r="F60" s="2440"/>
      <c r="G60" s="2440"/>
      <c r="H60" s="2440"/>
      <c r="I60" s="2440"/>
      <c r="J60" s="2440"/>
      <c r="K60" s="2440"/>
      <c r="L60" s="2440"/>
      <c r="M60" s="2440"/>
      <c r="N60" s="2440"/>
      <c r="O60" s="2440"/>
      <c r="P60" s="2440"/>
      <c r="Q60" s="2440"/>
    </row>
    <row r="61" spans="2:17" s="835" customFormat="1">
      <c r="B61" s="2440"/>
      <c r="C61" s="2440"/>
      <c r="D61" s="2440"/>
      <c r="E61" s="2440"/>
      <c r="F61" s="2440"/>
      <c r="G61" s="2440"/>
      <c r="H61" s="2440"/>
      <c r="I61" s="2440"/>
      <c r="J61" s="2440"/>
      <c r="K61" s="2440"/>
      <c r="L61" s="2440"/>
      <c r="M61" s="2440"/>
      <c r="N61" s="2440"/>
      <c r="O61" s="2440"/>
      <c r="P61" s="2440"/>
      <c r="Q61" s="2440"/>
    </row>
    <row r="62" spans="2:17" s="835" customFormat="1">
      <c r="B62" s="2440"/>
      <c r="C62" s="2440"/>
      <c r="D62" s="2440"/>
      <c r="E62" s="2440"/>
      <c r="F62" s="2440"/>
      <c r="G62" s="2440"/>
      <c r="H62" s="2440"/>
      <c r="I62" s="2440"/>
      <c r="J62" s="2440"/>
      <c r="K62" s="2440"/>
      <c r="L62" s="2440"/>
      <c r="M62" s="2440"/>
      <c r="N62" s="2440"/>
      <c r="O62" s="2440"/>
      <c r="P62" s="2440"/>
      <c r="Q62" s="2440"/>
    </row>
    <row r="63" spans="2:17" s="835" customFormat="1">
      <c r="B63" s="2440"/>
      <c r="C63" s="2440"/>
      <c r="D63" s="2440"/>
      <c r="E63" s="2440"/>
      <c r="F63" s="2440"/>
      <c r="G63" s="2440"/>
      <c r="H63" s="2440"/>
      <c r="I63" s="2440"/>
      <c r="J63" s="2440"/>
      <c r="K63" s="2440"/>
      <c r="L63" s="2440"/>
      <c r="M63" s="2440"/>
      <c r="N63" s="2440"/>
      <c r="O63" s="2440"/>
      <c r="P63" s="2440"/>
      <c r="Q63" s="2440"/>
    </row>
    <row r="64" spans="2:17" s="835" customFormat="1">
      <c r="B64" s="2440"/>
      <c r="C64" s="2440"/>
      <c r="D64" s="2440"/>
      <c r="E64" s="2440"/>
      <c r="F64" s="2440"/>
      <c r="G64" s="2440"/>
      <c r="H64" s="2440"/>
      <c r="I64" s="2440"/>
      <c r="J64" s="2440"/>
      <c r="K64" s="2440"/>
      <c r="L64" s="2440"/>
      <c r="M64" s="2440"/>
      <c r="N64" s="2440"/>
      <c r="O64" s="2440"/>
      <c r="P64" s="2440"/>
      <c r="Q64" s="2440"/>
    </row>
    <row r="65" spans="2:17" s="835" customFormat="1">
      <c r="B65" s="2440"/>
      <c r="C65" s="2440"/>
      <c r="D65" s="2440"/>
      <c r="E65" s="2440"/>
      <c r="F65" s="2440"/>
      <c r="G65" s="2440"/>
      <c r="H65" s="2440"/>
      <c r="I65" s="2440"/>
      <c r="J65" s="2440"/>
      <c r="K65" s="2440"/>
      <c r="L65" s="2440"/>
      <c r="M65" s="2440"/>
      <c r="N65" s="2440"/>
      <c r="O65" s="2440"/>
      <c r="P65" s="2440"/>
      <c r="Q65" s="2440"/>
    </row>
    <row r="66" spans="2:17" s="835" customFormat="1">
      <c r="B66" s="2440"/>
      <c r="C66" s="2440"/>
      <c r="D66" s="2440"/>
      <c r="E66" s="2440"/>
      <c r="F66" s="2440"/>
      <c r="G66" s="2440"/>
      <c r="H66" s="2440"/>
      <c r="I66" s="2440"/>
      <c r="J66" s="2440"/>
      <c r="K66" s="2440"/>
      <c r="L66" s="2440"/>
      <c r="M66" s="2440"/>
      <c r="N66" s="2440"/>
      <c r="O66" s="2440"/>
      <c r="P66" s="2440"/>
      <c r="Q66" s="2440"/>
    </row>
    <row r="67" spans="2:17" s="835" customFormat="1">
      <c r="B67" s="2440"/>
      <c r="C67" s="2440"/>
      <c r="D67" s="2440"/>
      <c r="E67" s="2440"/>
      <c r="F67" s="2440"/>
      <c r="G67" s="2440"/>
      <c r="H67" s="2440"/>
      <c r="I67" s="2440"/>
      <c r="J67" s="2440"/>
      <c r="K67" s="2440"/>
      <c r="L67" s="2440"/>
      <c r="M67" s="2440"/>
      <c r="N67" s="2440"/>
      <c r="O67" s="2440"/>
      <c r="P67" s="2440"/>
      <c r="Q67" s="2440"/>
    </row>
    <row r="68" spans="2:17" s="835" customFormat="1">
      <c r="B68" s="2440"/>
      <c r="C68" s="2440"/>
      <c r="D68" s="2440"/>
      <c r="E68" s="2440"/>
      <c r="F68" s="2440"/>
      <c r="G68" s="2440"/>
      <c r="H68" s="2440"/>
      <c r="I68" s="2440"/>
      <c r="J68" s="2440"/>
      <c r="K68" s="2440"/>
      <c r="L68" s="2440"/>
      <c r="M68" s="2440"/>
      <c r="N68" s="2440"/>
      <c r="O68" s="2440"/>
      <c r="P68" s="2440"/>
      <c r="Q68" s="2440"/>
    </row>
    <row r="69" spans="2:17" s="835" customFormat="1">
      <c r="B69" s="2440"/>
      <c r="C69" s="2440"/>
      <c r="D69" s="2440"/>
      <c r="E69" s="2440"/>
      <c r="F69" s="2440"/>
      <c r="G69" s="2440"/>
      <c r="H69" s="2440"/>
      <c r="I69" s="2440"/>
      <c r="J69" s="2440"/>
      <c r="K69" s="2440"/>
      <c r="L69" s="2440"/>
      <c r="M69" s="2440"/>
      <c r="N69" s="2440"/>
      <c r="O69" s="2440"/>
      <c r="P69" s="2440"/>
      <c r="Q69" s="2440"/>
    </row>
    <row r="70" spans="2:17" s="835" customFormat="1">
      <c r="B70" s="2440"/>
      <c r="C70" s="2440"/>
      <c r="D70" s="2440"/>
      <c r="E70" s="2440"/>
      <c r="F70" s="2440"/>
      <c r="G70" s="2440"/>
      <c r="H70" s="2440"/>
      <c r="I70" s="2440"/>
      <c r="J70" s="2440"/>
      <c r="K70" s="2440"/>
      <c r="L70" s="2440"/>
      <c r="M70" s="2440"/>
      <c r="N70" s="2440"/>
      <c r="O70" s="2440"/>
      <c r="P70" s="2440"/>
      <c r="Q70" s="2440"/>
    </row>
    <row r="71" spans="2:17" s="835" customFormat="1">
      <c r="B71" s="2440"/>
      <c r="C71" s="2440"/>
      <c r="D71" s="2440"/>
      <c r="E71" s="2440"/>
      <c r="F71" s="2440"/>
      <c r="G71" s="2440"/>
      <c r="H71" s="2440"/>
      <c r="I71" s="2440"/>
      <c r="J71" s="2440"/>
      <c r="K71" s="2440"/>
      <c r="L71" s="2440"/>
      <c r="M71" s="2440"/>
      <c r="N71" s="2440"/>
      <c r="O71" s="2440"/>
      <c r="P71" s="2440"/>
      <c r="Q71" s="2440"/>
    </row>
    <row r="72" spans="2:17" s="835" customFormat="1">
      <c r="B72" s="2440"/>
      <c r="C72" s="2440"/>
      <c r="D72" s="2440"/>
      <c r="E72" s="2440"/>
      <c r="F72" s="2440"/>
      <c r="G72" s="2440"/>
      <c r="H72" s="2440"/>
      <c r="I72" s="2440"/>
      <c r="J72" s="2440"/>
      <c r="K72" s="2440"/>
      <c r="L72" s="2440"/>
      <c r="M72" s="2440"/>
      <c r="N72" s="2440"/>
      <c r="O72" s="2440"/>
      <c r="P72" s="2440"/>
      <c r="Q72" s="2440"/>
    </row>
    <row r="73" spans="2:17" s="835" customFormat="1">
      <c r="B73" s="2440"/>
      <c r="C73" s="2440"/>
      <c r="D73" s="2440"/>
      <c r="E73" s="2440"/>
      <c r="F73" s="2440"/>
      <c r="G73" s="2440"/>
      <c r="H73" s="2440"/>
      <c r="I73" s="2440"/>
      <c r="J73" s="2440"/>
      <c r="K73" s="2440"/>
      <c r="L73" s="2440"/>
      <c r="M73" s="2440"/>
      <c r="N73" s="2440"/>
      <c r="O73" s="2440"/>
      <c r="P73" s="2440"/>
      <c r="Q73" s="2440"/>
    </row>
    <row r="74" spans="2:17" s="835" customFormat="1">
      <c r="B74" s="2440"/>
      <c r="C74" s="2440"/>
      <c r="D74" s="2440"/>
      <c r="E74" s="2440"/>
      <c r="F74" s="2440"/>
      <c r="G74" s="2440"/>
      <c r="H74" s="2440"/>
      <c r="I74" s="2440"/>
      <c r="J74" s="2440"/>
      <c r="K74" s="2440"/>
      <c r="L74" s="2440"/>
      <c r="M74" s="2440"/>
      <c r="N74" s="2440"/>
      <c r="O74" s="2440"/>
      <c r="P74" s="2440"/>
      <c r="Q74" s="2440"/>
    </row>
    <row r="75" spans="2:17" s="835" customFormat="1">
      <c r="B75" s="2440"/>
      <c r="C75" s="2440"/>
      <c r="D75" s="2440"/>
      <c r="E75" s="2440"/>
      <c r="F75" s="2440"/>
      <c r="G75" s="2440"/>
      <c r="H75" s="2440"/>
      <c r="I75" s="2440"/>
      <c r="J75" s="2440"/>
      <c r="K75" s="2440"/>
      <c r="L75" s="2440"/>
      <c r="M75" s="2440"/>
      <c r="N75" s="2440"/>
      <c r="O75" s="2440"/>
      <c r="P75" s="2440"/>
      <c r="Q75" s="2440"/>
    </row>
    <row r="76" spans="2:17" s="835" customFormat="1">
      <c r="B76" s="2440"/>
      <c r="C76" s="2440"/>
      <c r="D76" s="2440"/>
      <c r="E76" s="2440"/>
      <c r="F76" s="2440"/>
      <c r="G76" s="2440"/>
      <c r="H76" s="2440"/>
      <c r="I76" s="2440"/>
      <c r="J76" s="2440"/>
      <c r="K76" s="2440"/>
      <c r="L76" s="2440"/>
      <c r="M76" s="2440"/>
      <c r="N76" s="2440"/>
      <c r="O76" s="2440"/>
      <c r="P76" s="2440"/>
      <c r="Q76" s="2440"/>
    </row>
    <row r="77" spans="2:17" s="835" customFormat="1">
      <c r="B77" s="2440"/>
      <c r="C77" s="2440"/>
      <c r="D77" s="2440"/>
      <c r="E77" s="2440"/>
      <c r="F77" s="2440"/>
      <c r="G77" s="2440"/>
      <c r="H77" s="2440"/>
      <c r="I77" s="2440"/>
      <c r="J77" s="2440"/>
      <c r="K77" s="2440"/>
      <c r="L77" s="2440"/>
      <c r="M77" s="2440"/>
      <c r="N77" s="2440"/>
      <c r="O77" s="2440"/>
      <c r="P77" s="2440"/>
      <c r="Q77" s="2440"/>
    </row>
    <row r="78" spans="2:17" s="835" customFormat="1">
      <c r="B78" s="2440"/>
      <c r="C78" s="2440"/>
      <c r="D78" s="2440"/>
      <c r="E78" s="2440"/>
      <c r="F78" s="2440"/>
      <c r="G78" s="2440"/>
      <c r="H78" s="2440"/>
      <c r="I78" s="2440"/>
      <c r="J78" s="2440"/>
      <c r="K78" s="2440"/>
      <c r="L78" s="2440"/>
      <c r="M78" s="2440"/>
      <c r="N78" s="2440"/>
      <c r="O78" s="2440"/>
      <c r="P78" s="2440"/>
      <c r="Q78" s="2440"/>
    </row>
    <row r="79" spans="2:17" s="835" customFormat="1">
      <c r="B79" s="2440"/>
      <c r="C79" s="2440"/>
      <c r="D79" s="2440"/>
      <c r="E79" s="2440"/>
      <c r="F79" s="2440"/>
      <c r="G79" s="2440"/>
      <c r="H79" s="2440"/>
      <c r="I79" s="2440"/>
      <c r="J79" s="2440"/>
      <c r="K79" s="2440"/>
      <c r="L79" s="2440"/>
      <c r="M79" s="2440"/>
      <c r="N79" s="2440"/>
      <c r="O79" s="2440"/>
      <c r="P79" s="2440"/>
      <c r="Q79" s="2440"/>
    </row>
    <row r="80" spans="2:17" s="835" customFormat="1">
      <c r="B80" s="2440"/>
      <c r="C80" s="2440"/>
      <c r="D80" s="2440"/>
      <c r="E80" s="2440"/>
      <c r="F80" s="2440"/>
      <c r="G80" s="2440"/>
      <c r="H80" s="2440"/>
      <c r="I80" s="2440"/>
      <c r="J80" s="2440"/>
      <c r="K80" s="2440"/>
      <c r="L80" s="2440"/>
      <c r="M80" s="2440"/>
      <c r="N80" s="2440"/>
      <c r="O80" s="2440"/>
      <c r="P80" s="2440"/>
      <c r="Q80" s="2440"/>
    </row>
    <row r="81" spans="2:17" s="835" customFormat="1">
      <c r="B81" s="2440"/>
      <c r="C81" s="2440"/>
      <c r="D81" s="2440"/>
      <c r="E81" s="2440"/>
      <c r="F81" s="2440"/>
      <c r="G81" s="2440"/>
      <c r="H81" s="2440"/>
      <c r="I81" s="2440"/>
      <c r="J81" s="2440"/>
      <c r="K81" s="2440"/>
      <c r="L81" s="2440"/>
      <c r="M81" s="2440"/>
      <c r="N81" s="2440"/>
      <c r="O81" s="2440"/>
      <c r="P81" s="2440"/>
      <c r="Q81" s="2440"/>
    </row>
    <row r="82" spans="2:17" s="835" customFormat="1">
      <c r="B82" s="2440"/>
      <c r="C82" s="2440"/>
      <c r="D82" s="2440"/>
      <c r="E82" s="2440"/>
      <c r="F82" s="2440"/>
      <c r="G82" s="2440"/>
      <c r="H82" s="2440"/>
      <c r="I82" s="2440"/>
      <c r="J82" s="2440"/>
      <c r="K82" s="2440"/>
      <c r="L82" s="2440"/>
      <c r="M82" s="2440"/>
      <c r="N82" s="2440"/>
      <c r="O82" s="2440"/>
      <c r="P82" s="2440"/>
      <c r="Q82" s="2440"/>
    </row>
    <row r="83" spans="2:17" s="835" customFormat="1">
      <c r="B83" s="2440"/>
      <c r="C83" s="2440"/>
      <c r="D83" s="2440"/>
      <c r="E83" s="2440"/>
      <c r="F83" s="2440"/>
      <c r="G83" s="2440"/>
      <c r="H83" s="2440"/>
      <c r="I83" s="2440"/>
      <c r="J83" s="2440"/>
      <c r="K83" s="2440"/>
      <c r="L83" s="2440"/>
      <c r="M83" s="2440"/>
      <c r="N83" s="2440"/>
      <c r="O83" s="2440"/>
      <c r="P83" s="2440"/>
      <c r="Q83" s="2440"/>
    </row>
    <row r="84" spans="2:17" s="835" customFormat="1">
      <c r="B84" s="2440"/>
      <c r="C84" s="2440"/>
      <c r="D84" s="2440"/>
      <c r="E84" s="2440"/>
      <c r="F84" s="2440"/>
      <c r="G84" s="2440"/>
      <c r="H84" s="2440"/>
      <c r="I84" s="2440"/>
      <c r="J84" s="2440"/>
      <c r="K84" s="2440"/>
      <c r="L84" s="2440"/>
      <c r="M84" s="2440"/>
      <c r="N84" s="2440"/>
      <c r="O84" s="2440"/>
      <c r="P84" s="2440"/>
      <c r="Q84" s="2440"/>
    </row>
    <row r="85" spans="2:17" s="835" customFormat="1">
      <c r="B85" s="2440"/>
      <c r="C85" s="2440"/>
      <c r="D85" s="2440"/>
      <c r="E85" s="2440"/>
      <c r="F85" s="2440"/>
      <c r="G85" s="2440"/>
      <c r="H85" s="2440"/>
      <c r="I85" s="2440"/>
      <c r="J85" s="2440"/>
      <c r="K85" s="2440"/>
      <c r="L85" s="2440"/>
      <c r="M85" s="2440"/>
      <c r="N85" s="2440"/>
      <c r="O85" s="2440"/>
      <c r="P85" s="2440"/>
      <c r="Q85" s="2440"/>
    </row>
    <row r="86" spans="2:17" s="835" customFormat="1">
      <c r="B86" s="2440"/>
      <c r="C86" s="2440"/>
      <c r="D86" s="2440"/>
      <c r="E86" s="2440"/>
      <c r="F86" s="2440"/>
      <c r="G86" s="2440"/>
      <c r="H86" s="2440"/>
      <c r="I86" s="2440"/>
      <c r="J86" s="2440"/>
      <c r="K86" s="2440"/>
      <c r="L86" s="2440"/>
      <c r="M86" s="2440"/>
      <c r="N86" s="2440"/>
      <c r="O86" s="2440"/>
      <c r="P86" s="2440"/>
      <c r="Q86" s="2440"/>
    </row>
    <row r="87" spans="2:17" s="835" customFormat="1">
      <c r="B87" s="2440"/>
      <c r="C87" s="2440"/>
      <c r="D87" s="2440"/>
      <c r="E87" s="2440"/>
      <c r="F87" s="2440"/>
      <c r="G87" s="2440"/>
      <c r="H87" s="2440"/>
      <c r="I87" s="2440"/>
      <c r="J87" s="2440"/>
      <c r="K87" s="2440"/>
      <c r="L87" s="2440"/>
      <c r="M87" s="2440"/>
      <c r="N87" s="2440"/>
      <c r="O87" s="2440"/>
      <c r="P87" s="2440"/>
      <c r="Q87" s="2440"/>
    </row>
    <row r="88" spans="2:17" s="835" customFormat="1">
      <c r="B88" s="2440"/>
      <c r="C88" s="2440"/>
      <c r="D88" s="2440"/>
      <c r="E88" s="2440"/>
      <c r="F88" s="2440"/>
      <c r="G88" s="2440"/>
      <c r="H88" s="2440"/>
      <c r="I88" s="2440"/>
      <c r="J88" s="2440"/>
      <c r="K88" s="2440"/>
      <c r="L88" s="2440"/>
      <c r="M88" s="2440"/>
      <c r="N88" s="2440"/>
      <c r="O88" s="2440"/>
      <c r="P88" s="2440"/>
      <c r="Q88" s="2440"/>
    </row>
    <row r="89" spans="2:17" s="835" customFormat="1">
      <c r="B89" s="2440"/>
      <c r="C89" s="2440"/>
      <c r="D89" s="2440"/>
      <c r="E89" s="2440"/>
      <c r="F89" s="2440"/>
      <c r="G89" s="2440"/>
      <c r="H89" s="2440"/>
      <c r="I89" s="2440"/>
      <c r="J89" s="2440"/>
      <c r="K89" s="2440"/>
      <c r="L89" s="2440"/>
      <c r="M89" s="2440"/>
      <c r="N89" s="2440"/>
      <c r="O89" s="2440"/>
      <c r="P89" s="2440"/>
      <c r="Q89" s="2440"/>
    </row>
    <row r="90" spans="2:17" s="835" customFormat="1">
      <c r="B90" s="2440"/>
      <c r="C90" s="2440"/>
      <c r="D90" s="2440"/>
      <c r="E90" s="2440"/>
      <c r="F90" s="2440"/>
      <c r="G90" s="2440"/>
      <c r="H90" s="2440"/>
      <c r="I90" s="2440"/>
      <c r="J90" s="2440"/>
      <c r="K90" s="2440"/>
      <c r="L90" s="2440"/>
      <c r="M90" s="2440"/>
      <c r="N90" s="2440"/>
      <c r="O90" s="2440"/>
      <c r="P90" s="2440"/>
      <c r="Q90" s="2440"/>
    </row>
    <row r="91" spans="2:17" s="835" customFormat="1">
      <c r="B91" s="2440"/>
      <c r="C91" s="2440"/>
      <c r="D91" s="2440"/>
      <c r="E91" s="2440"/>
      <c r="F91" s="2440"/>
      <c r="G91" s="2440"/>
      <c r="H91" s="2440"/>
      <c r="I91" s="2440"/>
      <c r="J91" s="2440"/>
      <c r="K91" s="2440"/>
      <c r="L91" s="2440"/>
      <c r="M91" s="2440"/>
      <c r="N91" s="2440"/>
      <c r="O91" s="2440"/>
      <c r="P91" s="2440"/>
      <c r="Q91" s="2440"/>
    </row>
    <row r="92" spans="2:17" s="835" customFormat="1">
      <c r="B92" s="2440"/>
      <c r="C92" s="2440"/>
      <c r="D92" s="2440"/>
      <c r="E92" s="2440"/>
      <c r="F92" s="2440"/>
      <c r="G92" s="2440"/>
      <c r="H92" s="2440"/>
      <c r="I92" s="2440"/>
      <c r="J92" s="2440"/>
      <c r="K92" s="2440"/>
      <c r="L92" s="2440"/>
      <c r="M92" s="2440"/>
      <c r="N92" s="2440"/>
      <c r="O92" s="2440"/>
      <c r="P92" s="2440"/>
      <c r="Q92" s="2440"/>
    </row>
    <row r="93" spans="2:17" s="835" customFormat="1">
      <c r="B93" s="2440"/>
      <c r="C93" s="2440"/>
      <c r="D93" s="2440"/>
      <c r="E93" s="2440"/>
      <c r="F93" s="2440"/>
      <c r="G93" s="2440"/>
      <c r="H93" s="2440"/>
      <c r="I93" s="2440"/>
      <c r="J93" s="2440"/>
      <c r="K93" s="2440"/>
      <c r="L93" s="2440"/>
      <c r="M93" s="2440"/>
      <c r="N93" s="2440"/>
      <c r="O93" s="2440"/>
      <c r="P93" s="2440"/>
      <c r="Q93" s="2440"/>
    </row>
    <row r="94" spans="2:17" s="835" customFormat="1">
      <c r="B94" s="2440"/>
      <c r="C94" s="2440"/>
      <c r="D94" s="2440"/>
      <c r="E94" s="2440"/>
      <c r="F94" s="2440"/>
      <c r="G94" s="2440"/>
      <c r="H94" s="2440"/>
      <c r="I94" s="2440"/>
      <c r="J94" s="2440"/>
      <c r="K94" s="2440"/>
      <c r="L94" s="2440"/>
      <c r="M94" s="2440"/>
      <c r="N94" s="2440"/>
      <c r="O94" s="2440"/>
      <c r="P94" s="2440"/>
      <c r="Q94" s="2440"/>
    </row>
    <row r="95" spans="2:17" s="835" customFormat="1">
      <c r="B95" s="2440"/>
      <c r="C95" s="2440"/>
      <c r="D95" s="2440"/>
      <c r="E95" s="2440"/>
      <c r="F95" s="2440"/>
      <c r="G95" s="2440"/>
      <c r="H95" s="2440"/>
      <c r="I95" s="2440"/>
      <c r="J95" s="2440"/>
      <c r="K95" s="2440"/>
      <c r="L95" s="2440"/>
      <c r="M95" s="2440"/>
      <c r="N95" s="2440"/>
      <c r="O95" s="2440"/>
      <c r="P95" s="2440"/>
      <c r="Q95" s="2440"/>
    </row>
    <row r="96" spans="2:17" s="835" customFormat="1">
      <c r="B96" s="2440"/>
      <c r="C96" s="2440"/>
      <c r="D96" s="2440"/>
      <c r="E96" s="2440"/>
      <c r="F96" s="2440"/>
      <c r="G96" s="2440"/>
      <c r="H96" s="2440"/>
      <c r="I96" s="2440"/>
      <c r="J96" s="2440"/>
      <c r="K96" s="2440"/>
      <c r="L96" s="2440"/>
      <c r="M96" s="2440"/>
      <c r="N96" s="2440"/>
      <c r="O96" s="2440"/>
      <c r="P96" s="2440"/>
      <c r="Q96" s="2440"/>
    </row>
    <row r="97" spans="2:17" s="835" customFormat="1">
      <c r="B97" s="2440"/>
      <c r="C97" s="2440"/>
      <c r="D97" s="2440"/>
      <c r="E97" s="2440"/>
      <c r="F97" s="2440"/>
      <c r="G97" s="2440"/>
      <c r="H97" s="2440"/>
      <c r="I97" s="2440"/>
      <c r="J97" s="2440"/>
      <c r="K97" s="2440"/>
      <c r="L97" s="2440"/>
      <c r="M97" s="2440"/>
      <c r="N97" s="2440"/>
      <c r="O97" s="2440"/>
      <c r="P97" s="2440"/>
      <c r="Q97" s="2440"/>
    </row>
    <row r="98" spans="2:17" s="835" customFormat="1">
      <c r="B98" s="2440"/>
      <c r="C98" s="2440"/>
      <c r="D98" s="2440"/>
      <c r="E98" s="2440"/>
      <c r="F98" s="2440"/>
      <c r="G98" s="2440"/>
      <c r="H98" s="2440"/>
      <c r="I98" s="2440"/>
      <c r="J98" s="2440"/>
      <c r="K98" s="2440"/>
      <c r="L98" s="2440"/>
      <c r="M98" s="2440"/>
      <c r="N98" s="2440"/>
      <c r="O98" s="2440"/>
      <c r="P98" s="2440"/>
      <c r="Q98" s="2440"/>
    </row>
    <row r="99" spans="2:17" s="835" customFormat="1">
      <c r="B99" s="2440"/>
      <c r="C99" s="2440"/>
      <c r="D99" s="2440"/>
      <c r="E99" s="2440"/>
      <c r="F99" s="2440"/>
      <c r="G99" s="2440"/>
      <c r="H99" s="2440"/>
      <c r="I99" s="2440"/>
      <c r="J99" s="2440"/>
      <c r="K99" s="2440"/>
      <c r="L99" s="2440"/>
      <c r="M99" s="2440"/>
      <c r="N99" s="2440"/>
      <c r="O99" s="2440"/>
      <c r="P99" s="2440"/>
      <c r="Q99" s="2440"/>
    </row>
    <row r="100" spans="2:17" s="835" customFormat="1">
      <c r="B100" s="2440"/>
      <c r="C100" s="2440"/>
      <c r="D100" s="2440"/>
      <c r="E100" s="2440"/>
      <c r="F100" s="2440"/>
      <c r="G100" s="2440"/>
      <c r="H100" s="2440"/>
      <c r="I100" s="2440"/>
      <c r="J100" s="2440"/>
      <c r="K100" s="2440"/>
      <c r="L100" s="2440"/>
      <c r="M100" s="2440"/>
      <c r="N100" s="2440"/>
      <c r="O100" s="2440"/>
      <c r="P100" s="2440"/>
      <c r="Q100" s="2440"/>
    </row>
    <row r="101" spans="2:17" s="835" customFormat="1">
      <c r="B101" s="2440"/>
      <c r="C101" s="2440"/>
      <c r="D101" s="2440"/>
      <c r="E101" s="2440"/>
      <c r="F101" s="2440"/>
      <c r="G101" s="2440"/>
      <c r="H101" s="2440"/>
      <c r="I101" s="2440"/>
      <c r="J101" s="2440"/>
      <c r="K101" s="2440"/>
      <c r="L101" s="2440"/>
      <c r="M101" s="2440"/>
      <c r="N101" s="2440"/>
      <c r="O101" s="2440"/>
      <c r="P101" s="2440"/>
      <c r="Q101" s="2440"/>
    </row>
    <row r="102" spans="2:17" s="835" customFormat="1">
      <c r="B102" s="2440"/>
      <c r="C102" s="2440"/>
      <c r="D102" s="2440"/>
      <c r="E102" s="2440"/>
      <c r="F102" s="2440"/>
      <c r="G102" s="2440"/>
      <c r="H102" s="2440"/>
      <c r="I102" s="2440"/>
      <c r="J102" s="2440"/>
      <c r="K102" s="2440"/>
      <c r="L102" s="2440"/>
      <c r="M102" s="2440"/>
      <c r="N102" s="2440"/>
      <c r="O102" s="2440"/>
      <c r="P102" s="2440"/>
      <c r="Q102" s="2440"/>
    </row>
    <row r="103" spans="2:17" s="835" customFormat="1">
      <c r="B103" s="2440"/>
      <c r="C103" s="2440"/>
      <c r="D103" s="2440"/>
      <c r="E103" s="2440"/>
      <c r="F103" s="2440"/>
      <c r="G103" s="2440"/>
      <c r="H103" s="2440"/>
      <c r="I103" s="2440"/>
      <c r="J103" s="2440"/>
      <c r="K103" s="2440"/>
      <c r="L103" s="2440"/>
      <c r="M103" s="2440"/>
      <c r="N103" s="2440"/>
      <c r="O103" s="2440"/>
      <c r="P103" s="2440"/>
      <c r="Q103" s="2440"/>
    </row>
    <row r="104" spans="2:17" s="835" customFormat="1">
      <c r="B104" s="2440"/>
      <c r="C104" s="2440"/>
      <c r="D104" s="2440"/>
      <c r="E104" s="2440"/>
      <c r="F104" s="2440"/>
      <c r="G104" s="2440"/>
      <c r="H104" s="2440"/>
      <c r="I104" s="2440"/>
      <c r="J104" s="2440"/>
      <c r="K104" s="2440"/>
      <c r="L104" s="2440"/>
      <c r="M104" s="2440"/>
      <c r="N104" s="2440"/>
      <c r="O104" s="2440"/>
      <c r="P104" s="2440"/>
      <c r="Q104" s="2440"/>
    </row>
    <row r="105" spans="2:17" s="835" customFormat="1">
      <c r="B105" s="2440"/>
      <c r="C105" s="2440"/>
      <c r="D105" s="2440"/>
      <c r="E105" s="2440"/>
      <c r="F105" s="2440"/>
      <c r="G105" s="2440"/>
      <c r="H105" s="2440"/>
      <c r="I105" s="2440"/>
      <c r="J105" s="2440"/>
      <c r="K105" s="2440"/>
      <c r="L105" s="2440"/>
      <c r="M105" s="2440"/>
      <c r="N105" s="2440"/>
      <c r="O105" s="2440"/>
      <c r="P105" s="2440"/>
      <c r="Q105" s="2440"/>
    </row>
    <row r="106" spans="2:17" s="835" customFormat="1">
      <c r="B106" s="2440"/>
      <c r="C106" s="2440"/>
      <c r="D106" s="2440"/>
      <c r="E106" s="2440"/>
      <c r="F106" s="2440"/>
      <c r="G106" s="2440"/>
      <c r="H106" s="2440"/>
      <c r="I106" s="2440"/>
      <c r="J106" s="2440"/>
      <c r="K106" s="2440"/>
      <c r="L106" s="2440"/>
      <c r="M106" s="2440"/>
      <c r="N106" s="2440"/>
      <c r="O106" s="2440"/>
      <c r="P106" s="2440"/>
      <c r="Q106" s="2440"/>
    </row>
    <row r="107" spans="2:17" s="835" customFormat="1">
      <c r="B107" s="2440"/>
      <c r="C107" s="2440"/>
      <c r="D107" s="2440"/>
      <c r="E107" s="2440"/>
      <c r="F107" s="2440"/>
      <c r="G107" s="2440"/>
      <c r="H107" s="2440"/>
      <c r="I107" s="2440"/>
      <c r="J107" s="2440"/>
      <c r="K107" s="2440"/>
      <c r="L107" s="2440"/>
      <c r="M107" s="2440"/>
      <c r="N107" s="2440"/>
      <c r="O107" s="2440"/>
      <c r="P107" s="2440"/>
      <c r="Q107" s="2440"/>
    </row>
    <row r="108" spans="2:17" s="835" customFormat="1">
      <c r="B108" s="2440"/>
      <c r="C108" s="2440"/>
      <c r="D108" s="2440"/>
      <c r="E108" s="2440"/>
      <c r="F108" s="2440"/>
      <c r="G108" s="2440"/>
      <c r="H108" s="2440"/>
      <c r="I108" s="2440"/>
      <c r="J108" s="2440"/>
      <c r="K108" s="2440"/>
      <c r="L108" s="2440"/>
      <c r="M108" s="2440"/>
      <c r="N108" s="2440"/>
      <c r="O108" s="2440"/>
      <c r="P108" s="2440"/>
      <c r="Q108" s="2440"/>
    </row>
    <row r="109" spans="2:17" s="835" customFormat="1">
      <c r="B109" s="2440"/>
      <c r="C109" s="2440"/>
      <c r="D109" s="2440"/>
      <c r="E109" s="2440"/>
      <c r="F109" s="2440"/>
      <c r="G109" s="2440"/>
      <c r="H109" s="2440"/>
      <c r="I109" s="2440"/>
      <c r="J109" s="2440"/>
      <c r="K109" s="2440"/>
      <c r="L109" s="2440"/>
      <c r="M109" s="2440"/>
      <c r="N109" s="2440"/>
      <c r="O109" s="2440"/>
      <c r="P109" s="2440"/>
      <c r="Q109" s="2440"/>
    </row>
    <row r="110" spans="2:17" s="835" customFormat="1">
      <c r="B110" s="2440"/>
      <c r="C110" s="2440"/>
      <c r="D110" s="2440"/>
      <c r="E110" s="2440"/>
      <c r="F110" s="2440"/>
      <c r="G110" s="2440"/>
      <c r="H110" s="2440"/>
      <c r="I110" s="2440"/>
      <c r="J110" s="2440"/>
      <c r="K110" s="2440"/>
      <c r="L110" s="2440"/>
      <c r="M110" s="2440"/>
      <c r="N110" s="2440"/>
      <c r="O110" s="2440"/>
      <c r="P110" s="2440"/>
      <c r="Q110" s="2440"/>
    </row>
    <row r="111" spans="2:17" s="835" customFormat="1">
      <c r="B111" s="2440"/>
      <c r="C111" s="2440"/>
      <c r="D111" s="2440"/>
      <c r="E111" s="2440"/>
      <c r="F111" s="2440"/>
      <c r="G111" s="2440"/>
      <c r="H111" s="2440"/>
      <c r="I111" s="2440"/>
      <c r="J111" s="2440"/>
      <c r="K111" s="2440"/>
      <c r="L111" s="2440"/>
      <c r="M111" s="2440"/>
      <c r="N111" s="2440"/>
      <c r="O111" s="2440"/>
      <c r="P111" s="2440"/>
      <c r="Q111" s="2440"/>
    </row>
    <row r="112" spans="2:17" s="835" customFormat="1">
      <c r="B112" s="2440"/>
      <c r="C112" s="2440"/>
      <c r="D112" s="2440"/>
      <c r="E112" s="2440"/>
      <c r="F112" s="2440"/>
      <c r="G112" s="2440"/>
      <c r="H112" s="2440"/>
      <c r="I112" s="2440"/>
      <c r="J112" s="2440"/>
      <c r="K112" s="2440"/>
      <c r="L112" s="2440"/>
      <c r="M112" s="2440"/>
      <c r="N112" s="2440"/>
      <c r="O112" s="2440"/>
      <c r="P112" s="2440"/>
      <c r="Q112" s="2440"/>
    </row>
    <row r="113" spans="2:17" s="835" customFormat="1">
      <c r="B113" s="2440"/>
      <c r="C113" s="2440"/>
      <c r="D113" s="2440"/>
      <c r="E113" s="2440"/>
      <c r="F113" s="2440"/>
      <c r="G113" s="2440"/>
      <c r="H113" s="2440"/>
      <c r="I113" s="2440"/>
      <c r="J113" s="2440"/>
      <c r="K113" s="2440"/>
      <c r="L113" s="2440"/>
      <c r="M113" s="2440"/>
      <c r="N113" s="2440"/>
      <c r="O113" s="2440"/>
      <c r="P113" s="2440"/>
      <c r="Q113" s="2440"/>
    </row>
    <row r="114" spans="2:17" s="835" customFormat="1">
      <c r="B114" s="2440"/>
      <c r="C114" s="2440"/>
      <c r="D114" s="2440"/>
      <c r="E114" s="2440"/>
      <c r="F114" s="2440"/>
      <c r="G114" s="2440"/>
      <c r="H114" s="2440"/>
      <c r="I114" s="2440"/>
      <c r="J114" s="2440"/>
      <c r="K114" s="2440"/>
      <c r="L114" s="2440"/>
      <c r="M114" s="2440"/>
      <c r="N114" s="2440"/>
      <c r="O114" s="2440"/>
      <c r="P114" s="2440"/>
      <c r="Q114" s="2440"/>
    </row>
    <row r="115" spans="2:17" s="835" customFormat="1">
      <c r="B115" s="2440"/>
      <c r="C115" s="2440"/>
      <c r="D115" s="2440"/>
      <c r="E115" s="2440"/>
      <c r="F115" s="2440"/>
      <c r="G115" s="2440"/>
      <c r="H115" s="2440"/>
      <c r="I115" s="2440"/>
      <c r="J115" s="2440"/>
      <c r="K115" s="2440"/>
      <c r="L115" s="2440"/>
      <c r="M115" s="2440"/>
      <c r="N115" s="2440"/>
      <c r="O115" s="2440"/>
      <c r="P115" s="2440"/>
      <c r="Q115" s="2440"/>
    </row>
    <row r="116" spans="2:17" s="835" customFormat="1">
      <c r="B116" s="2440"/>
      <c r="C116" s="2440"/>
      <c r="D116" s="2440"/>
      <c r="E116" s="2440"/>
      <c r="F116" s="2440"/>
      <c r="G116" s="2440"/>
      <c r="H116" s="2440"/>
      <c r="I116" s="2440"/>
      <c r="J116" s="2440"/>
      <c r="K116" s="2440"/>
      <c r="L116" s="2440"/>
      <c r="M116" s="2440"/>
      <c r="N116" s="2440"/>
      <c r="O116" s="2440"/>
      <c r="P116" s="2440"/>
      <c r="Q116" s="2440"/>
    </row>
    <row r="117" spans="2:17" s="835" customFormat="1">
      <c r="B117" s="2440"/>
      <c r="C117" s="2440"/>
      <c r="D117" s="2440"/>
      <c r="E117" s="2440"/>
      <c r="F117" s="2440"/>
      <c r="G117" s="2440"/>
      <c r="H117" s="2440"/>
      <c r="I117" s="2440"/>
      <c r="J117" s="2440"/>
      <c r="K117" s="2440"/>
      <c r="L117" s="2440"/>
      <c r="M117" s="2440"/>
      <c r="N117" s="2440"/>
      <c r="O117" s="2440"/>
      <c r="P117" s="2440"/>
      <c r="Q117" s="2440"/>
    </row>
    <row r="118" spans="2:17" s="835" customFormat="1">
      <c r="B118" s="2440"/>
      <c r="C118" s="2440"/>
      <c r="D118" s="2440"/>
      <c r="E118" s="2440"/>
      <c r="F118" s="2440"/>
      <c r="G118" s="2440"/>
      <c r="H118" s="2440"/>
      <c r="I118" s="2440"/>
      <c r="J118" s="2440"/>
      <c r="K118" s="2440"/>
      <c r="L118" s="2440"/>
      <c r="M118" s="2440"/>
      <c r="N118" s="2440"/>
      <c r="O118" s="2440"/>
      <c r="P118" s="2440"/>
      <c r="Q118" s="2440"/>
    </row>
    <row r="119" spans="2:17" s="835" customFormat="1">
      <c r="B119" s="2440"/>
      <c r="C119" s="2440"/>
      <c r="D119" s="2440"/>
      <c r="E119" s="2440"/>
      <c r="F119" s="2440"/>
      <c r="G119" s="2440"/>
      <c r="H119" s="2440"/>
      <c r="I119" s="2440"/>
      <c r="J119" s="2440"/>
      <c r="K119" s="2440"/>
      <c r="L119" s="2440"/>
      <c r="M119" s="2440"/>
      <c r="N119" s="2440"/>
      <c r="O119" s="2440"/>
      <c r="P119" s="2440"/>
      <c r="Q119" s="2440"/>
    </row>
    <row r="120" spans="2:17" s="835" customFormat="1">
      <c r="B120" s="2440"/>
      <c r="C120" s="2440"/>
      <c r="D120" s="2440"/>
      <c r="E120" s="2440"/>
      <c r="F120" s="2440"/>
      <c r="G120" s="2440"/>
      <c r="H120" s="2440"/>
      <c r="I120" s="2440"/>
      <c r="J120" s="2440"/>
      <c r="K120" s="2440"/>
      <c r="L120" s="2440"/>
      <c r="M120" s="2440"/>
      <c r="N120" s="2440"/>
      <c r="O120" s="2440"/>
      <c r="P120" s="2440"/>
      <c r="Q120" s="2440"/>
    </row>
    <row r="121" spans="2:17" s="835" customFormat="1">
      <c r="B121" s="2440"/>
      <c r="C121" s="2440"/>
      <c r="D121" s="2440"/>
      <c r="E121" s="2440"/>
      <c r="F121" s="2440"/>
      <c r="G121" s="2440"/>
      <c r="H121" s="2440"/>
      <c r="I121" s="2440"/>
      <c r="J121" s="2440"/>
      <c r="K121" s="2440"/>
      <c r="L121" s="2440"/>
      <c r="M121" s="2440"/>
      <c r="N121" s="2440"/>
      <c r="O121" s="2440"/>
      <c r="P121" s="2440"/>
      <c r="Q121" s="2440"/>
    </row>
    <row r="122" spans="2:17" s="835" customFormat="1">
      <c r="B122" s="2440"/>
      <c r="C122" s="2440"/>
      <c r="D122" s="2440"/>
      <c r="E122" s="2440"/>
      <c r="F122" s="2440"/>
      <c r="G122" s="2440"/>
      <c r="H122" s="2440"/>
      <c r="I122" s="2440"/>
      <c r="J122" s="2440"/>
      <c r="K122" s="2440"/>
      <c r="L122" s="2440"/>
      <c r="M122" s="2440"/>
      <c r="N122" s="2440"/>
      <c r="O122" s="2440"/>
      <c r="P122" s="2440"/>
      <c r="Q122" s="2440"/>
    </row>
    <row r="123" spans="2:17" s="835" customFormat="1">
      <c r="B123" s="2440"/>
      <c r="C123" s="2440"/>
      <c r="D123" s="2440"/>
      <c r="E123" s="2440"/>
      <c r="F123" s="2440"/>
      <c r="G123" s="2440"/>
      <c r="H123" s="2440"/>
      <c r="I123" s="2440"/>
      <c r="J123" s="2440"/>
      <c r="K123" s="2440"/>
      <c r="L123" s="2440"/>
      <c r="M123" s="2440"/>
      <c r="N123" s="2440"/>
      <c r="O123" s="2440"/>
      <c r="P123" s="2440"/>
      <c r="Q123" s="2440"/>
    </row>
    <row r="124" spans="2:17" s="835" customFormat="1">
      <c r="B124" s="2440"/>
      <c r="C124" s="2440"/>
      <c r="D124" s="2440"/>
      <c r="E124" s="2440"/>
      <c r="F124" s="2440"/>
      <c r="G124" s="2440"/>
      <c r="H124" s="2440"/>
      <c r="I124" s="2440"/>
      <c r="J124" s="2440"/>
      <c r="K124" s="2440"/>
      <c r="L124" s="2440"/>
      <c r="M124" s="2440"/>
      <c r="N124" s="2440"/>
      <c r="O124" s="2440"/>
      <c r="P124" s="2440"/>
      <c r="Q124" s="2440"/>
    </row>
    <row r="125" spans="2:17" s="835" customFormat="1">
      <c r="B125" s="2440"/>
      <c r="C125" s="2440"/>
      <c r="D125" s="2440"/>
      <c r="E125" s="2440"/>
      <c r="F125" s="2440"/>
      <c r="G125" s="2440"/>
      <c r="H125" s="2440"/>
      <c r="I125" s="2440"/>
      <c r="J125" s="2440"/>
      <c r="K125" s="2440"/>
      <c r="L125" s="2440"/>
      <c r="M125" s="2440"/>
      <c r="N125" s="2440"/>
      <c r="O125" s="2440"/>
      <c r="P125" s="2440"/>
      <c r="Q125" s="2440"/>
    </row>
    <row r="126" spans="2:17" s="835" customFormat="1">
      <c r="B126" s="2440"/>
      <c r="C126" s="2440"/>
      <c r="D126" s="2440"/>
      <c r="E126" s="2440"/>
      <c r="F126" s="2440"/>
      <c r="G126" s="2440"/>
      <c r="H126" s="2440"/>
      <c r="I126" s="2440"/>
      <c r="J126" s="2440"/>
      <c r="K126" s="2440"/>
      <c r="L126" s="2440"/>
      <c r="M126" s="2440"/>
      <c r="N126" s="2440"/>
      <c r="O126" s="2440"/>
      <c r="P126" s="2440"/>
      <c r="Q126" s="2440"/>
    </row>
    <row r="127" spans="2:17" s="835" customFormat="1">
      <c r="B127" s="2440"/>
      <c r="C127" s="2440"/>
      <c r="D127" s="2440"/>
      <c r="E127" s="2440"/>
      <c r="F127" s="2440"/>
      <c r="G127" s="2440"/>
      <c r="H127" s="2440"/>
      <c r="I127" s="2440"/>
      <c r="J127" s="2440"/>
      <c r="K127" s="2440"/>
      <c r="L127" s="2440"/>
      <c r="M127" s="2440"/>
      <c r="N127" s="2440"/>
      <c r="O127" s="2440"/>
      <c r="P127" s="2440"/>
      <c r="Q127" s="2440"/>
    </row>
    <row r="128" spans="2:17" s="835" customFormat="1">
      <c r="B128" s="2440"/>
      <c r="C128" s="2440"/>
      <c r="D128" s="2440"/>
      <c r="E128" s="2440"/>
      <c r="F128" s="2440"/>
      <c r="G128" s="2440"/>
      <c r="H128" s="2440"/>
      <c r="I128" s="2440"/>
      <c r="J128" s="2440"/>
      <c r="K128" s="2440"/>
      <c r="L128" s="2440"/>
      <c r="M128" s="2440"/>
      <c r="N128" s="2440"/>
      <c r="O128" s="2440"/>
      <c r="P128" s="2440"/>
      <c r="Q128" s="2440"/>
    </row>
    <row r="129" spans="2:17" s="835" customFormat="1">
      <c r="B129" s="2440"/>
      <c r="C129" s="2440"/>
      <c r="D129" s="2440"/>
      <c r="E129" s="2440"/>
      <c r="F129" s="2440"/>
      <c r="G129" s="2440"/>
      <c r="H129" s="2440"/>
      <c r="I129" s="2440"/>
      <c r="J129" s="2440"/>
      <c r="K129" s="2440"/>
      <c r="L129" s="2440"/>
      <c r="M129" s="2440"/>
      <c r="N129" s="2440"/>
      <c r="O129" s="2440"/>
      <c r="P129" s="2440"/>
      <c r="Q129" s="2440"/>
    </row>
    <row r="130" spans="2:17" s="835" customFormat="1">
      <c r="B130" s="2440"/>
      <c r="C130" s="2440"/>
      <c r="D130" s="2440"/>
      <c r="E130" s="2440"/>
      <c r="F130" s="2440"/>
      <c r="G130" s="2440"/>
      <c r="H130" s="2440"/>
      <c r="I130" s="2440"/>
      <c r="J130" s="2440"/>
      <c r="K130" s="2440"/>
      <c r="L130" s="2440"/>
      <c r="M130" s="2440"/>
      <c r="N130" s="2440"/>
      <c r="O130" s="2440"/>
      <c r="P130" s="2440"/>
      <c r="Q130" s="2440"/>
    </row>
    <row r="131" spans="2:17" s="835" customFormat="1">
      <c r="B131" s="2440"/>
      <c r="C131" s="2440"/>
      <c r="D131" s="2440"/>
      <c r="E131" s="2440"/>
      <c r="F131" s="2440"/>
      <c r="G131" s="2440"/>
      <c r="H131" s="2440"/>
      <c r="I131" s="2440"/>
      <c r="J131" s="2440"/>
      <c r="K131" s="2440"/>
      <c r="L131" s="2440"/>
      <c r="M131" s="2440"/>
      <c r="N131" s="2440"/>
      <c r="O131" s="2440"/>
      <c r="P131" s="2440"/>
      <c r="Q131" s="2440"/>
    </row>
    <row r="132" spans="2:17" s="835" customFormat="1">
      <c r="B132" s="2440"/>
      <c r="C132" s="2440"/>
      <c r="D132" s="2440"/>
      <c r="E132" s="2440"/>
      <c r="F132" s="2440"/>
      <c r="G132" s="2440"/>
      <c r="H132" s="2440"/>
      <c r="I132" s="2440"/>
      <c r="J132" s="2440"/>
      <c r="K132" s="2440"/>
      <c r="L132" s="2440"/>
      <c r="M132" s="2440"/>
      <c r="N132" s="2440"/>
      <c r="O132" s="2440"/>
      <c r="P132" s="2440"/>
      <c r="Q132" s="2440"/>
    </row>
    <row r="133" spans="2:17" s="835" customFormat="1">
      <c r="B133" s="2440"/>
      <c r="C133" s="2440"/>
      <c r="D133" s="2440"/>
      <c r="E133" s="2440"/>
      <c r="F133" s="2440"/>
      <c r="G133" s="2440"/>
      <c r="H133" s="2440"/>
      <c r="I133" s="2440"/>
      <c r="J133" s="2440"/>
      <c r="K133" s="2440"/>
      <c r="L133" s="2440"/>
      <c r="M133" s="2440"/>
      <c r="N133" s="2440"/>
      <c r="O133" s="2440"/>
      <c r="P133" s="2440"/>
      <c r="Q133" s="2440"/>
    </row>
    <row r="134" spans="2:17" s="835" customFormat="1">
      <c r="B134" s="2440"/>
      <c r="C134" s="2440"/>
      <c r="D134" s="2440"/>
      <c r="E134" s="2440"/>
      <c r="F134" s="2440"/>
      <c r="G134" s="2440"/>
      <c r="H134" s="2440"/>
      <c r="I134" s="2440"/>
      <c r="J134" s="2440"/>
      <c r="K134" s="2440"/>
      <c r="L134" s="2440"/>
      <c r="M134" s="2440"/>
      <c r="N134" s="2440"/>
      <c r="O134" s="2440"/>
      <c r="P134" s="2440"/>
      <c r="Q134" s="2440"/>
    </row>
    <row r="135" spans="2:17" s="835" customFormat="1">
      <c r="B135" s="2440"/>
      <c r="C135" s="2440"/>
      <c r="D135" s="2440"/>
      <c r="E135" s="2440"/>
      <c r="F135" s="2440"/>
      <c r="G135" s="2440"/>
      <c r="H135" s="2440"/>
      <c r="I135" s="2440"/>
      <c r="J135" s="2440"/>
      <c r="K135" s="2440"/>
      <c r="L135" s="2440"/>
      <c r="M135" s="2440"/>
      <c r="N135" s="2440"/>
      <c r="O135" s="2440"/>
      <c r="P135" s="2440"/>
      <c r="Q135" s="2440"/>
    </row>
    <row r="136" spans="2:17" s="835" customFormat="1">
      <c r="B136" s="2440"/>
      <c r="C136" s="2440"/>
      <c r="D136" s="2440"/>
      <c r="E136" s="2440"/>
      <c r="F136" s="2440"/>
      <c r="G136" s="2440"/>
      <c r="H136" s="2440"/>
      <c r="I136" s="2440"/>
      <c r="J136" s="2440"/>
      <c r="K136" s="2440"/>
      <c r="L136" s="2440"/>
      <c r="M136" s="2440"/>
      <c r="N136" s="2440"/>
      <c r="O136" s="2440"/>
      <c r="P136" s="2440"/>
      <c r="Q136" s="2440"/>
    </row>
    <row r="137" spans="2:17" s="835" customFormat="1">
      <c r="B137" s="2440"/>
      <c r="C137" s="2440"/>
      <c r="D137" s="2440"/>
      <c r="E137" s="2440"/>
      <c r="F137" s="2440"/>
      <c r="G137" s="2440"/>
      <c r="H137" s="2440"/>
      <c r="I137" s="2440"/>
      <c r="J137" s="2440"/>
      <c r="K137" s="2440"/>
      <c r="L137" s="2440"/>
      <c r="M137" s="2440"/>
      <c r="N137" s="2440"/>
      <c r="O137" s="2440"/>
      <c r="P137" s="2440"/>
      <c r="Q137" s="2440"/>
    </row>
    <row r="138" spans="2:17" s="835" customFormat="1">
      <c r="B138" s="2440"/>
      <c r="C138" s="2440"/>
      <c r="D138" s="2440"/>
      <c r="E138" s="2440"/>
      <c r="F138" s="2440"/>
      <c r="G138" s="2440"/>
      <c r="H138" s="2440"/>
      <c r="I138" s="2440"/>
      <c r="J138" s="2440"/>
      <c r="K138" s="2440"/>
      <c r="L138" s="2440"/>
      <c r="M138" s="2440"/>
      <c r="N138" s="2440"/>
      <c r="O138" s="2440"/>
      <c r="P138" s="2440"/>
      <c r="Q138" s="2440"/>
    </row>
    <row r="139" spans="2:17" s="835" customFormat="1">
      <c r="B139" s="2440"/>
      <c r="C139" s="2440"/>
      <c r="D139" s="2440"/>
      <c r="E139" s="2440"/>
      <c r="F139" s="2440"/>
      <c r="G139" s="2440"/>
      <c r="H139" s="2440"/>
      <c r="I139" s="2440"/>
      <c r="J139" s="2440"/>
      <c r="K139" s="2440"/>
      <c r="L139" s="2440"/>
      <c r="M139" s="2440"/>
      <c r="N139" s="2440"/>
      <c r="O139" s="2440"/>
      <c r="P139" s="2440"/>
      <c r="Q139" s="2440"/>
    </row>
    <row r="140" spans="2:17" s="835" customFormat="1">
      <c r="B140" s="2440"/>
      <c r="C140" s="2440"/>
      <c r="D140" s="2440"/>
      <c r="E140" s="2440"/>
      <c r="F140" s="2440"/>
      <c r="G140" s="2440"/>
      <c r="H140" s="2440"/>
      <c r="I140" s="2440"/>
      <c r="J140" s="2440"/>
      <c r="K140" s="2440"/>
      <c r="L140" s="2440"/>
      <c r="M140" s="2440"/>
      <c r="N140" s="2440"/>
      <c r="O140" s="2440"/>
      <c r="P140" s="2440"/>
      <c r="Q140" s="2440"/>
    </row>
    <row r="141" spans="2:17" s="835" customFormat="1">
      <c r="B141" s="2440"/>
      <c r="C141" s="2440"/>
      <c r="D141" s="2440"/>
      <c r="E141" s="2440"/>
      <c r="F141" s="2440"/>
      <c r="G141" s="2440"/>
      <c r="H141" s="2440"/>
      <c r="I141" s="2440"/>
      <c r="J141" s="2440"/>
      <c r="K141" s="2440"/>
      <c r="L141" s="2440"/>
      <c r="M141" s="2440"/>
      <c r="N141" s="2440"/>
      <c r="O141" s="2440"/>
      <c r="P141" s="2440"/>
      <c r="Q141" s="2440"/>
    </row>
    <row r="142" spans="2:17" s="835" customFormat="1">
      <c r="B142" s="2440"/>
      <c r="C142" s="2440"/>
      <c r="D142" s="2440"/>
      <c r="E142" s="2440"/>
      <c r="F142" s="2440"/>
      <c r="G142" s="2440"/>
      <c r="H142" s="2440"/>
      <c r="I142" s="2440"/>
      <c r="J142" s="2440"/>
      <c r="K142" s="2440"/>
      <c r="L142" s="2440"/>
      <c r="M142" s="2440"/>
      <c r="N142" s="2440"/>
      <c r="O142" s="2440"/>
      <c r="P142" s="2440"/>
      <c r="Q142" s="2440"/>
    </row>
    <row r="143" spans="2:17" s="835" customFormat="1">
      <c r="B143" s="2440"/>
      <c r="C143" s="2440"/>
      <c r="D143" s="2440"/>
      <c r="E143" s="2440"/>
      <c r="F143" s="2440"/>
      <c r="G143" s="2440"/>
      <c r="H143" s="2440"/>
      <c r="I143" s="2440"/>
      <c r="J143" s="2440"/>
      <c r="K143" s="2440"/>
      <c r="L143" s="2440"/>
      <c r="M143" s="2440"/>
      <c r="N143" s="2440"/>
      <c r="O143" s="2440"/>
      <c r="P143" s="2440"/>
      <c r="Q143" s="2440"/>
    </row>
    <row r="144" spans="2:17" s="835" customFormat="1">
      <c r="B144" s="2440"/>
      <c r="C144" s="2440"/>
      <c r="D144" s="2440"/>
      <c r="E144" s="2440"/>
      <c r="F144" s="2440"/>
      <c r="G144" s="2440"/>
      <c r="H144" s="2440"/>
      <c r="I144" s="2440"/>
      <c r="J144" s="2440"/>
      <c r="K144" s="2440"/>
      <c r="L144" s="2440"/>
      <c r="M144" s="2440"/>
      <c r="N144" s="2440"/>
      <c r="O144" s="2440"/>
      <c r="P144" s="2440"/>
      <c r="Q144" s="2440"/>
    </row>
    <row r="145" spans="2:17" s="835" customFormat="1">
      <c r="B145" s="2440"/>
      <c r="C145" s="2440"/>
      <c r="D145" s="2440"/>
      <c r="E145" s="2440"/>
      <c r="F145" s="2440"/>
      <c r="G145" s="2440"/>
      <c r="H145" s="2440"/>
      <c r="I145" s="2440"/>
      <c r="J145" s="2440"/>
      <c r="K145" s="2440"/>
      <c r="L145" s="2440"/>
      <c r="M145" s="2440"/>
      <c r="N145" s="2440"/>
      <c r="O145" s="2440"/>
      <c r="P145" s="2440"/>
      <c r="Q145" s="2440"/>
    </row>
    <row r="146" spans="2:17" s="835" customFormat="1">
      <c r="B146" s="2440"/>
      <c r="C146" s="2440"/>
      <c r="D146" s="2440"/>
      <c r="E146" s="2440"/>
      <c r="F146" s="2440"/>
      <c r="G146" s="2440"/>
      <c r="H146" s="2440"/>
      <c r="I146" s="2440"/>
      <c r="J146" s="2440"/>
      <c r="K146" s="2440"/>
      <c r="L146" s="2440"/>
      <c r="M146" s="2440"/>
      <c r="N146" s="2440"/>
      <c r="O146" s="2440"/>
      <c r="P146" s="2440"/>
      <c r="Q146" s="2440"/>
    </row>
    <row r="147" spans="2:17" s="835" customFormat="1">
      <c r="B147" s="2440"/>
      <c r="C147" s="2440"/>
      <c r="D147" s="2440"/>
      <c r="E147" s="2440"/>
      <c r="F147" s="2440"/>
      <c r="G147" s="2440"/>
      <c r="H147" s="2440"/>
      <c r="I147" s="2440"/>
      <c r="J147" s="2440"/>
      <c r="K147" s="2440"/>
      <c r="L147" s="2440"/>
      <c r="M147" s="2440"/>
      <c r="N147" s="2440"/>
      <c r="O147" s="2440"/>
      <c r="P147" s="2440"/>
      <c r="Q147" s="2440"/>
    </row>
    <row r="148" spans="2:17" s="835" customFormat="1">
      <c r="B148" s="2440"/>
      <c r="C148" s="2440"/>
      <c r="D148" s="2440"/>
      <c r="E148" s="2440"/>
      <c r="F148" s="2440"/>
      <c r="G148" s="2440"/>
      <c r="H148" s="2440"/>
      <c r="I148" s="2440"/>
      <c r="J148" s="2440"/>
      <c r="K148" s="2440"/>
      <c r="L148" s="2440"/>
      <c r="M148" s="2440"/>
      <c r="N148" s="2440"/>
      <c r="O148" s="2440"/>
      <c r="P148" s="2440"/>
      <c r="Q148" s="2440"/>
    </row>
    <row r="149" spans="2:17" s="835" customFormat="1">
      <c r="B149" s="2440"/>
      <c r="C149" s="2440"/>
      <c r="D149" s="2440"/>
      <c r="E149" s="2440"/>
      <c r="F149" s="2440"/>
      <c r="G149" s="2440"/>
      <c r="H149" s="2440"/>
      <c r="I149" s="2440"/>
      <c r="J149" s="2440"/>
      <c r="K149" s="2440"/>
      <c r="L149" s="2440"/>
      <c r="M149" s="2440"/>
      <c r="N149" s="2440"/>
      <c r="O149" s="2440"/>
      <c r="P149" s="2440"/>
      <c r="Q149" s="2440"/>
    </row>
    <row r="150" spans="2:17" s="835" customFormat="1">
      <c r="B150" s="2440"/>
      <c r="C150" s="2440"/>
      <c r="D150" s="2440"/>
      <c r="E150" s="2440"/>
      <c r="F150" s="2440"/>
      <c r="G150" s="2440"/>
      <c r="H150" s="2440"/>
      <c r="I150" s="2440"/>
      <c r="J150" s="2440"/>
      <c r="K150" s="2440"/>
      <c r="L150" s="2440"/>
      <c r="M150" s="2440"/>
      <c r="N150" s="2440"/>
      <c r="O150" s="2440"/>
      <c r="P150" s="2440"/>
      <c r="Q150" s="2440"/>
    </row>
    <row r="151" spans="2:17" s="835" customFormat="1">
      <c r="B151" s="2440"/>
      <c r="C151" s="2440"/>
      <c r="D151" s="2440"/>
      <c r="E151" s="2440"/>
      <c r="F151" s="2440"/>
      <c r="G151" s="2440"/>
      <c r="H151" s="2440"/>
      <c r="I151" s="2440"/>
      <c r="J151" s="2440"/>
      <c r="K151" s="2440"/>
      <c r="L151" s="2440"/>
      <c r="M151" s="2440"/>
      <c r="N151" s="2440"/>
      <c r="O151" s="2440"/>
      <c r="P151" s="2440"/>
      <c r="Q151" s="2440"/>
    </row>
    <row r="152" spans="2:17" s="835" customFormat="1">
      <c r="B152" s="2440"/>
      <c r="C152" s="2440"/>
      <c r="D152" s="2440"/>
      <c r="E152" s="2440"/>
      <c r="F152" s="2440"/>
      <c r="G152" s="2440"/>
      <c r="H152" s="2440"/>
      <c r="I152" s="2440"/>
      <c r="J152" s="2440"/>
      <c r="K152" s="2440"/>
      <c r="L152" s="2440"/>
      <c r="M152" s="2440"/>
      <c r="N152" s="2440"/>
      <c r="O152" s="2440"/>
      <c r="P152" s="2440"/>
      <c r="Q152" s="2440"/>
    </row>
    <row r="153" spans="2:17" s="835" customFormat="1">
      <c r="B153" s="2440"/>
      <c r="C153" s="2440"/>
      <c r="D153" s="2440"/>
      <c r="E153" s="2440"/>
      <c r="F153" s="2440"/>
      <c r="G153" s="2440"/>
      <c r="H153" s="2440"/>
      <c r="I153" s="2440"/>
      <c r="J153" s="2440"/>
      <c r="K153" s="2440"/>
      <c r="L153" s="2440"/>
      <c r="M153" s="2440"/>
      <c r="N153" s="2440"/>
      <c r="O153" s="2440"/>
      <c r="P153" s="2440"/>
      <c r="Q153" s="2440"/>
    </row>
    <row r="154" spans="2:17" s="835" customFormat="1">
      <c r="B154" s="2440"/>
      <c r="C154" s="2440"/>
      <c r="D154" s="2440"/>
      <c r="E154" s="2440"/>
      <c r="F154" s="2440"/>
      <c r="G154" s="2440"/>
      <c r="H154" s="2440"/>
      <c r="I154" s="2440"/>
      <c r="J154" s="2440"/>
      <c r="K154" s="2440"/>
      <c r="L154" s="2440"/>
      <c r="M154" s="2440"/>
      <c r="N154" s="2440"/>
      <c r="O154" s="2440"/>
      <c r="P154" s="2440"/>
      <c r="Q154" s="2440"/>
    </row>
    <row r="155" spans="2:17" s="835" customFormat="1">
      <c r="B155" s="2440"/>
      <c r="C155" s="2440"/>
      <c r="D155" s="2440"/>
      <c r="E155" s="2440"/>
      <c r="F155" s="2440"/>
      <c r="G155" s="2440"/>
      <c r="H155" s="2440"/>
      <c r="I155" s="2440"/>
      <c r="J155" s="2440"/>
      <c r="K155" s="2440"/>
      <c r="L155" s="2440"/>
      <c r="M155" s="2440"/>
      <c r="N155" s="2440"/>
      <c r="O155" s="2440"/>
      <c r="P155" s="2440"/>
      <c r="Q155" s="2440"/>
    </row>
    <row r="156" spans="2:17" s="835" customFormat="1">
      <c r="B156" s="2440"/>
      <c r="C156" s="2440"/>
      <c r="D156" s="2440"/>
      <c r="E156" s="2440"/>
      <c r="F156" s="2440"/>
      <c r="G156" s="2440"/>
      <c r="H156" s="2440"/>
      <c r="I156" s="2440"/>
      <c r="J156" s="2440"/>
      <c r="K156" s="2440"/>
      <c r="L156" s="2440"/>
      <c r="M156" s="2440"/>
      <c r="N156" s="2440"/>
      <c r="O156" s="2440"/>
      <c r="P156" s="2440"/>
      <c r="Q156" s="2440"/>
    </row>
    <row r="157" spans="2:17" s="835" customFormat="1">
      <c r="B157" s="2440"/>
      <c r="C157" s="2440"/>
      <c r="D157" s="2440"/>
      <c r="E157" s="2440"/>
      <c r="F157" s="2440"/>
      <c r="G157" s="2440"/>
      <c r="H157" s="2440"/>
      <c r="I157" s="2440"/>
      <c r="J157" s="2440"/>
      <c r="K157" s="2440"/>
      <c r="L157" s="2440"/>
      <c r="M157" s="2440"/>
      <c r="N157" s="2440"/>
      <c r="O157" s="2440"/>
      <c r="P157" s="2440"/>
      <c r="Q157" s="2440"/>
    </row>
    <row r="158" spans="2:17" s="835" customFormat="1">
      <c r="B158" s="2440"/>
      <c r="C158" s="2440"/>
      <c r="D158" s="2440"/>
      <c r="E158" s="2440"/>
      <c r="F158" s="2440"/>
      <c r="G158" s="2440"/>
      <c r="H158" s="2440"/>
      <c r="I158" s="2440"/>
      <c r="J158" s="2440"/>
      <c r="K158" s="2440"/>
      <c r="L158" s="2440"/>
      <c r="M158" s="2440"/>
      <c r="N158" s="2440"/>
      <c r="O158" s="2440"/>
      <c r="P158" s="2440"/>
      <c r="Q158" s="2440"/>
    </row>
    <row r="159" spans="2:17" s="835" customFormat="1">
      <c r="B159" s="2440"/>
      <c r="C159" s="2440"/>
      <c r="D159" s="2440"/>
      <c r="E159" s="2440"/>
      <c r="F159" s="2440"/>
      <c r="G159" s="2440"/>
      <c r="H159" s="2440"/>
      <c r="I159" s="2440"/>
      <c r="J159" s="2440"/>
      <c r="K159" s="2440"/>
      <c r="L159" s="2440"/>
      <c r="M159" s="2440"/>
      <c r="N159" s="2440"/>
      <c r="O159" s="2440"/>
      <c r="P159" s="2440"/>
      <c r="Q159" s="2440"/>
    </row>
    <row r="160" spans="2:17" s="835" customFormat="1">
      <c r="B160" s="2440"/>
      <c r="C160" s="2440"/>
      <c r="D160" s="2440"/>
      <c r="E160" s="2440"/>
      <c r="F160" s="2440"/>
      <c r="G160" s="2440"/>
      <c r="H160" s="2440"/>
      <c r="I160" s="2440"/>
      <c r="J160" s="2440"/>
      <c r="K160" s="2440"/>
      <c r="L160" s="2440"/>
      <c r="M160" s="2440"/>
      <c r="N160" s="2440"/>
      <c r="O160" s="2440"/>
      <c r="P160" s="2440"/>
      <c r="Q160" s="2440"/>
    </row>
    <row r="161" spans="2:17" s="835" customFormat="1">
      <c r="B161" s="2440"/>
      <c r="C161" s="2440"/>
      <c r="D161" s="2440"/>
      <c r="E161" s="2440"/>
      <c r="F161" s="2440"/>
      <c r="G161" s="2440"/>
      <c r="H161" s="2440"/>
      <c r="I161" s="2440"/>
      <c r="J161" s="2440"/>
      <c r="K161" s="2440"/>
      <c r="L161" s="2440"/>
      <c r="M161" s="2440"/>
      <c r="N161" s="2440"/>
      <c r="O161" s="2440"/>
      <c r="P161" s="2440"/>
      <c r="Q161" s="2440"/>
    </row>
    <row r="162" spans="2:17" s="835" customFormat="1">
      <c r="B162" s="2440"/>
      <c r="C162" s="2440"/>
      <c r="D162" s="2440"/>
      <c r="E162" s="2440"/>
      <c r="F162" s="2440"/>
      <c r="G162" s="2440"/>
      <c r="H162" s="2440"/>
      <c r="I162" s="2440"/>
      <c r="J162" s="2440"/>
      <c r="K162" s="2440"/>
      <c r="L162" s="2440"/>
      <c r="M162" s="2440"/>
      <c r="N162" s="2440"/>
      <c r="O162" s="2440"/>
      <c r="P162" s="2440"/>
      <c r="Q162" s="2440"/>
    </row>
    <row r="163" spans="2:17" s="835" customFormat="1">
      <c r="B163" s="2440"/>
      <c r="C163" s="2440"/>
      <c r="D163" s="2440"/>
      <c r="E163" s="2440"/>
      <c r="F163" s="2440"/>
      <c r="G163" s="2440"/>
      <c r="H163" s="2440"/>
      <c r="I163" s="2440"/>
      <c r="J163" s="2440"/>
      <c r="K163" s="2440"/>
      <c r="L163" s="2440"/>
      <c r="M163" s="2440"/>
      <c r="N163" s="2440"/>
      <c r="O163" s="2440"/>
      <c r="P163" s="2440"/>
      <c r="Q163" s="2440"/>
    </row>
    <row r="164" spans="2:17" s="835" customFormat="1">
      <c r="B164" s="2440"/>
      <c r="C164" s="2440"/>
      <c r="D164" s="2440"/>
      <c r="E164" s="2440"/>
      <c r="F164" s="2440"/>
      <c r="G164" s="2440"/>
      <c r="H164" s="2440"/>
      <c r="I164" s="2440"/>
      <c r="J164" s="2440"/>
      <c r="K164" s="2440"/>
      <c r="L164" s="2440"/>
      <c r="M164" s="2440"/>
      <c r="N164" s="2440"/>
      <c r="O164" s="2440"/>
      <c r="P164" s="2440"/>
      <c r="Q164" s="2440"/>
    </row>
    <row r="165" spans="2:17" s="835" customFormat="1">
      <c r="B165" s="2440"/>
      <c r="C165" s="2440"/>
      <c r="D165" s="2440"/>
      <c r="E165" s="2440"/>
      <c r="F165" s="2440"/>
      <c r="G165" s="2440"/>
      <c r="H165" s="2440"/>
      <c r="I165" s="2440"/>
      <c r="J165" s="2440"/>
      <c r="K165" s="2440"/>
      <c r="L165" s="2440"/>
      <c r="M165" s="2440"/>
      <c r="N165" s="2440"/>
      <c r="O165" s="2440"/>
      <c r="P165" s="2440"/>
      <c r="Q165" s="2440"/>
    </row>
    <row r="166" spans="2:17" s="835" customFormat="1">
      <c r="B166" s="2440"/>
      <c r="C166" s="2440"/>
      <c r="D166" s="2440"/>
      <c r="E166" s="2440"/>
      <c r="F166" s="2440"/>
      <c r="G166" s="2440"/>
      <c r="H166" s="2440"/>
      <c r="I166" s="2440"/>
      <c r="J166" s="2440"/>
      <c r="K166" s="2440"/>
      <c r="L166" s="2440"/>
      <c r="M166" s="2440"/>
      <c r="N166" s="2440"/>
      <c r="O166" s="2440"/>
      <c r="P166" s="2440"/>
      <c r="Q166" s="2440"/>
    </row>
    <row r="167" spans="2:17" s="835" customFormat="1">
      <c r="B167" s="2440"/>
      <c r="C167" s="2440"/>
      <c r="D167" s="2440"/>
      <c r="E167" s="2440"/>
      <c r="F167" s="2440"/>
      <c r="G167" s="2440"/>
      <c r="H167" s="2440"/>
      <c r="I167" s="2440"/>
      <c r="J167" s="2440"/>
      <c r="K167" s="2440"/>
      <c r="L167" s="2440"/>
      <c r="M167" s="2440"/>
      <c r="N167" s="2440"/>
      <c r="O167" s="2440"/>
      <c r="P167" s="2440"/>
      <c r="Q167" s="2440"/>
    </row>
    <row r="168" spans="2:17" s="835" customFormat="1">
      <c r="B168" s="2440"/>
      <c r="C168" s="2440"/>
      <c r="D168" s="2440"/>
      <c r="E168" s="2440"/>
      <c r="F168" s="2440"/>
      <c r="G168" s="2440"/>
      <c r="H168" s="2440"/>
      <c r="I168" s="2440"/>
      <c r="J168" s="2440"/>
      <c r="K168" s="2440"/>
      <c r="L168" s="2440"/>
      <c r="M168" s="2440"/>
      <c r="N168" s="2440"/>
      <c r="O168" s="2440"/>
      <c r="P168" s="2440"/>
      <c r="Q168" s="2440"/>
    </row>
    <row r="169" spans="2:17" s="835" customFormat="1">
      <c r="B169" s="2440"/>
      <c r="C169" s="2440"/>
      <c r="D169" s="2440"/>
      <c r="E169" s="2440"/>
      <c r="F169" s="2440"/>
      <c r="G169" s="2440"/>
      <c r="H169" s="2440"/>
      <c r="I169" s="2440"/>
      <c r="J169" s="2440"/>
      <c r="K169" s="2440"/>
      <c r="L169" s="2440"/>
      <c r="M169" s="2440"/>
      <c r="N169" s="2440"/>
      <c r="O169" s="2440"/>
      <c r="P169" s="2440"/>
      <c r="Q169" s="2440"/>
    </row>
    <row r="170" spans="2:17" s="835" customFormat="1">
      <c r="B170" s="2440"/>
      <c r="C170" s="2440"/>
      <c r="D170" s="2440"/>
      <c r="E170" s="2440"/>
      <c r="F170" s="2440"/>
      <c r="G170" s="2440"/>
      <c r="H170" s="2440"/>
      <c r="I170" s="2440"/>
      <c r="J170" s="2440"/>
      <c r="K170" s="2440"/>
      <c r="L170" s="2440"/>
      <c r="M170" s="2440"/>
      <c r="N170" s="2440"/>
      <c r="O170" s="2440"/>
      <c r="P170" s="2440"/>
      <c r="Q170" s="2440"/>
    </row>
    <row r="171" spans="2:17" s="835" customFormat="1">
      <c r="B171" s="2440"/>
      <c r="C171" s="2440"/>
      <c r="D171" s="2440"/>
      <c r="E171" s="2440"/>
      <c r="F171" s="2440"/>
      <c r="G171" s="2440"/>
      <c r="H171" s="2440"/>
      <c r="I171" s="2440"/>
      <c r="J171" s="2440"/>
      <c r="K171" s="2440"/>
      <c r="L171" s="2440"/>
      <c r="M171" s="2440"/>
      <c r="N171" s="2440"/>
      <c r="O171" s="2440"/>
      <c r="P171" s="2440"/>
      <c r="Q171" s="2440"/>
    </row>
    <row r="172" spans="2:17" s="835" customFormat="1">
      <c r="B172" s="2440"/>
      <c r="C172" s="2440"/>
      <c r="D172" s="2440"/>
      <c r="E172" s="2440"/>
      <c r="F172" s="2440"/>
      <c r="G172" s="2440"/>
      <c r="H172" s="2440"/>
      <c r="I172" s="2440"/>
      <c r="J172" s="2440"/>
      <c r="K172" s="2440"/>
      <c r="L172" s="2440"/>
      <c r="M172" s="2440"/>
      <c r="N172" s="2440"/>
      <c r="O172" s="2440"/>
      <c r="P172" s="2440"/>
      <c r="Q172" s="2440"/>
    </row>
    <row r="173" spans="2:17" s="835" customFormat="1">
      <c r="B173" s="2440"/>
      <c r="C173" s="2440"/>
      <c r="D173" s="2440"/>
      <c r="E173" s="2440"/>
      <c r="F173" s="2440"/>
      <c r="G173" s="2440"/>
      <c r="H173" s="2440"/>
      <c r="I173" s="2440"/>
      <c r="J173" s="2440"/>
      <c r="K173" s="2440"/>
      <c r="L173" s="2440"/>
      <c r="M173" s="2440"/>
      <c r="N173" s="2440"/>
      <c r="O173" s="2440"/>
      <c r="P173" s="2440"/>
      <c r="Q173" s="2440"/>
    </row>
    <row r="174" spans="2:17" s="835" customFormat="1">
      <c r="B174" s="2440"/>
      <c r="C174" s="2440"/>
      <c r="D174" s="2440"/>
      <c r="E174" s="2440"/>
      <c r="F174" s="2440"/>
      <c r="G174" s="2440"/>
      <c r="H174" s="2440"/>
      <c r="I174" s="2440"/>
      <c r="J174" s="2440"/>
      <c r="K174" s="2440"/>
      <c r="L174" s="2440"/>
      <c r="M174" s="2440"/>
      <c r="N174" s="2440"/>
      <c r="O174" s="2440"/>
      <c r="P174" s="2440"/>
      <c r="Q174" s="2440"/>
    </row>
    <row r="175" spans="2:17" s="835" customFormat="1">
      <c r="B175" s="2440"/>
      <c r="C175" s="2440"/>
      <c r="D175" s="2440"/>
      <c r="E175" s="2440"/>
      <c r="F175" s="2440"/>
      <c r="G175" s="2440"/>
      <c r="H175" s="2440"/>
      <c r="I175" s="2440"/>
      <c r="J175" s="2440"/>
      <c r="K175" s="2440"/>
      <c r="L175" s="2440"/>
      <c r="M175" s="2440"/>
      <c r="N175" s="2440"/>
      <c r="O175" s="2440"/>
      <c r="P175" s="2440"/>
      <c r="Q175" s="2440"/>
    </row>
    <row r="176" spans="2:17" s="835" customFormat="1">
      <c r="B176" s="2440"/>
      <c r="C176" s="2440"/>
      <c r="D176" s="2440"/>
      <c r="E176" s="2440"/>
      <c r="F176" s="2440"/>
      <c r="G176" s="2440"/>
      <c r="H176" s="2440"/>
      <c r="I176" s="2440"/>
      <c r="J176" s="2440"/>
      <c r="K176" s="2440"/>
      <c r="L176" s="2440"/>
      <c r="M176" s="2440"/>
      <c r="N176" s="2440"/>
      <c r="O176" s="2440"/>
      <c r="P176" s="2440"/>
      <c r="Q176" s="2440"/>
    </row>
    <row r="177" spans="1:17" s="835" customFormat="1">
      <c r="B177" s="2440"/>
      <c r="C177" s="2440"/>
      <c r="D177" s="2440"/>
      <c r="E177" s="2440"/>
      <c r="F177" s="2440"/>
      <c r="G177" s="2440"/>
      <c r="H177" s="2440"/>
      <c r="I177" s="2440"/>
      <c r="J177" s="2440"/>
      <c r="K177" s="2440"/>
      <c r="L177" s="2440"/>
      <c r="M177" s="2440"/>
      <c r="N177" s="2440"/>
      <c r="O177" s="2440"/>
      <c r="P177" s="2440"/>
      <c r="Q177" s="2440"/>
    </row>
    <row r="178" spans="1:17" s="835" customFormat="1">
      <c r="B178" s="2440"/>
      <c r="C178" s="2440"/>
      <c r="D178" s="2440"/>
      <c r="E178" s="2440"/>
      <c r="F178" s="2440"/>
      <c r="G178" s="2440"/>
      <c r="H178" s="2440"/>
      <c r="I178" s="2440"/>
      <c r="J178" s="2440"/>
      <c r="K178" s="2440"/>
      <c r="L178" s="2440"/>
      <c r="M178" s="2440"/>
      <c r="N178" s="2440"/>
      <c r="O178" s="2440"/>
      <c r="P178" s="2440"/>
      <c r="Q178" s="2440"/>
    </row>
    <row r="179" spans="1:17" s="835" customFormat="1">
      <c r="B179" s="2440"/>
      <c r="C179" s="2440"/>
      <c r="D179" s="2440"/>
      <c r="E179" s="2440"/>
      <c r="F179" s="2440"/>
      <c r="G179" s="2440"/>
      <c r="H179" s="2440"/>
      <c r="I179" s="2440"/>
      <c r="J179" s="2440"/>
      <c r="K179" s="2440"/>
      <c r="L179" s="2440"/>
      <c r="M179" s="2440"/>
      <c r="N179" s="2440"/>
      <c r="O179" s="2440"/>
      <c r="P179" s="2440"/>
      <c r="Q179" s="2440"/>
    </row>
    <row r="180" spans="1:17" s="835" customFormat="1">
      <c r="B180" s="2440"/>
      <c r="C180" s="2440"/>
      <c r="D180" s="2440"/>
      <c r="E180" s="2440"/>
      <c r="F180" s="2440"/>
      <c r="G180" s="2440"/>
      <c r="H180" s="2440"/>
      <c r="I180" s="2440"/>
      <c r="J180" s="2440"/>
      <c r="K180" s="2440"/>
      <c r="L180" s="2440"/>
      <c r="M180" s="2440"/>
      <c r="N180" s="2440"/>
      <c r="O180" s="2440"/>
      <c r="P180" s="2440"/>
      <c r="Q180" s="2440"/>
    </row>
    <row r="181" spans="1:17" s="835" customFormat="1">
      <c r="B181" s="2440"/>
      <c r="C181" s="2440"/>
      <c r="D181" s="2440"/>
      <c r="E181" s="2440"/>
      <c r="F181" s="2440"/>
      <c r="G181" s="2440"/>
      <c r="H181" s="2440"/>
      <c r="I181" s="2440"/>
      <c r="J181" s="2440"/>
      <c r="K181" s="2440"/>
      <c r="L181" s="2440"/>
      <c r="M181" s="2440"/>
      <c r="N181" s="2440"/>
      <c r="O181" s="2440"/>
      <c r="P181" s="2440"/>
      <c r="Q181" s="2440"/>
    </row>
    <row r="182" spans="1:17" s="835" customFormat="1">
      <c r="B182" s="2440"/>
      <c r="C182" s="2440"/>
      <c r="D182" s="2440"/>
      <c r="E182" s="2440"/>
      <c r="F182" s="2440"/>
      <c r="G182" s="2440"/>
      <c r="H182" s="2440"/>
      <c r="I182" s="2440"/>
      <c r="J182" s="2440"/>
      <c r="K182" s="2440"/>
      <c r="L182" s="2440"/>
      <c r="M182" s="2440"/>
      <c r="N182" s="2440"/>
      <c r="O182" s="2440"/>
      <c r="P182" s="2440"/>
      <c r="Q182" s="2440"/>
    </row>
    <row r="183" spans="1:17" s="835" customFormat="1">
      <c r="B183" s="2440"/>
      <c r="C183" s="2440"/>
      <c r="D183" s="2440"/>
      <c r="E183" s="2440"/>
      <c r="F183" s="2440"/>
      <c r="G183" s="2440"/>
      <c r="H183" s="2440"/>
      <c r="I183" s="2440"/>
      <c r="J183" s="2440"/>
      <c r="K183" s="2440"/>
      <c r="L183" s="2440"/>
      <c r="M183" s="2440"/>
      <c r="N183" s="2440"/>
      <c r="O183" s="2440"/>
      <c r="P183" s="2440"/>
      <c r="Q183" s="2440"/>
    </row>
    <row r="184" spans="1:17" s="835" customFormat="1">
      <c r="B184" s="2440"/>
      <c r="C184" s="2440"/>
      <c r="D184" s="2440"/>
      <c r="E184" s="2440"/>
      <c r="F184" s="2440"/>
      <c r="G184" s="2440"/>
      <c r="H184" s="2440"/>
      <c r="I184" s="2440"/>
      <c r="J184" s="2440"/>
      <c r="K184" s="2440"/>
      <c r="L184" s="2440"/>
      <c r="M184" s="2440"/>
      <c r="N184" s="2440"/>
      <c r="O184" s="2440"/>
      <c r="P184" s="2440"/>
      <c r="Q184" s="2440"/>
    </row>
    <row r="185" spans="1:17" s="835" customFormat="1">
      <c r="B185" s="2440"/>
      <c r="C185" s="2440"/>
      <c r="D185" s="2440"/>
      <c r="E185" s="2440"/>
      <c r="F185" s="2440"/>
      <c r="G185" s="2440"/>
      <c r="H185" s="2440"/>
      <c r="I185" s="2440"/>
      <c r="J185" s="2440"/>
      <c r="K185" s="2440"/>
      <c r="L185" s="2440"/>
      <c r="M185" s="2440"/>
      <c r="N185" s="2440"/>
      <c r="O185" s="2440"/>
      <c r="P185" s="2440"/>
      <c r="Q185" s="2440"/>
    </row>
    <row r="186" spans="1:17">
      <c r="A186" s="835"/>
      <c r="B186" s="2440"/>
      <c r="C186" s="2440"/>
      <c r="E186" s="2440"/>
      <c r="F186" s="2440"/>
      <c r="G186" s="2440"/>
    </row>
    <row r="187" spans="1:17">
      <c r="A187" s="835"/>
      <c r="B187" s="2440"/>
      <c r="C187" s="2440"/>
      <c r="E187" s="2440"/>
      <c r="F187" s="2440"/>
      <c r="G187" s="244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464" customWidth="1"/>
    <col min="2" max="9" width="15.75" style="2464" customWidth="1"/>
    <col min="10" max="16384" width="9" style="2464"/>
  </cols>
  <sheetData>
    <row r="1" spans="1:11" ht="16.5">
      <c r="A1" s="2463" t="s">
        <v>1089</v>
      </c>
      <c r="B1" s="2463">
        <f>SUM(B14:B23)</f>
        <v>256</v>
      </c>
      <c r="C1" s="2628"/>
      <c r="D1" s="2628"/>
      <c r="E1" s="2628"/>
      <c r="F1" s="2628"/>
      <c r="G1" s="2629"/>
      <c r="H1" s="2629"/>
      <c r="I1" s="2629"/>
      <c r="J1" s="2629"/>
      <c r="K1" s="2629"/>
    </row>
    <row r="2" spans="1:11" ht="16.5">
      <c r="A2" s="2463" t="s">
        <v>1077</v>
      </c>
      <c r="B2" s="2463">
        <f>SUM(C14:C23)</f>
        <v>0.25</v>
      </c>
      <c r="C2" s="2628"/>
      <c r="D2" s="2628"/>
      <c r="E2" s="2628"/>
      <c r="F2" s="2628"/>
      <c r="G2" s="2629"/>
      <c r="H2" s="2629"/>
      <c r="I2" s="2629"/>
      <c r="J2" s="2629"/>
      <c r="K2" s="2629"/>
    </row>
    <row r="3" spans="1:11" ht="16.5">
      <c r="A3" s="2463" t="s">
        <v>1086</v>
      </c>
      <c r="B3" s="2465">
        <f>项目基本情况!D3</f>
        <v>44914</v>
      </c>
      <c r="C3" s="2628"/>
      <c r="D3" s="2628"/>
      <c r="E3" s="2628"/>
      <c r="F3" s="2628"/>
      <c r="G3" s="2629"/>
      <c r="H3" s="2629"/>
      <c r="I3" s="2629"/>
      <c r="J3" s="2629"/>
      <c r="K3" s="2629"/>
    </row>
    <row r="4" spans="1:11" ht="33">
      <c r="A4" s="2463" t="s">
        <v>1085</v>
      </c>
      <c r="B4" s="2463" t="s">
        <v>1084</v>
      </c>
      <c r="C4" s="2463" t="s">
        <v>1083</v>
      </c>
      <c r="D4" s="2463" t="s">
        <v>1082</v>
      </c>
      <c r="E4" s="2628"/>
      <c r="F4" s="2629"/>
      <c r="G4" s="2629"/>
      <c r="H4" s="2629"/>
      <c r="I4" s="2629"/>
      <c r="J4" s="2629"/>
      <c r="K4" s="2629"/>
    </row>
    <row r="5" spans="1:11" ht="16.5">
      <c r="A5" s="2463" t="s">
        <v>1081</v>
      </c>
      <c r="B5" s="2463">
        <f ca="1">SUM(D14:D23)</f>
        <v>1417</v>
      </c>
      <c r="C5" s="2463">
        <f ca="1">ROUND(B5*10000/$B$1,0)</f>
        <v>55352</v>
      </c>
      <c r="D5" s="2463">
        <f ca="1">ROUND(B5*10000/$B$2,0)</f>
        <v>56680000</v>
      </c>
      <c r="E5" s="2628"/>
      <c r="F5" s="2629"/>
      <c r="G5" s="2629"/>
      <c r="H5" s="2629"/>
      <c r="I5" s="2629"/>
      <c r="J5" s="2629"/>
      <c r="K5" s="2629"/>
    </row>
    <row r="6" spans="1:11" ht="16.5">
      <c r="A6" s="2463" t="s">
        <v>1080</v>
      </c>
      <c r="B6" s="2463">
        <f ca="1">SUM(G14:G23)</f>
        <v>1417</v>
      </c>
      <c r="C6" s="2463">
        <f ca="1">ROUND(B6*10000/$B$1,0)</f>
        <v>55352</v>
      </c>
      <c r="D6" s="2463">
        <f ca="1">ROUND(B6*10000/$B$2,0)</f>
        <v>56680000</v>
      </c>
      <c r="E6" s="2628"/>
      <c r="F6" s="2629"/>
      <c r="G6" s="2629"/>
      <c r="H6" s="2629"/>
      <c r="I6" s="2629"/>
      <c r="J6" s="2629"/>
      <c r="K6" s="2629"/>
    </row>
    <row r="7" spans="1:11" ht="16.5">
      <c r="A7" s="2463" t="s">
        <v>1088</v>
      </c>
      <c r="B7" s="2463">
        <f>SUM(H14:H23)</f>
        <v>0</v>
      </c>
      <c r="C7" s="2463">
        <f>ROUND(B7*10000/$B$1,0)</f>
        <v>0</v>
      </c>
      <c r="D7" s="2463">
        <f>ROUND(B7*10000/$B$2,0)</f>
        <v>0</v>
      </c>
      <c r="E7" s="2628"/>
      <c r="F7" s="2629"/>
      <c r="G7" s="2629"/>
      <c r="H7" s="2629"/>
      <c r="I7" s="2629"/>
      <c r="J7" s="2629"/>
      <c r="K7" s="2629"/>
    </row>
    <row r="8" spans="1:11" ht="16.5">
      <c r="A8" s="2463" t="s">
        <v>1011</v>
      </c>
      <c r="B8" s="2463">
        <f>SUM(I14:I23)</f>
        <v>0</v>
      </c>
      <c r="C8" s="2463">
        <f>ROUND(B8*10000/$B$1,0)</f>
        <v>0</v>
      </c>
      <c r="D8" s="2463">
        <f>ROUND(B8*10000/$B$2,0)</f>
        <v>0</v>
      </c>
      <c r="E8" s="2628"/>
      <c r="F8" s="2629"/>
      <c r="G8" s="2629"/>
      <c r="H8" s="2629"/>
      <c r="I8" s="2629"/>
      <c r="J8" s="2629"/>
      <c r="K8" s="2629"/>
    </row>
    <row r="9" spans="1:11" ht="16.5">
      <c r="A9" s="2463" t="s">
        <v>1079</v>
      </c>
      <c r="B9" s="1359"/>
      <c r="C9" s="2628"/>
      <c r="D9" s="2628"/>
      <c r="E9" s="2628"/>
      <c r="F9" s="2629"/>
      <c r="G9" s="2629"/>
      <c r="H9" s="2629"/>
      <c r="I9" s="2629"/>
      <c r="J9" s="2629"/>
      <c r="K9" s="2629"/>
    </row>
    <row r="10" spans="1:11" ht="16.5">
      <c r="A10" s="2463" t="s">
        <v>1078</v>
      </c>
      <c r="B10" s="1359"/>
      <c r="C10" s="2628"/>
      <c r="D10" s="2628"/>
      <c r="E10" s="2628"/>
      <c r="F10" s="2629"/>
      <c r="G10" s="2629"/>
      <c r="H10" s="2629"/>
      <c r="I10" s="2629"/>
      <c r="J10" s="2629"/>
      <c r="K10" s="2629"/>
    </row>
    <row r="11" spans="1:11" ht="16.5">
      <c r="A11" s="2463" t="s">
        <v>1094</v>
      </c>
      <c r="B11" s="1359"/>
      <c r="C11" s="2628"/>
      <c r="D11" s="2628"/>
      <c r="E11" s="2628"/>
      <c r="F11" s="2629"/>
      <c r="G11" s="2629"/>
      <c r="H11" s="2629"/>
      <c r="I11" s="2629"/>
      <c r="J11" s="2629"/>
      <c r="K11" s="2629"/>
    </row>
    <row r="12" spans="1:11" ht="16.5">
      <c r="A12" s="2628"/>
      <c r="B12" s="2628"/>
      <c r="C12" s="2628"/>
      <c r="D12" s="2628"/>
      <c r="E12" s="2628"/>
      <c r="F12" s="2629"/>
      <c r="G12" s="2629"/>
      <c r="H12" s="2629"/>
      <c r="I12" s="2629"/>
      <c r="J12" s="2629"/>
      <c r="K12" s="2629"/>
    </row>
    <row r="13" spans="1:11" ht="33">
      <c r="A13" s="2466" t="s">
        <v>1093</v>
      </c>
      <c r="B13" s="2467" t="s">
        <v>1090</v>
      </c>
      <c r="C13" s="2467" t="s">
        <v>1092</v>
      </c>
      <c r="D13" s="2467" t="s">
        <v>1091</v>
      </c>
      <c r="E13" s="2463" t="s">
        <v>1083</v>
      </c>
      <c r="F13" s="2463" t="s">
        <v>1082</v>
      </c>
      <c r="G13" s="2467" t="s">
        <v>1076</v>
      </c>
      <c r="H13" s="2467" t="s">
        <v>1087</v>
      </c>
      <c r="I13" s="2467" t="s">
        <v>1075</v>
      </c>
      <c r="J13" s="2629"/>
      <c r="K13" s="2629"/>
    </row>
    <row r="14" spans="1:11" ht="16.5">
      <c r="A14" s="2468" t="s">
        <v>1074</v>
      </c>
      <c r="B14" s="2469">
        <f>结果表!B118</f>
        <v>256</v>
      </c>
      <c r="C14" s="2469">
        <f>结果表!C118</f>
        <v>0.25</v>
      </c>
      <c r="D14" s="2469">
        <f ca="1">结果表!H118</f>
        <v>1417</v>
      </c>
      <c r="E14" s="2469">
        <f ca="1">ROUND(D14*10000/B14,0)</f>
        <v>55352</v>
      </c>
      <c r="F14" s="2469">
        <f ca="1">ROUND(D14*10000/C14,0)</f>
        <v>56680000</v>
      </c>
      <c r="G14" s="2469">
        <f ca="1">结果表!D122</f>
        <v>1417</v>
      </c>
      <c r="H14" s="2469" t="str">
        <f>结果表!D124</f>
        <v>——</v>
      </c>
      <c r="I14" s="2469" t="str">
        <f>结果表!D126</f>
        <v>——</v>
      </c>
      <c r="J14" s="2629"/>
      <c r="K14" s="2629"/>
    </row>
    <row r="15" spans="1:11" ht="16.5">
      <c r="A15" s="2468" t="s">
        <v>1073</v>
      </c>
      <c r="B15" s="2470"/>
      <c r="C15" s="2470"/>
      <c r="D15" s="2470"/>
      <c r="E15" s="2469" t="e">
        <f t="shared" ref="E15:E23" si="0">ROUND(D15*10000/B15,0)</f>
        <v>#DIV/0!</v>
      </c>
      <c r="F15" s="2469" t="e">
        <f t="shared" ref="F15:F23" si="1">ROUND(D15*10000/C15,0)</f>
        <v>#DIV/0!</v>
      </c>
      <c r="G15" s="1359"/>
      <c r="H15" s="1359"/>
      <c r="I15" s="2470"/>
      <c r="J15" s="2629"/>
      <c r="K15" s="2629"/>
    </row>
    <row r="16" spans="1:11" ht="16.5">
      <c r="A16" s="2468" t="s">
        <v>1072</v>
      </c>
      <c r="B16" s="2470"/>
      <c r="C16" s="2470"/>
      <c r="D16" s="2470"/>
      <c r="E16" s="2469" t="e">
        <f t="shared" si="0"/>
        <v>#DIV/0!</v>
      </c>
      <c r="F16" s="2469" t="e">
        <f t="shared" si="1"/>
        <v>#DIV/0!</v>
      </c>
      <c r="G16" s="1359"/>
      <c r="H16" s="1359"/>
      <c r="I16" s="2470"/>
      <c r="J16" s="2629"/>
      <c r="K16" s="2629"/>
    </row>
    <row r="17" spans="1:11" ht="16.5">
      <c r="A17" s="2468" t="s">
        <v>1071</v>
      </c>
      <c r="B17" s="2470"/>
      <c r="C17" s="2470"/>
      <c r="D17" s="2470"/>
      <c r="E17" s="2469" t="e">
        <f t="shared" si="0"/>
        <v>#DIV/0!</v>
      </c>
      <c r="F17" s="2469" t="e">
        <f t="shared" si="1"/>
        <v>#DIV/0!</v>
      </c>
      <c r="G17" s="1359"/>
      <c r="H17" s="1359"/>
      <c r="I17" s="2470"/>
      <c r="J17" s="2629"/>
      <c r="K17" s="2629"/>
    </row>
    <row r="18" spans="1:11" ht="16.5">
      <c r="A18" s="2468" t="s">
        <v>1070</v>
      </c>
      <c r="B18" s="2470"/>
      <c r="C18" s="2470"/>
      <c r="D18" s="2470"/>
      <c r="E18" s="2469" t="e">
        <f t="shared" si="0"/>
        <v>#DIV/0!</v>
      </c>
      <c r="F18" s="2469" t="e">
        <f t="shared" si="1"/>
        <v>#DIV/0!</v>
      </c>
      <c r="G18" s="2470"/>
      <c r="H18" s="2470"/>
      <c r="I18" s="2470"/>
      <c r="J18" s="2629"/>
      <c r="K18" s="2629"/>
    </row>
    <row r="19" spans="1:11" ht="16.5">
      <c r="A19" s="2468" t="s">
        <v>1069</v>
      </c>
      <c r="B19" s="2470"/>
      <c r="C19" s="2470"/>
      <c r="D19" s="2470"/>
      <c r="E19" s="2469" t="e">
        <f t="shared" si="0"/>
        <v>#DIV/0!</v>
      </c>
      <c r="F19" s="2469" t="e">
        <f t="shared" si="1"/>
        <v>#DIV/0!</v>
      </c>
      <c r="G19" s="2470"/>
      <c r="H19" s="2470"/>
      <c r="I19" s="2470"/>
      <c r="J19" s="2629"/>
      <c r="K19" s="2629"/>
    </row>
    <row r="20" spans="1:11" ht="16.5">
      <c r="A20" s="2468" t="s">
        <v>1068</v>
      </c>
      <c r="B20" s="2470"/>
      <c r="C20" s="2470"/>
      <c r="D20" s="2470"/>
      <c r="E20" s="2469" t="e">
        <f t="shared" si="0"/>
        <v>#DIV/0!</v>
      </c>
      <c r="F20" s="2469" t="e">
        <f t="shared" si="1"/>
        <v>#DIV/0!</v>
      </c>
      <c r="G20" s="2470"/>
      <c r="H20" s="2470"/>
      <c r="I20" s="2470"/>
      <c r="J20" s="2629"/>
      <c r="K20" s="2629"/>
    </row>
    <row r="21" spans="1:11" ht="16.5">
      <c r="A21" s="2468" t="s">
        <v>1067</v>
      </c>
      <c r="B21" s="2470"/>
      <c r="C21" s="2470"/>
      <c r="D21" s="2470"/>
      <c r="E21" s="2469" t="e">
        <f t="shared" si="0"/>
        <v>#DIV/0!</v>
      </c>
      <c r="F21" s="2469" t="e">
        <f t="shared" si="1"/>
        <v>#DIV/0!</v>
      </c>
      <c r="G21" s="2470"/>
      <c r="H21" s="2470"/>
      <c r="I21" s="2470"/>
      <c r="J21" s="2629"/>
      <c r="K21" s="2629"/>
    </row>
    <row r="22" spans="1:11" ht="16.5">
      <c r="A22" s="2468" t="s">
        <v>1066</v>
      </c>
      <c r="B22" s="2470"/>
      <c r="C22" s="2470"/>
      <c r="D22" s="2470"/>
      <c r="E22" s="2469" t="e">
        <f t="shared" si="0"/>
        <v>#DIV/0!</v>
      </c>
      <c r="F22" s="2469" t="e">
        <f t="shared" si="1"/>
        <v>#DIV/0!</v>
      </c>
      <c r="G22" s="2470"/>
      <c r="H22" s="2470"/>
      <c r="I22" s="2470"/>
      <c r="J22" s="2629"/>
      <c r="K22" s="2629"/>
    </row>
    <row r="23" spans="1:11" ht="16.5">
      <c r="A23" s="2468" t="s">
        <v>1065</v>
      </c>
      <c r="B23" s="2470"/>
      <c r="C23" s="2470"/>
      <c r="D23" s="2470"/>
      <c r="E23" s="1359" t="e">
        <f t="shared" si="0"/>
        <v>#DIV/0!</v>
      </c>
      <c r="F23" s="1359" t="e">
        <f t="shared" si="1"/>
        <v>#DIV/0!</v>
      </c>
      <c r="G23" s="2470"/>
      <c r="H23" s="2470"/>
      <c r="I23" s="2470"/>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5" sqref="C5:D16"/>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1706</v>
      </c>
      <c r="B1" s="655"/>
      <c r="C1" s="1750" t="s">
        <v>3178</v>
      </c>
      <c r="D1" s="655"/>
      <c r="E1" s="655"/>
      <c r="F1" s="1751" t="s">
        <v>1707</v>
      </c>
      <c r="G1" s="1583"/>
      <c r="H1" s="1751" t="str">
        <f>IF(G1="现房","——","估价对象范围")</f>
        <v>估价对象范围</v>
      </c>
      <c r="I1" s="1752"/>
    </row>
    <row r="2" spans="1:12" ht="21.75" customHeight="1" thickBot="1">
      <c r="A2" s="3188" t="str">
        <f>项目基本情况!S2</f>
        <v>北京市房地产</v>
      </c>
      <c r="B2" s="3189"/>
      <c r="C2" s="3189"/>
      <c r="D2" s="3189"/>
      <c r="E2" s="3189"/>
      <c r="F2" s="3189"/>
      <c r="G2" s="3189"/>
      <c r="H2" s="3189"/>
      <c r="I2" s="3190"/>
    </row>
    <row r="3" spans="1:12" ht="12.75">
      <c r="A3" s="3192" t="s">
        <v>1708</v>
      </c>
      <c r="B3" s="3193"/>
      <c r="C3" s="3193"/>
      <c r="D3" s="3193"/>
      <c r="E3" s="3193"/>
      <c r="F3" s="3193"/>
      <c r="G3" s="3193"/>
      <c r="H3" s="3193"/>
      <c r="I3" s="3193"/>
    </row>
    <row r="4" spans="1:12" ht="14.25">
      <c r="A4" s="1754" t="s">
        <v>1709</v>
      </c>
      <c r="B4" s="1755" t="s">
        <v>1710</v>
      </c>
      <c r="C4" s="1756" t="s">
        <v>3237</v>
      </c>
      <c r="D4" s="1756" t="s">
        <v>3232</v>
      </c>
      <c r="E4" s="3197" t="s">
        <v>1711</v>
      </c>
      <c r="F4" s="3198"/>
      <c r="G4" s="3198"/>
      <c r="H4" s="3198"/>
      <c r="I4" s="3199"/>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133" t="s">
        <v>1712</v>
      </c>
      <c r="B5" s="3191">
        <v>25</v>
      </c>
      <c r="C5" s="3194">
        <v>22</v>
      </c>
      <c r="D5" s="3182">
        <v>13</v>
      </c>
      <c r="E5" s="128" t="s">
        <v>1713</v>
      </c>
      <c r="F5" s="1757"/>
      <c r="G5" s="1757"/>
      <c r="H5" s="1757"/>
      <c r="I5" s="1410"/>
    </row>
    <row r="6" spans="1:12" ht="12.75">
      <c r="A6" s="3133"/>
      <c r="B6" s="3191"/>
      <c r="C6" s="3196"/>
      <c r="D6" s="3182"/>
      <c r="E6" s="128" t="s">
        <v>1714</v>
      </c>
      <c r="F6" s="1757"/>
      <c r="G6" s="1757"/>
      <c r="H6" s="1757"/>
      <c r="I6" s="1410"/>
    </row>
    <row r="7" spans="1:12" ht="12.75">
      <c r="A7" s="3133"/>
      <c r="B7" s="3191"/>
      <c r="C7" s="3195"/>
      <c r="D7" s="3182"/>
      <c r="E7" s="128" t="s">
        <v>1715</v>
      </c>
      <c r="F7" s="1757"/>
      <c r="G7" s="1757"/>
      <c r="H7" s="1757"/>
      <c r="I7" s="1410"/>
    </row>
    <row r="8" spans="1:12" ht="12.75">
      <c r="A8" s="3133" t="s">
        <v>1716</v>
      </c>
      <c r="B8" s="3191">
        <v>15</v>
      </c>
      <c r="C8" s="3194">
        <v>13</v>
      </c>
      <c r="D8" s="3182">
        <v>9</v>
      </c>
      <c r="E8" s="128" t="s">
        <v>1717</v>
      </c>
      <c r="F8" s="1757"/>
      <c r="G8" s="1757"/>
      <c r="H8" s="1757"/>
      <c r="I8" s="1410"/>
    </row>
    <row r="9" spans="1:12" ht="12.75">
      <c r="A9" s="3133"/>
      <c r="B9" s="3191"/>
      <c r="C9" s="3195"/>
      <c r="D9" s="3182"/>
      <c r="E9" s="128" t="s">
        <v>1718</v>
      </c>
      <c r="F9" s="1757"/>
      <c r="G9" s="1757"/>
      <c r="H9" s="1757"/>
      <c r="I9" s="1410"/>
    </row>
    <row r="10" spans="1:12" ht="12.75">
      <c r="A10" s="3133" t="s">
        <v>1719</v>
      </c>
      <c r="B10" s="3191">
        <v>15</v>
      </c>
      <c r="C10" s="3194">
        <v>13</v>
      </c>
      <c r="D10" s="3182">
        <v>9</v>
      </c>
      <c r="E10" s="128" t="s">
        <v>1720</v>
      </c>
      <c r="F10" s="1757"/>
      <c r="G10" s="1757"/>
      <c r="H10" s="1757"/>
      <c r="I10" s="1410"/>
    </row>
    <row r="11" spans="1:12" ht="12.75">
      <c r="A11" s="3133"/>
      <c r="B11" s="3191"/>
      <c r="C11" s="3195"/>
      <c r="D11" s="3182"/>
      <c r="E11" s="128" t="s">
        <v>1721</v>
      </c>
      <c r="F11" s="1757"/>
      <c r="G11" s="1757"/>
      <c r="H11" s="1757"/>
      <c r="I11" s="1410"/>
    </row>
    <row r="12" spans="1:12" ht="12.75">
      <c r="A12" s="3133" t="s">
        <v>1722</v>
      </c>
      <c r="B12" s="3191">
        <v>15</v>
      </c>
      <c r="C12" s="3194">
        <v>13</v>
      </c>
      <c r="D12" s="3182">
        <v>9</v>
      </c>
      <c r="E12" s="128" t="s">
        <v>1723</v>
      </c>
      <c r="F12" s="1757"/>
      <c r="G12" s="1757"/>
      <c r="H12" s="1757"/>
      <c r="I12" s="1410"/>
    </row>
    <row r="13" spans="1:12" ht="12.75">
      <c r="A13" s="3133"/>
      <c r="B13" s="3191"/>
      <c r="C13" s="3195"/>
      <c r="D13" s="3182"/>
      <c r="E13" s="128" t="s">
        <v>1724</v>
      </c>
      <c r="F13" s="1757"/>
      <c r="G13" s="1757"/>
      <c r="H13" s="1757"/>
      <c r="I13" s="1410"/>
    </row>
    <row r="14" spans="1:12" ht="12.75">
      <c r="A14" s="3133" t="s">
        <v>1725</v>
      </c>
      <c r="B14" s="3191">
        <v>30</v>
      </c>
      <c r="C14" s="3194">
        <v>25</v>
      </c>
      <c r="D14" s="3182">
        <v>18</v>
      </c>
      <c r="E14" s="128" t="s">
        <v>1726</v>
      </c>
      <c r="F14" s="1757"/>
      <c r="G14" s="1757"/>
      <c r="H14" s="1757"/>
      <c r="I14" s="1410"/>
    </row>
    <row r="15" spans="1:12" ht="12.75">
      <c r="A15" s="3133"/>
      <c r="B15" s="3191"/>
      <c r="C15" s="3196"/>
      <c r="D15" s="3182"/>
      <c r="E15" s="128" t="s">
        <v>1727</v>
      </c>
      <c r="F15" s="1757"/>
      <c r="G15" s="1757"/>
      <c r="H15" s="1757"/>
      <c r="I15" s="1410"/>
    </row>
    <row r="16" spans="1:12" ht="12.75">
      <c r="A16" s="3133"/>
      <c r="B16" s="3191"/>
      <c r="C16" s="3195"/>
      <c r="D16" s="3182"/>
      <c r="E16" s="128" t="s">
        <v>1728</v>
      </c>
      <c r="F16" s="1757"/>
      <c r="G16" s="1757"/>
      <c r="H16" s="1757"/>
      <c r="I16" s="1410"/>
    </row>
    <row r="17" spans="1:36" ht="15">
      <c r="A17" s="1758" t="s">
        <v>1729</v>
      </c>
      <c r="B17" s="58"/>
      <c r="C17" s="129">
        <f>SUM(C5:C16)</f>
        <v>86</v>
      </c>
      <c r="D17" s="129">
        <f>SUM(D5:D16)</f>
        <v>58</v>
      </c>
      <c r="E17" s="126"/>
      <c r="F17" s="126"/>
      <c r="G17" s="126"/>
      <c r="H17" s="126"/>
      <c r="I17" s="126"/>
      <c r="K17" s="300"/>
      <c r="L17" s="300" t="s">
        <v>1730</v>
      </c>
      <c r="M17" s="300" t="s">
        <v>1731</v>
      </c>
    </row>
    <row r="18" spans="1:36" ht="31.9" customHeight="1" thickBot="1">
      <c r="A18" s="1759" t="s">
        <v>1732</v>
      </c>
      <c r="B18" s="1672"/>
      <c r="C18" s="130">
        <f>ROUND(C17/SUM(C17:D17),2)</f>
        <v>0.6</v>
      </c>
      <c r="D18" s="130">
        <f>1-C18</f>
        <v>0.4</v>
      </c>
      <c r="E18" s="3213" t="s">
        <v>2631</v>
      </c>
      <c r="F18" s="3214"/>
      <c r="G18" s="3214"/>
      <c r="H18" s="3214"/>
      <c r="I18" s="3214"/>
      <c r="K18" s="300" t="s">
        <v>1733</v>
      </c>
      <c r="L18" s="300">
        <f>IF(C1="",'数据-汇总表'!E3,SUMIF(项目类型,C1,'数据-汇总表'!E17:E26)+SUMIF(项目类型,C1,'数据-汇总表'!I17:I26))</f>
        <v>256</v>
      </c>
      <c r="M18" s="300">
        <f>IF(C1="",'数据-汇总表'!E3,SUMIF(项目类型,C1,'数据-汇总表'!E17:E26))</f>
        <v>256</v>
      </c>
    </row>
    <row r="19" spans="1:36" ht="15">
      <c r="A19" s="1760" t="s">
        <v>1734</v>
      </c>
      <c r="B19" s="1761" t="s">
        <v>1735</v>
      </c>
      <c r="C19" s="131">
        <f ca="1">SUMIF(INDIRECT("'"&amp;C4&amp;"'"&amp;"!A:A"),结果表!B19,INDIRECT("'"&amp;C4&amp;"'"&amp;"!B:B"))</f>
        <v>1548</v>
      </c>
      <c r="D19" s="132">
        <f ca="1">SUMIF(INDIRECT("'"&amp;D4&amp;"'"&amp;"!A:A"),结果表!B19,INDIRECT("'"&amp;D4&amp;"'"&amp;"!B:B"))</f>
        <v>1221</v>
      </c>
      <c r="E19" s="1760" t="s">
        <v>1736</v>
      </c>
      <c r="F19" s="1761" t="s">
        <v>1735</v>
      </c>
      <c r="G19" s="133">
        <f ca="1">ROUND(C19*$C$18+D19*$D$18,0)</f>
        <v>1417</v>
      </c>
      <c r="H19" s="1762" t="s">
        <v>1737</v>
      </c>
      <c r="I19" s="126"/>
      <c r="K19" s="300" t="s">
        <v>1738</v>
      </c>
      <c r="L19" s="300">
        <f>IF(C1="",'数据-汇总表'!D3,SUMIF(项目类型,C1,'数据-汇总表'!D17:D26)+SUMIF(项目类型,C1,'数据-汇总表'!H17:H27))</f>
        <v>0.25</v>
      </c>
      <c r="M19" s="300">
        <f>IF(C1="",'数据-汇总表'!D3,SUMIF(项目类型,C1,'数据-汇总表'!D17:D26))</f>
        <v>0.25</v>
      </c>
    </row>
    <row r="20" spans="1:36" ht="15">
      <c r="A20" s="1763"/>
      <c r="B20" s="46" t="s">
        <v>1739</v>
      </c>
      <c r="C20" s="2978">
        <f ca="1">SUMIF(INDIRECT("'"&amp;C4&amp;"'"&amp;"!A:A"),结果表!B20,INDIRECT("'"&amp;C4&amp;"'"&amp;"!B:B"))</f>
        <v>60469</v>
      </c>
      <c r="D20" s="135">
        <f ca="1">SUMIF(INDIRECT("'"&amp;D4&amp;"'"&amp;"!A:A"),结果表!B20,INDIRECT("'"&amp;D4&amp;"'"&amp;"!B:B"))</f>
        <v>47695</v>
      </c>
      <c r="E20" s="1763"/>
      <c r="F20" s="46" t="s">
        <v>1739</v>
      </c>
      <c r="G20" s="136">
        <f ca="1">ROUND(C20*$C$18+D20*$D$18,0)</f>
        <v>55359</v>
      </c>
      <c r="H20" s="845" t="s">
        <v>1740</v>
      </c>
      <c r="I20" s="126"/>
    </row>
    <row r="21" spans="1:36" ht="15" customHeight="1" thickBot="1">
      <c r="A21" s="457"/>
      <c r="B21" s="98" t="s">
        <v>1741</v>
      </c>
      <c r="C21" s="687">
        <f ca="1">ROUND(C19*10000/L19,0)</f>
        <v>61920000</v>
      </c>
      <c r="D21" s="688">
        <f ca="1">ROUND(D19*10000/L19,0)</f>
        <v>48840000</v>
      </c>
      <c r="E21" s="457"/>
      <c r="F21" s="98" t="s">
        <v>1741</v>
      </c>
      <c r="G21" s="137">
        <f ca="1">ROUND(G19*10000/L19,0)</f>
        <v>56680000</v>
      </c>
      <c r="H21" s="1764" t="s">
        <v>1740</v>
      </c>
      <c r="I21" s="126"/>
    </row>
    <row r="22" spans="1:36" ht="15" thickBot="1">
      <c r="A22" s="1694" t="s">
        <v>1742</v>
      </c>
      <c r="B22" s="1765"/>
      <c r="C22" s="1766"/>
      <c r="D22" s="689">
        <f ca="1">IF(C19&lt;D19,D19/C19-1,C19/D19-1)</f>
        <v>0.26781326781326786</v>
      </c>
      <c r="E22" s="126"/>
      <c r="F22" s="126"/>
      <c r="G22" s="126"/>
      <c r="H22" s="126"/>
      <c r="I22" s="126"/>
    </row>
    <row r="23" spans="1:36" ht="13.5" thickBot="1">
      <c r="A23" s="655"/>
      <c r="B23" s="655"/>
      <c r="C23" s="655"/>
      <c r="D23" s="655"/>
      <c r="E23" s="126"/>
      <c r="F23" s="126"/>
      <c r="G23" s="126"/>
      <c r="H23" s="126"/>
      <c r="I23" s="126"/>
    </row>
    <row r="24" spans="1:36" ht="14.25">
      <c r="A24" s="3206" t="s">
        <v>1743</v>
      </c>
      <c r="B24" s="1761" t="s">
        <v>1735</v>
      </c>
      <c r="C24" s="133">
        <f>IF(B30=0,0,D30)</f>
        <v>0</v>
      </c>
      <c r="D24" s="1767"/>
      <c r="E24" s="126"/>
      <c r="F24" s="126"/>
      <c r="G24" s="126"/>
      <c r="H24" s="126"/>
      <c r="I24" s="126"/>
    </row>
    <row r="25" spans="1:36" ht="14.25">
      <c r="A25" s="3207"/>
      <c r="B25" s="46" t="s">
        <v>1739</v>
      </c>
      <c r="C25" s="138">
        <f>IF(B30=0,0,C30)</f>
        <v>0</v>
      </c>
      <c r="D25" s="1768"/>
      <c r="E25" s="126"/>
      <c r="F25" s="126"/>
      <c r="G25" s="126"/>
      <c r="H25" s="126"/>
      <c r="I25" s="126"/>
    </row>
    <row r="26" spans="1:36" ht="13.5" customHeight="1">
      <c r="A26" s="1769" t="s">
        <v>1744</v>
      </c>
      <c r="B26" s="139" t="s">
        <v>1745</v>
      </c>
      <c r="C26" s="139" t="s">
        <v>1746</v>
      </c>
      <c r="D26" s="140" t="s">
        <v>1747</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1748</v>
      </c>
      <c r="B30" s="139"/>
      <c r="C30" s="139"/>
      <c r="D30" s="139"/>
      <c r="E30" s="2284" t="s">
        <v>2632</v>
      </c>
      <c r="F30" s="126"/>
      <c r="G30" s="126"/>
      <c r="H30" s="126"/>
      <c r="I30" s="126"/>
    </row>
    <row r="31" spans="1:36" s="2290" customFormat="1" ht="26.45" customHeight="1" thickTop="1" thickBot="1">
      <c r="A31" s="2285"/>
      <c r="B31" s="2286"/>
      <c r="C31" s="2286"/>
      <c r="D31" s="2286"/>
      <c r="E31" s="2286"/>
      <c r="F31" s="2286"/>
      <c r="G31" s="2286"/>
      <c r="H31" s="2286"/>
      <c r="I31" s="2287" t="s">
        <v>2633</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1749</v>
      </c>
      <c r="B32" s="1665"/>
      <c r="C32" s="141">
        <f ca="1">IF(D32="总价",G19-C24,G20-C25)</f>
        <v>55359</v>
      </c>
      <c r="D32" s="1771" t="s">
        <v>3251</v>
      </c>
      <c r="E32" s="126"/>
      <c r="F32" s="126"/>
      <c r="G32" s="126"/>
      <c r="H32" s="126"/>
      <c r="I32" s="126"/>
    </row>
    <row r="33" spans="1:15" ht="15">
      <c r="A33" s="824" t="s">
        <v>1750</v>
      </c>
      <c r="B33" s="128"/>
      <c r="C33" s="1772"/>
      <c r="D33" s="1773"/>
      <c r="E33" s="1774" t="s">
        <v>1751</v>
      </c>
      <c r="F33" s="1775" t="str">
        <f>IF(D32="楼面单价","取值（单价）","取值（总价）")</f>
        <v>取值（单价）</v>
      </c>
      <c r="G33" s="126"/>
      <c r="H33" s="126"/>
      <c r="I33" s="126"/>
    </row>
    <row r="34" spans="1:15" ht="15">
      <c r="A34" s="1776"/>
      <c r="B34" s="1777" t="s">
        <v>1752</v>
      </c>
      <c r="C34" s="145" t="e">
        <f ca="1">IF(C33="自定义",F34,C32-C35)</f>
        <v>#REF!</v>
      </c>
      <c r="D34" s="893" t="e">
        <f ca="1">IF(C33="自定义",ROUND(C34/C32,3),IF(C33="收益比率",SUMIF(INDIRECT("'"&amp;D33&amp;"'"&amp;"!b:b"),"土地收益比率",INDIRECT("'"&amp;D33&amp;"'"&amp;"!c:c")),SUMIF(INDIRECT("'"&amp;D33&amp;"'"&amp;"!b:b"),"土地成本比率",INDIRECT("'"&amp;D33&amp;"'"&amp;"!c:c"))))</f>
        <v>#REF!</v>
      </c>
      <c r="E34" s="1778" t="s">
        <v>1753</v>
      </c>
      <c r="F34" s="1358"/>
      <c r="G34" s="126"/>
      <c r="H34" s="126"/>
      <c r="I34" s="126"/>
    </row>
    <row r="35" spans="1:15" ht="15.75" thickBot="1">
      <c r="A35" s="1779"/>
      <c r="B35" s="1780" t="s">
        <v>1754</v>
      </c>
      <c r="C35" s="1200" t="e">
        <f ca="1">IF(C33="自定义",F35,ROUND(C32*D35,0))</f>
        <v>#REF!</v>
      </c>
      <c r="D35" s="1201" t="e">
        <f ca="1">IF(C33="自定义",ROUND(C35/C32,3),IF(C33="收益比率",SUMIF(INDIRECT("'"&amp;D33&amp;"'"&amp;"!b:b"),"建筑物收益比率",INDIRECT("'"&amp;D33&amp;"'"&amp;"!c:c")),SUMIF(INDIRECT("'"&amp;D33&amp;"'"&amp;"!b:b"),"建筑物成本比率",INDIRECT("'"&amp;D33&amp;"'"&amp;"!c:c"))))</f>
        <v>#REF!</v>
      </c>
      <c r="E35" s="1781" t="s">
        <v>1755</v>
      </c>
      <c r="F35" s="151"/>
      <c r="G35" s="126"/>
      <c r="H35" s="126"/>
      <c r="I35" s="126"/>
    </row>
    <row r="36" spans="1:15" ht="15.75" thickBot="1">
      <c r="A36" s="3183" t="s">
        <v>1756</v>
      </c>
      <c r="B36" s="1782" t="s">
        <v>1757</v>
      </c>
      <c r="C36" s="142"/>
      <c r="D36" s="1783"/>
      <c r="E36" s="1697"/>
      <c r="F36" s="1784"/>
      <c r="G36" s="126"/>
      <c r="H36" s="126"/>
      <c r="I36" s="126"/>
    </row>
    <row r="37" spans="1:15" ht="15.75" thickBot="1">
      <c r="A37" s="3184"/>
      <c r="B37" s="1685" t="s">
        <v>1758</v>
      </c>
      <c r="C37" s="144"/>
      <c r="D37" s="1181"/>
      <c r="E37" s="1181"/>
      <c r="F37" s="1784"/>
      <c r="G37" s="126"/>
      <c r="H37" s="126"/>
      <c r="I37" s="126"/>
    </row>
    <row r="38" spans="1:15" ht="15.75" thickBot="1">
      <c r="A38" s="3185"/>
      <c r="B38" s="1785" t="s">
        <v>1759</v>
      </c>
      <c r="C38" s="650"/>
      <c r="D38" s="1786" t="s">
        <v>1760</v>
      </c>
      <c r="E38" s="1181"/>
      <c r="F38" s="1784"/>
      <c r="G38" s="126"/>
      <c r="H38" s="126"/>
      <c r="I38" s="126"/>
    </row>
    <row r="39" spans="1:15" ht="15">
      <c r="A39" s="1763" t="s">
        <v>1761</v>
      </c>
      <c r="B39" s="1787" t="s">
        <v>1762</v>
      </c>
      <c r="C39" s="1788" t="s">
        <v>1763</v>
      </c>
      <c r="D39" s="1788" t="s">
        <v>1764</v>
      </c>
      <c r="E39" s="1789" t="s">
        <v>1765</v>
      </c>
      <c r="F39" s="1784"/>
      <c r="G39" s="126"/>
      <c r="H39" s="126"/>
      <c r="I39" s="126"/>
    </row>
    <row r="40" spans="1:15" ht="14.25">
      <c r="A40" s="1790" t="s">
        <v>1766</v>
      </c>
      <c r="B40" s="146"/>
      <c r="C40" s="147"/>
      <c r="D40" s="147"/>
      <c r="E40" s="148"/>
      <c r="F40" s="1784"/>
      <c r="G40" s="126"/>
      <c r="H40" s="126"/>
      <c r="I40" s="126"/>
    </row>
    <row r="41" spans="1:15" ht="14.25">
      <c r="A41" s="1790" t="s">
        <v>1767</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1768</v>
      </c>
      <c r="B44" s="1794"/>
      <c r="C44" s="1794"/>
      <c r="D44" s="1795"/>
      <c r="E44" s="1795"/>
      <c r="F44" s="1796"/>
      <c r="G44" s="1796"/>
      <c r="H44" s="1796"/>
      <c r="I44" s="1796"/>
      <c r="J44" s="1797" t="s">
        <v>1769</v>
      </c>
      <c r="K44" s="7"/>
      <c r="L44" s="7"/>
      <c r="M44" s="7"/>
      <c r="N44" s="7"/>
      <c r="O44" s="7"/>
    </row>
    <row r="45" spans="1:15" ht="14.25" customHeight="1" thickBot="1">
      <c r="A45" s="3203" t="s">
        <v>1770</v>
      </c>
      <c r="B45" s="3204"/>
      <c r="C45" s="3205"/>
      <c r="D45" s="152">
        <f ca="1">ROUND(H101*F45,0)</f>
        <v>1417</v>
      </c>
      <c r="E45" s="153" t="s">
        <v>1771</v>
      </c>
      <c r="F45" s="154">
        <v>1</v>
      </c>
      <c r="G45" s="155" t="s">
        <v>1772</v>
      </c>
      <c r="H45" s="126"/>
      <c r="I45" s="126"/>
      <c r="J45" s="3120" t="s">
        <v>1773</v>
      </c>
      <c r="K45" s="3120"/>
      <c r="L45" s="3120"/>
      <c r="M45" s="3120"/>
      <c r="N45" s="3120"/>
      <c r="O45" s="3120"/>
    </row>
    <row r="46" spans="1:15" ht="14.25" customHeight="1">
      <c r="A46" s="3200" t="s">
        <v>1774</v>
      </c>
      <c r="B46" s="3201"/>
      <c r="C46" s="3201"/>
      <c r="D46" s="3201"/>
      <c r="E46" s="3201"/>
      <c r="F46" s="3201"/>
      <c r="G46" s="3202"/>
      <c r="H46" s="1798"/>
      <c r="I46" s="156"/>
      <c r="J46" s="2473">
        <v>1</v>
      </c>
      <c r="K46" s="3121" t="s">
        <v>1775</v>
      </c>
      <c r="L46" s="3121"/>
      <c r="M46" s="3122"/>
      <c r="N46" s="3122"/>
      <c r="O46" s="3122"/>
    </row>
    <row r="47" spans="1:15" ht="12" customHeight="1">
      <c r="A47" s="157" t="s">
        <v>1776</v>
      </c>
      <c r="B47" s="158"/>
      <c r="C47" s="159"/>
      <c r="D47" s="1132" t="s">
        <v>1777</v>
      </c>
      <c r="E47" s="300" t="s">
        <v>1778</v>
      </c>
      <c r="F47" s="160" t="s">
        <v>1779</v>
      </c>
      <c r="G47" s="2496" t="s">
        <v>1780</v>
      </c>
      <c r="H47" s="2497"/>
      <c r="I47" s="156"/>
      <c r="J47" s="2473">
        <v>2</v>
      </c>
      <c r="K47" s="3121" t="s">
        <v>1781</v>
      </c>
      <c r="L47" s="3121"/>
      <c r="M47" s="3123">
        <f>'数据-取费表'!B2</f>
        <v>44914</v>
      </c>
      <c r="N47" s="3123"/>
      <c r="O47" s="3123"/>
    </row>
    <row r="48" spans="1:15" ht="25.5">
      <c r="A48" s="3186" t="s">
        <v>1782</v>
      </c>
      <c r="B48" s="3187"/>
      <c r="C48" s="3187"/>
      <c r="D48" s="15" t="b">
        <f>IF(H48="情况1",0,IF(H48="情况2",D52,IF(H48="情况3",D53,IF(H48="情况4",D54))))</f>
        <v>0</v>
      </c>
      <c r="E48" s="1385" t="str">
        <f>IF(H48="情况4","(销售额-原购置价)×税（费）率","销售额×税（费）率")</f>
        <v>销售额×税（费）率</v>
      </c>
      <c r="F48" s="2498">
        <f>IF(H48="情况1","免征",'数据-取费表'!B41)</f>
        <v>5.6000000000000001E-2</v>
      </c>
      <c r="G48" s="2499" t="s">
        <v>1783</v>
      </c>
      <c r="H48" s="2500"/>
      <c r="I48" s="1798"/>
      <c r="J48" s="2473">
        <v>3</v>
      </c>
      <c r="K48" s="3121" t="s">
        <v>1784</v>
      </c>
      <c r="L48" s="3121"/>
      <c r="M48" s="3124">
        <f ca="1">H101</f>
        <v>1417</v>
      </c>
      <c r="N48" s="3124"/>
      <c r="O48" s="3124"/>
    </row>
    <row r="49" spans="1:35" ht="25.5" customHeight="1">
      <c r="A49" s="2314" t="s">
        <v>1785</v>
      </c>
      <c r="B49" s="3169" t="s">
        <v>1786</v>
      </c>
      <c r="C49" s="3169"/>
      <c r="D49" s="1608">
        <v>0</v>
      </c>
      <c r="E49" s="322" t="s">
        <v>1787</v>
      </c>
      <c r="F49" s="2397" t="s">
        <v>34</v>
      </c>
      <c r="G49" s="3152"/>
      <c r="H49" s="2291" t="s">
        <v>2634</v>
      </c>
      <c r="I49" s="2292"/>
      <c r="J49" s="2473">
        <v>4</v>
      </c>
      <c r="K49" s="3121" t="str">
        <f>IF(项目基本情况!E8="房地产抵押价值","房地产抵押价值","抵押担保权已注销时的房地产抵押价值")</f>
        <v>抵押担保权已注销时的房地产抵押价值</v>
      </c>
      <c r="L49" s="3121"/>
      <c r="M49" s="3124" t="str">
        <f>IF(项目基本情况!E8="房地产抵押价值",H107,H109)</f>
        <v>——</v>
      </c>
      <c r="N49" s="3124"/>
      <c r="O49" s="3124"/>
    </row>
    <row r="50" spans="1:35" ht="25.5" customHeight="1">
      <c r="A50" s="2501"/>
      <c r="B50" s="3169" t="s">
        <v>1788</v>
      </c>
      <c r="C50" s="3169"/>
      <c r="D50" s="2351"/>
      <c r="E50" s="329"/>
      <c r="F50" s="2397"/>
      <c r="G50" s="3153"/>
      <c r="H50" s="2293" t="s">
        <v>2635</v>
      </c>
      <c r="I50" s="2292"/>
      <c r="J50" s="3120" t="s">
        <v>1789</v>
      </c>
      <c r="K50" s="3120"/>
      <c r="L50" s="3120"/>
      <c r="M50" s="3120"/>
      <c r="N50" s="3120"/>
      <c r="O50" s="3120"/>
    </row>
    <row r="51" spans="1:35" ht="20.45" customHeight="1">
      <c r="A51" s="2502"/>
      <c r="B51" s="3169" t="s">
        <v>1790</v>
      </c>
      <c r="C51" s="3169"/>
      <c r="D51" s="1132"/>
      <c r="E51" s="325"/>
      <c r="F51" s="2397"/>
      <c r="G51" s="3154"/>
      <c r="H51" s="2293" t="s">
        <v>2636</v>
      </c>
      <c r="I51" s="2292"/>
      <c r="J51" s="2474" t="s">
        <v>1791</v>
      </c>
      <c r="K51" s="3121" t="s">
        <v>1792</v>
      </c>
      <c r="L51" s="3121"/>
      <c r="M51" s="2474" t="s">
        <v>1793</v>
      </c>
      <c r="N51" s="2474" t="s">
        <v>1794</v>
      </c>
      <c r="O51" s="2474" t="s">
        <v>1795</v>
      </c>
    </row>
    <row r="52" spans="1:35" ht="24" customHeight="1">
      <c r="A52" s="2315" t="s">
        <v>1796</v>
      </c>
      <c r="B52" s="3169" t="s">
        <v>1797</v>
      </c>
      <c r="C52" s="3169"/>
      <c r="D52" s="1132">
        <f ca="1">ROUND(D45*'数据-取费表'!B41/(1+'数据-取费表'!C42),0)</f>
        <v>76</v>
      </c>
      <c r="E52" s="1385" t="s">
        <v>1798</v>
      </c>
      <c r="F52" s="2503">
        <f>'数据-取费表'!B41</f>
        <v>5.6000000000000001E-2</v>
      </c>
      <c r="G52" s="2504"/>
      <c r="H52" s="2494"/>
      <c r="I52" s="1799"/>
      <c r="J52" s="2473">
        <v>1</v>
      </c>
      <c r="K52" s="3146" t="s">
        <v>1799</v>
      </c>
      <c r="L52" s="3146"/>
      <c r="M52" s="2475" t="b">
        <f>D48</f>
        <v>0</v>
      </c>
      <c r="N52" s="2473" t="str">
        <f>E48</f>
        <v>销售额×税（费）率</v>
      </c>
      <c r="O52" s="2476">
        <f>F48</f>
        <v>5.6000000000000001E-2</v>
      </c>
    </row>
    <row r="53" spans="1:35" ht="12" customHeight="1">
      <c r="A53" s="2315" t="s">
        <v>1800</v>
      </c>
      <c r="B53" s="3170" t="s">
        <v>2788</v>
      </c>
      <c r="C53" s="3171"/>
      <c r="D53" s="1132">
        <f ca="1">ROUND(D45*'数据-取费表'!B41/(1+'数据-取费表'!C42),0)</f>
        <v>76</v>
      </c>
      <c r="E53" s="1385" t="s">
        <v>1798</v>
      </c>
      <c r="F53" s="2503">
        <f>'数据-取费表'!B41</f>
        <v>5.6000000000000001E-2</v>
      </c>
      <c r="G53" s="2504"/>
      <c r="H53" s="2494"/>
      <c r="I53" s="1799"/>
      <c r="J53" s="2473">
        <v>2</v>
      </c>
      <c r="K53" s="3146" t="s">
        <v>1801</v>
      </c>
      <c r="L53" s="3146"/>
      <c r="M53" s="2475">
        <f t="shared" ref="M53:O54" ca="1" si="0">D55</f>
        <v>1</v>
      </c>
      <c r="N53" s="2473" t="str">
        <f t="shared" si="0"/>
        <v>销售额×税（费）率</v>
      </c>
      <c r="O53" s="2476" t="str">
        <f t="shared" si="0"/>
        <v>免征</v>
      </c>
    </row>
    <row r="54" spans="1:35" ht="12" customHeight="1">
      <c r="A54" s="2315" t="s">
        <v>1802</v>
      </c>
      <c r="B54" s="3170" t="s">
        <v>2789</v>
      </c>
      <c r="C54" s="3171"/>
      <c r="D54" s="1132">
        <f ca="1">C68</f>
        <v>76</v>
      </c>
      <c r="E54" s="325" t="s">
        <v>1803</v>
      </c>
      <c r="F54" s="2503">
        <f>'数据-取费表'!B41</f>
        <v>5.6000000000000001E-2</v>
      </c>
      <c r="G54" s="2504"/>
      <c r="H54" s="2505"/>
      <c r="I54" s="1799"/>
      <c r="J54" s="2473">
        <v>3</v>
      </c>
      <c r="K54" s="3146" t="s">
        <v>1804</v>
      </c>
      <c r="L54" s="3146"/>
      <c r="M54" s="2475">
        <f t="shared" ca="1" si="0"/>
        <v>802</v>
      </c>
      <c r="N54" s="2473" t="str">
        <f t="shared" si="0"/>
        <v>增值额×税（费）率</v>
      </c>
      <c r="O54" s="2477" t="str">
        <f t="shared" si="0"/>
        <v>免征</v>
      </c>
    </row>
    <row r="55" spans="1:35" ht="24" customHeight="1">
      <c r="A55" s="3209" t="s">
        <v>1805</v>
      </c>
      <c r="B55" s="3187"/>
      <c r="C55" s="3187"/>
      <c r="D55" s="15">
        <f ca="1">IF(H55="个人住宅",0,ROUND(D45*I55,0))</f>
        <v>1</v>
      </c>
      <c r="E55" s="1385" t="s">
        <v>1806</v>
      </c>
      <c r="F55" s="2503" t="str">
        <f>IF(H55="正常",I55,"免征")</f>
        <v>免征</v>
      </c>
      <c r="G55" s="2504"/>
      <c r="H55" s="2500"/>
      <c r="I55" s="162">
        <f>'数据-取费表'!B49</f>
        <v>5.0000000000000001E-4</v>
      </c>
      <c r="J55" s="2473">
        <f>IF(H59="非个人房产","",4)</f>
        <v>4</v>
      </c>
      <c r="K55" s="3146" t="str">
        <f>IF(H59="非个人房产","——","个人所得税")</f>
        <v>个人所得税</v>
      </c>
      <c r="L55" s="3146"/>
      <c r="M55" s="2478">
        <f ca="1">D59</f>
        <v>14</v>
      </c>
      <c r="N55" s="2014" t="str">
        <f>E59</f>
        <v>差额计税</v>
      </c>
      <c r="O55" s="2479">
        <f>F59</f>
        <v>0.01</v>
      </c>
    </row>
    <row r="56" spans="1:35" ht="24.75">
      <c r="A56" s="3209" t="s">
        <v>1807</v>
      </c>
      <c r="B56" s="3187"/>
      <c r="C56" s="3187"/>
      <c r="D56" s="15">
        <f ca="1">IF(H56="个人住宅",D57,D58)</f>
        <v>802</v>
      </c>
      <c r="E56" s="1385" t="s">
        <v>1808</v>
      </c>
      <c r="F56" s="2503" t="str">
        <f>IF(H56="正常",F58,"免征")</f>
        <v>免征</v>
      </c>
      <c r="G56" s="2506" t="s">
        <v>1809</v>
      </c>
      <c r="H56" s="2507"/>
      <c r="I56" s="1800"/>
      <c r="J56" s="2473" t="str">
        <f>IF(项目基本情况!K6="上海银行",IF(J55="",4,J55+1),"")</f>
        <v/>
      </c>
      <c r="K56" s="3127" t="str">
        <f>IF(项目基本情况!K6="上海银行","其他处置费用","")</f>
        <v/>
      </c>
      <c r="L56" s="3128"/>
      <c r="M56" s="2475" t="str">
        <f>IF(项目基本情况!K6="上海银行",M69,"")</f>
        <v/>
      </c>
      <c r="N56" s="3127" t="str">
        <f>IF(项目基本情况!K6="上海银行","包含处置中涉及的律师、诉讼、拍卖、评估等费用","")</f>
        <v/>
      </c>
      <c r="O56" s="3130"/>
    </row>
    <row r="57" spans="1:35" ht="12.75">
      <c r="A57" s="2315" t="s">
        <v>1785</v>
      </c>
      <c r="B57" s="3170" t="s">
        <v>1810</v>
      </c>
      <c r="C57" s="3171"/>
      <c r="D57" s="1608">
        <v>0</v>
      </c>
      <c r="E57" s="322" t="s">
        <v>1787</v>
      </c>
      <c r="F57" s="300"/>
      <c r="G57" s="2504"/>
      <c r="H57" s="2508"/>
      <c r="I57" s="1800"/>
      <c r="J57" s="3146">
        <f>IF(AND(J55="",J56=""),4,IF(项目基本情况!K6="上海银行",结果表!J56+1,结果表!J55+1))</f>
        <v>5</v>
      </c>
      <c r="K57" s="3146" t="s">
        <v>1811</v>
      </c>
      <c r="L57" s="2480" t="s">
        <v>1812</v>
      </c>
      <c r="M57" s="2481"/>
      <c r="N57" s="2482">
        <f ca="1">SUMIF(M52:M56,"&lt;9e307")</f>
        <v>817</v>
      </c>
      <c r="O57" s="2483"/>
      <c r="P57" s="2631" t="e">
        <f ca="1">N57/M49</f>
        <v>#VALUE!</v>
      </c>
    </row>
    <row r="58" spans="1:35" ht="24.75">
      <c r="A58" s="2315" t="s">
        <v>1796</v>
      </c>
      <c r="B58" s="3170" t="s">
        <v>1813</v>
      </c>
      <c r="C58" s="3169"/>
      <c r="D58" s="15">
        <f ca="1">IF(H58="转让取得",C81,C97)</f>
        <v>802</v>
      </c>
      <c r="E58" s="1385" t="s">
        <v>1808</v>
      </c>
      <c r="F58" s="300" t="s">
        <v>34</v>
      </c>
      <c r="G58" s="2504"/>
      <c r="H58" s="2507"/>
      <c r="I58" s="1800"/>
      <c r="J58" s="3146"/>
      <c r="K58" s="3146"/>
      <c r="L58" s="2480" t="s">
        <v>1814</v>
      </c>
      <c r="M58" s="2484"/>
      <c r="N58" s="2485" t="str">
        <f ca="1">NUMBERSTRING(INT(N57*10000),2)&amp;"元整"</f>
        <v>捌佰壹拾柒万元整</v>
      </c>
      <c r="O58" s="2486"/>
    </row>
    <row r="59" spans="1:35" ht="24.75" thickBot="1">
      <c r="A59" s="3150" t="s">
        <v>1815</v>
      </c>
      <c r="B59" s="3151"/>
      <c r="C59" s="3151"/>
      <c r="D59" s="2509">
        <f ca="1">IF(H59="非个人房产","——",IF(H59="个人住宅（满五唯一有凭证）",0,IF(H59="个人其他（无凭证）",ROUND(D45*F59,0),ROUND(C67*F59,0))))</f>
        <v>14</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1809</v>
      </c>
      <c r="H59" s="2295"/>
      <c r="I59" s="2294" t="s">
        <v>2637</v>
      </c>
      <c r="J59" s="3148">
        <f>J57+1</f>
        <v>6</v>
      </c>
      <c r="K59" s="3146" t="s">
        <v>1816</v>
      </c>
      <c r="L59" s="2473" t="s">
        <v>1812</v>
      </c>
      <c r="M59" s="2487"/>
      <c r="N59" s="2488" t="e">
        <f ca="1">M49-N57</f>
        <v>#VALUE!</v>
      </c>
      <c r="O59" s="2489"/>
    </row>
    <row r="60" spans="1:35" ht="12" customHeight="1">
      <c r="A60" s="1801"/>
      <c r="B60" s="655"/>
      <c r="C60" s="655"/>
      <c r="D60" s="655"/>
      <c r="E60" s="1596"/>
      <c r="F60" s="1800"/>
      <c r="G60" s="1800"/>
      <c r="H60" s="156"/>
      <c r="I60" s="126"/>
      <c r="J60" s="3149"/>
      <c r="K60" s="3146"/>
      <c r="L60" s="2480" t="s">
        <v>1814</v>
      </c>
      <c r="M60" s="2484"/>
      <c r="N60" s="2485" t="e">
        <f ca="1">NUMBERSTRING(INT(N59*10000),2)&amp;"元整"</f>
        <v>#VALUE!</v>
      </c>
      <c r="O60" s="2486"/>
    </row>
    <row r="61" spans="1:35" ht="13.5" thickBot="1">
      <c r="A61" s="3208" t="s">
        <v>1817</v>
      </c>
      <c r="B61" s="3208"/>
      <c r="C61" s="3208"/>
      <c r="D61" s="3208"/>
      <c r="E61" s="3208"/>
      <c r="F61" s="1800"/>
      <c r="G61" s="1800"/>
      <c r="H61" s="156"/>
      <c r="I61" s="126"/>
      <c r="J61" s="2473">
        <f>J59+1</f>
        <v>7</v>
      </c>
      <c r="K61" s="3146" t="s">
        <v>1818</v>
      </c>
      <c r="L61" s="3146"/>
      <c r="M61" s="2490"/>
      <c r="N61" s="2491" t="e">
        <f ca="1">ROUND(N59*10000/'数据-汇总表'!E3,0)</f>
        <v>#VALUE!</v>
      </c>
      <c r="O61" s="2492"/>
    </row>
    <row r="62" spans="1:35" ht="12.75">
      <c r="A62" s="3165" t="s">
        <v>1819</v>
      </c>
      <c r="B62" s="3166"/>
      <c r="C62" s="1997"/>
      <c r="D62" s="1997" t="s">
        <v>1820</v>
      </c>
      <c r="E62" s="163" t="s">
        <v>1821</v>
      </c>
      <c r="F62" s="1800"/>
      <c r="G62" s="1800"/>
      <c r="H62" s="156"/>
      <c r="I62" s="126"/>
    </row>
    <row r="63" spans="1:35" ht="12.75">
      <c r="A63" s="170" t="s">
        <v>594</v>
      </c>
      <c r="B63" s="164" t="s">
        <v>1822</v>
      </c>
      <c r="C63" s="2513">
        <f ca="1">ROUND((C64+C65)/(1+'数据-取费表'!C42),0)</f>
        <v>1350</v>
      </c>
      <c r="D63" s="164"/>
      <c r="E63" s="165"/>
      <c r="F63" s="1800"/>
      <c r="G63" s="1800"/>
      <c r="H63" s="156"/>
      <c r="I63" s="126"/>
      <c r="J63" s="3129" t="s">
        <v>1823</v>
      </c>
      <c r="K63" s="1360" t="s">
        <v>1824</v>
      </c>
      <c r="L63" s="1360" t="e">
        <f>IF(M49&gt;10000,M49*0.5%,IF(AND(M49&gt;1000,M49&lt;=10000),M49*1%,IF(AND(M49&gt;100,M49&lt;=1000),M49*3%,IF(AND(M49&gt;10,M49&lt;=100),M49*5%,M49*8%))))</f>
        <v>#VALUE!</v>
      </c>
      <c r="M63" s="300" t="e">
        <f>ROUND(L63,1)</f>
        <v>#VALUE!</v>
      </c>
      <c r="N63" s="2493"/>
      <c r="Z63" s="1753"/>
      <c r="AI63" s="1691"/>
    </row>
    <row r="64" spans="1:35" ht="14.25" customHeight="1">
      <c r="A64" s="166" t="s">
        <v>589</v>
      </c>
      <c r="B64" s="167" t="s">
        <v>1825</v>
      </c>
      <c r="C64" s="2514">
        <f ca="1">D45</f>
        <v>1417</v>
      </c>
      <c r="D64" s="167" t="s">
        <v>32</v>
      </c>
      <c r="E64" s="169"/>
      <c r="F64" s="1800"/>
      <c r="G64" s="1800"/>
      <c r="H64" s="156"/>
      <c r="I64" s="126"/>
      <c r="J64" s="3129"/>
      <c r="K64" s="1360" t="s">
        <v>1826</v>
      </c>
      <c r="L64" s="1360" t="e">
        <f>IF(M49&gt;2000,M49*0.5%,IF(AND(M49&gt;1000,M49&lt;=2000),M49*0.6%,IF(AND(M49&gt;500,M49&lt;=1000),M49*0.7%,IF(AND(M49&gt;200,M49&lt;=500),M49*0.8%,IF(AND(M49&gt;100,M49&lt;=200),M49*0.9%,IF(AND(M49&gt;50,M49&lt;=100),M49*1%,IF(AND(M49&gt;20,M49&lt;=50),M49*1.5%,IF(AND(M49&gt;10,M49&lt;=20),M49*2%,IF(AND(M49&gt;1,M49&lt;=10),M49*2.5%)))))))))</f>
        <v>#VALUE!</v>
      </c>
      <c r="M64" s="300" t="e">
        <f>ROUND(L64,1)</f>
        <v>#VALUE!</v>
      </c>
      <c r="N64" s="2494" t="s">
        <v>1827</v>
      </c>
      <c r="Z64" s="1753"/>
      <c r="AI64" s="1691"/>
    </row>
    <row r="65" spans="1:35" ht="14.25" customHeight="1">
      <c r="A65" s="166" t="s">
        <v>590</v>
      </c>
      <c r="B65" s="167" t="s">
        <v>1828</v>
      </c>
      <c r="C65" s="2515"/>
      <c r="D65" s="167"/>
      <c r="E65" s="169"/>
      <c r="F65" s="1800"/>
      <c r="G65" s="1800"/>
      <c r="H65" s="156"/>
      <c r="I65" s="126"/>
      <c r="J65" s="3129"/>
      <c r="K65" s="1360" t="s">
        <v>1829</v>
      </c>
      <c r="L65" s="1360" t="e">
        <f>IF(M49&gt;1000,M49*0.1%,IF(AND(M49&gt;500,M49&lt;=1000),M49*0.5%,IF(AND(M49&gt;50,M49&lt;=500),M49*1%,IF(AND(M49&gt;1,M49&lt;=50),M49*1.5%))))</f>
        <v>#VALUE!</v>
      </c>
      <c r="M65" s="300" t="e">
        <f>ROUND(L65,1)</f>
        <v>#VALUE!</v>
      </c>
      <c r="N65" s="2494" t="s">
        <v>1827</v>
      </c>
      <c r="Z65" s="1753"/>
      <c r="AI65" s="1691"/>
    </row>
    <row r="66" spans="1:35" ht="14.25" customHeight="1">
      <c r="A66" s="170" t="s">
        <v>591</v>
      </c>
      <c r="B66" s="171" t="s">
        <v>1830</v>
      </c>
      <c r="C66" s="2516"/>
      <c r="D66" s="171" t="s">
        <v>32</v>
      </c>
      <c r="E66" s="1367" t="s">
        <v>1095</v>
      </c>
      <c r="F66" s="1800"/>
      <c r="G66" s="1800"/>
      <c r="H66" s="156"/>
      <c r="I66" s="126"/>
      <c r="J66" s="3129"/>
      <c r="K66" s="1360" t="s">
        <v>1831</v>
      </c>
      <c r="L66" s="1360" t="e">
        <f>M49*0.5%</f>
        <v>#VALUE!</v>
      </c>
      <c r="M66" s="300" t="e">
        <f>IF(L66&gt;0.5,0.5,ROUND(L66,0))</f>
        <v>#VALUE!</v>
      </c>
      <c r="N66" s="2494" t="s">
        <v>1832</v>
      </c>
      <c r="Z66" s="1753"/>
      <c r="AI66" s="1691"/>
    </row>
    <row r="67" spans="1:35" ht="14.25" customHeight="1">
      <c r="A67" s="170" t="s">
        <v>592</v>
      </c>
      <c r="B67" s="171" t="s">
        <v>1833</v>
      </c>
      <c r="C67" s="2517">
        <f ca="1">C63-C66</f>
        <v>1350</v>
      </c>
      <c r="D67" s="167" t="s">
        <v>32</v>
      </c>
      <c r="E67" s="169"/>
      <c r="F67" s="1800"/>
      <c r="G67" s="1800"/>
      <c r="H67" s="156"/>
      <c r="I67" s="126"/>
      <c r="J67" s="3129"/>
      <c r="K67" s="1360" t="s">
        <v>1834</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3"/>
      <c r="Z67" s="1753"/>
      <c r="AI67" s="1691"/>
    </row>
    <row r="68" spans="1:35" ht="14.25" customHeight="1" thickBot="1">
      <c r="A68" s="173" t="s">
        <v>593</v>
      </c>
      <c r="B68" s="174" t="s">
        <v>1835</v>
      </c>
      <c r="C68" s="2518">
        <f ca="1">IF(C67&lt;=0,0,ROUND(C67*D68,0))</f>
        <v>76</v>
      </c>
      <c r="D68" s="2519">
        <f>'数据-取费表'!B41</f>
        <v>5.6000000000000001E-2</v>
      </c>
      <c r="E68" s="176"/>
      <c r="F68" s="1800"/>
      <c r="G68" s="1800"/>
      <c r="H68" s="156"/>
      <c r="I68" s="126"/>
      <c r="J68" s="3129"/>
      <c r="K68" s="1360" t="s">
        <v>1836</v>
      </c>
      <c r="L68" s="1360" t="e">
        <f>IF(M49&gt;10000,M49*0.5%,IF(AND(M49&gt;5000,M49&lt;=10000),M49*1%,IF(AND(M49&gt;1000,M49&lt;=5000),M49*2%,IF(AND(M49&gt;200,M49&lt;=1000),M49*3%,M49*5%))))</f>
        <v>#VALUE!</v>
      </c>
      <c r="M68" s="300" t="e">
        <f>ROUND(L68,1)</f>
        <v>#VALUE!</v>
      </c>
      <c r="N68" s="2493"/>
      <c r="Z68" s="1753"/>
      <c r="AI68" s="1691"/>
    </row>
    <row r="69" spans="1:35" ht="16.5" customHeight="1">
      <c r="A69" s="1802"/>
      <c r="B69" s="1803"/>
      <c r="C69" s="1804"/>
      <c r="D69" s="1805"/>
      <c r="E69" s="1806"/>
      <c r="F69" s="1596"/>
      <c r="G69" s="1596"/>
      <c r="H69" s="1597"/>
      <c r="I69" s="655"/>
      <c r="J69" s="3129"/>
      <c r="K69" s="1360" t="s">
        <v>1837</v>
      </c>
      <c r="L69" s="1360"/>
      <c r="M69" s="300" t="e">
        <f>ROUND(SUM(M63:M68),0)</f>
        <v>#VALUE!</v>
      </c>
      <c r="N69" s="2495" t="e">
        <f>M69/M49</f>
        <v>#VALUE!</v>
      </c>
      <c r="Z69" s="1753"/>
      <c r="AI69" s="1691"/>
    </row>
    <row r="70" spans="1:35" s="651" customFormat="1" ht="15" thickBot="1">
      <c r="A70" s="3173" t="s">
        <v>1838</v>
      </c>
      <c r="B70" s="3174"/>
      <c r="C70" s="3174"/>
      <c r="D70" s="3174"/>
      <c r="E70" s="3174"/>
      <c r="F70" s="3174"/>
      <c r="G70" s="3174"/>
      <c r="H70" s="3174"/>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165" t="s">
        <v>1819</v>
      </c>
      <c r="B71" s="3166"/>
      <c r="C71" s="1997"/>
      <c r="D71" s="1997" t="s">
        <v>1820</v>
      </c>
      <c r="E71" s="177" t="s">
        <v>1821</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1839</v>
      </c>
      <c r="C72" s="2517">
        <f ca="1">ROUND(D45/(1+'数据-取费表'!C42),0)</f>
        <v>1350</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1840</v>
      </c>
      <c r="C73" s="2517">
        <f ca="1">C74+C78</f>
        <v>8</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1841</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1842</v>
      </c>
      <c r="C75" s="2520"/>
      <c r="D75" s="167" t="s">
        <v>32</v>
      </c>
      <c r="E75" s="182" t="s">
        <v>1843</v>
      </c>
      <c r="F75" s="2521"/>
      <c r="G75" s="182" t="s">
        <v>1844</v>
      </c>
      <c r="H75" s="252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1845</v>
      </c>
      <c r="C76" s="167">
        <f>IF(F75="购房发票",ROUND(C75*H75*D76,0),0)</f>
        <v>0</v>
      </c>
      <c r="D76" s="2523">
        <v>0.05</v>
      </c>
      <c r="E76" s="3170" t="s">
        <v>1846</v>
      </c>
      <c r="F76" s="3169"/>
      <c r="G76" s="3169"/>
      <c r="H76" s="3172"/>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1847</v>
      </c>
      <c r="C77" s="167">
        <f>ROUND(IF(G77="个人住宅",0,IF(G77="2016年5月1日前购买",C75*D77,C75*D77/(1+'数据-取费表'!C42))),0)</f>
        <v>0</v>
      </c>
      <c r="D77" s="2524">
        <f>'数据-取费表'!B48+'数据-取费表'!B49</f>
        <v>3.0499999999999999E-2</v>
      </c>
      <c r="E77" s="15" t="s">
        <v>1848</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1849</v>
      </c>
      <c r="C78" s="2525">
        <f ca="1">ROUND(D45*D78/(1+'数据-取费表'!C42),0)</f>
        <v>8</v>
      </c>
      <c r="D78" s="2526">
        <f>'数据-取费表'!B43</f>
        <v>6.000000000000001E-3</v>
      </c>
      <c r="E78" s="3162" t="s">
        <v>1850</v>
      </c>
      <c r="F78" s="3163"/>
      <c r="G78" s="3163"/>
      <c r="H78" s="3164"/>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1851</v>
      </c>
      <c r="C79" s="2517">
        <f ca="1">C72-C73</f>
        <v>1342</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1852</v>
      </c>
      <c r="C80" s="2527">
        <f ca="1">IF(C79&lt;=0,0,C79/C73)</f>
        <v>167.75</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1853</v>
      </c>
      <c r="C81" s="2528">
        <f ca="1">ROUND(IF(C79&lt;=0,0,IF(C80&gt;=200%,C79*60%-C73*35%,IF(C80&gt;=100%,C79*50%-C73*15%,IF(C80&gt;=50%,C79*40%-C73*5%,IF(C80&lt;50%,C79*30%,0))))),0)</f>
        <v>802</v>
      </c>
      <c r="D81" s="2529"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173" t="s">
        <v>1854</v>
      </c>
      <c r="B83" s="3174"/>
      <c r="C83" s="3174"/>
      <c r="D83" s="3174"/>
      <c r="E83" s="3174"/>
      <c r="F83" s="3174"/>
      <c r="G83" s="3174"/>
      <c r="H83" s="317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165" t="s">
        <v>1819</v>
      </c>
      <c r="B84" s="3166"/>
      <c r="C84" s="1997"/>
      <c r="D84" s="1997" t="s">
        <v>1820</v>
      </c>
      <c r="E84" s="177" t="s">
        <v>1821</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1839</v>
      </c>
      <c r="C85" s="2517">
        <f ca="1">ROUND(D45/(1+'数据-取费表'!C42),0)</f>
        <v>1350</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1840</v>
      </c>
      <c r="C86" s="2517">
        <f ca="1">IF(H88="仅含出让金",C87+C90+C91+C92+C93+C94,C87+C91+C92+C93+C94)</f>
        <v>8</v>
      </c>
      <c r="D86" s="2530"/>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1855</v>
      </c>
      <c r="C87" s="2525">
        <f>C88+C89</f>
        <v>0</v>
      </c>
      <c r="D87" s="2526"/>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1856</v>
      </c>
      <c r="C88" s="2531"/>
      <c r="D88" s="2526"/>
      <c r="E88" s="191" t="s">
        <v>1857</v>
      </c>
      <c r="F88" s="2310"/>
      <c r="G88" s="192" t="s">
        <v>1858</v>
      </c>
      <c r="H88" s="1814"/>
      <c r="I88" s="1811"/>
      <c r="J88" s="2471" t="s">
        <v>2785</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1847</v>
      </c>
      <c r="C89" s="2525">
        <f>ROUND(C88*D89,0)</f>
        <v>0</v>
      </c>
      <c r="D89" s="2526">
        <f>'数据-取费表'!B48+'数据-取费表'!B49</f>
        <v>3.0499999999999999E-2</v>
      </c>
      <c r="E89" s="191" t="s">
        <v>1859</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1860</v>
      </c>
      <c r="C90" s="2531"/>
      <c r="D90" s="2526"/>
      <c r="E90" s="191" t="str">
        <f>IF(H88="-","土地取得成本中已包含该笔费用"," ")</f>
        <v xml:space="preserve"> </v>
      </c>
      <c r="F90" s="2310"/>
      <c r="G90" s="3131" t="s">
        <v>2629</v>
      </c>
      <c r="H90" s="3132"/>
      <c r="I90" s="1811"/>
      <c r="J90" s="2471" t="s">
        <v>2786</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1861</v>
      </c>
      <c r="B91" s="167" t="s">
        <v>1862</v>
      </c>
      <c r="C91" s="2525">
        <f>IF(H91="——",成本法!C33,I91)</f>
        <v>0</v>
      </c>
      <c r="D91" s="2526"/>
      <c r="E91" s="3162" t="s">
        <v>1863</v>
      </c>
      <c r="F91" s="3163"/>
      <c r="G91" s="3163"/>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1864</v>
      </c>
      <c r="B92" s="167" t="s">
        <v>1865</v>
      </c>
      <c r="C92" s="2525">
        <f>ROUND((C87+C90+C91)*D92,0)</f>
        <v>0</v>
      </c>
      <c r="D92" s="2532"/>
      <c r="E92" s="3162" t="s">
        <v>1866</v>
      </c>
      <c r="F92" s="3163"/>
      <c r="G92" s="3163"/>
      <c r="H92" s="3164"/>
      <c r="I92" s="1811"/>
      <c r="J92" s="2472" t="s">
        <v>2787</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1867</v>
      </c>
      <c r="B93" s="167" t="s">
        <v>1849</v>
      </c>
      <c r="C93" s="2525">
        <f ca="1">ROUND(D45*D93/(1+'数据-取费表'!C42),0)</f>
        <v>8</v>
      </c>
      <c r="D93" s="2526">
        <f>'数据-取费表'!B43</f>
        <v>6.000000000000001E-3</v>
      </c>
      <c r="E93" s="3162" t="s">
        <v>1850</v>
      </c>
      <c r="F93" s="3163"/>
      <c r="G93" s="3163"/>
      <c r="H93" s="3164"/>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1868</v>
      </c>
      <c r="B94" s="167" t="s">
        <v>1869</v>
      </c>
      <c r="C94" s="2531">
        <f>ROUND((C87+C90+C91)*D94,0)</f>
        <v>0</v>
      </c>
      <c r="D94" s="2526">
        <v>0.2</v>
      </c>
      <c r="E94" s="3210" t="s">
        <v>1870</v>
      </c>
      <c r="F94" s="3211"/>
      <c r="G94" s="3211"/>
      <c r="H94" s="3212"/>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1851</v>
      </c>
      <c r="C95" s="2517">
        <f ca="1">ROUND(C85-C86,0)</f>
        <v>1342</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1852</v>
      </c>
      <c r="C96" s="2527">
        <f ca="1">IF(C95&lt;=0,0,C95/C86)</f>
        <v>167.75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1853</v>
      </c>
      <c r="C97" s="2528">
        <f ca="1">ROUND(IF(C95&lt;=0,0,IF(C96&gt;=200%,C95*60%-C86*35%,IF(C96&gt;=100%,C95*50%-C86*15%,IF(C96&gt;=50%,C95*40%-C86*5%,IF(C96&lt;50%,C95*30%,0))))),0)</f>
        <v>802</v>
      </c>
      <c r="D97" s="2529"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1871</v>
      </c>
      <c r="B99" s="655"/>
      <c r="C99" s="655"/>
      <c r="D99" s="655"/>
      <c r="E99" s="1596"/>
      <c r="F99" s="1596"/>
      <c r="G99" s="1596"/>
      <c r="H99" s="1597"/>
      <c r="I99" s="126"/>
    </row>
    <row r="100" spans="1:35" ht="18.75" customHeight="1">
      <c r="A100" s="3112" t="s">
        <v>1872</v>
      </c>
      <c r="B100" s="3113"/>
      <c r="C100" s="3113"/>
      <c r="D100" s="3147"/>
      <c r="E100" s="3113" t="s">
        <v>1873</v>
      </c>
      <c r="F100" s="3113"/>
      <c r="G100" s="3113"/>
      <c r="H100" s="3147"/>
      <c r="I100" s="126"/>
    </row>
    <row r="101" spans="1:35" ht="18.75" customHeight="1">
      <c r="A101" s="3155" t="s">
        <v>1874</v>
      </c>
      <c r="B101" s="3156"/>
      <c r="C101" s="2534" t="str">
        <f>C4</f>
        <v>成本法 (1层)</v>
      </c>
      <c r="D101" s="2535" t="str">
        <f>D4</f>
        <v>收益法 (1层)</v>
      </c>
      <c r="E101" s="3125" t="s">
        <v>1875</v>
      </c>
      <c r="F101" s="3126"/>
      <c r="G101" s="1817" t="s">
        <v>1876</v>
      </c>
      <c r="H101" s="2544">
        <f ca="1">H118</f>
        <v>1417</v>
      </c>
      <c r="I101" s="126"/>
    </row>
    <row r="102" spans="1:35" ht="18.75" customHeight="1">
      <c r="A102" s="3157" t="s">
        <v>1877</v>
      </c>
      <c r="B102" s="2533" t="s">
        <v>1876</v>
      </c>
      <c r="C102" s="2534">
        <f ca="1">C19</f>
        <v>1548</v>
      </c>
      <c r="D102" s="2535">
        <f ca="1">D19</f>
        <v>1221</v>
      </c>
      <c r="E102" s="3125"/>
      <c r="F102" s="3126"/>
      <c r="G102" s="1817" t="s">
        <v>1878</v>
      </c>
      <c r="H102" s="2504">
        <f ca="1">I118</f>
        <v>55359</v>
      </c>
      <c r="I102" s="126"/>
    </row>
    <row r="103" spans="1:35" ht="42.75" customHeight="1">
      <c r="A103" s="3157"/>
      <c r="B103" s="2533" t="s">
        <v>1878</v>
      </c>
      <c r="C103" s="2536">
        <f ca="1">C20</f>
        <v>60469</v>
      </c>
      <c r="D103" s="2537">
        <f ca="1">D20</f>
        <v>47695</v>
      </c>
      <c r="E103" s="3118" t="s">
        <v>1879</v>
      </c>
      <c r="F103" s="3119"/>
      <c r="G103" s="1818" t="s">
        <v>1880</v>
      </c>
      <c r="H103" s="2544">
        <f>IF(D36="正常操作",H104+H105+H106,H105+H106)</f>
        <v>0</v>
      </c>
      <c r="I103" s="126"/>
    </row>
    <row r="104" spans="1:35" ht="18.75" customHeight="1">
      <c r="A104" s="3157" t="s">
        <v>1881</v>
      </c>
      <c r="B104" s="2538" t="s">
        <v>1876</v>
      </c>
      <c r="C104" s="2539">
        <f ca="1">H118</f>
        <v>1417</v>
      </c>
      <c r="D104" s="2540"/>
      <c r="E104" s="1685" t="s">
        <v>1882</v>
      </c>
      <c r="F104" s="1678"/>
      <c r="G104" s="1818" t="s">
        <v>1880</v>
      </c>
      <c r="H104" s="2545">
        <f>IF(D36="同一抵押权人同一抵押物续贷",C36&amp;"（续贷，未扣减，详见特别提示）",C36)</f>
        <v>0</v>
      </c>
      <c r="I104" s="126"/>
    </row>
    <row r="105" spans="1:35" ht="18.75" customHeight="1" thickBot="1">
      <c r="A105" s="3167"/>
      <c r="B105" s="2541" t="s">
        <v>1878</v>
      </c>
      <c r="C105" s="2542">
        <f ca="1">I118</f>
        <v>55359</v>
      </c>
      <c r="D105" s="2543"/>
      <c r="E105" s="1685" t="s">
        <v>1883</v>
      </c>
      <c r="F105" s="1678"/>
      <c r="G105" s="1818" t="s">
        <v>1880</v>
      </c>
      <c r="H105" s="2546">
        <f>C37</f>
        <v>0</v>
      </c>
      <c r="I105" s="126"/>
    </row>
    <row r="106" spans="1:35" ht="18.75" customHeight="1">
      <c r="A106" s="655" t="s">
        <v>1884</v>
      </c>
      <c r="B106" s="655"/>
      <c r="C106" s="655"/>
      <c r="D106" s="655"/>
      <c r="E106" s="1819" t="s">
        <v>1885</v>
      </c>
      <c r="F106" s="1678"/>
      <c r="G106" s="1818" t="s">
        <v>1880</v>
      </c>
      <c r="H106" s="2546">
        <f>C38</f>
        <v>0</v>
      </c>
      <c r="I106" s="126"/>
    </row>
    <row r="107" spans="1:35" ht="18.75" customHeight="1">
      <c r="A107" s="126"/>
      <c r="B107" s="126"/>
      <c r="C107" s="126"/>
      <c r="D107" s="126"/>
      <c r="E107" s="3158" t="str">
        <f>IF(项目基本情况!E8="已注销","——","3.房地产抵押价值")</f>
        <v>3.房地产抵押价值</v>
      </c>
      <c r="F107" s="3126"/>
      <c r="G107" s="1817" t="s">
        <v>1876</v>
      </c>
      <c r="H107" s="2544">
        <f ca="1">IF(E107="——","——",H101-H103)</f>
        <v>1417</v>
      </c>
      <c r="I107" s="126"/>
    </row>
    <row r="108" spans="1:35" ht="18.75" customHeight="1">
      <c r="A108" s="126"/>
      <c r="B108" s="126"/>
      <c r="C108" s="126"/>
      <c r="D108" s="126"/>
      <c r="E108" s="3158"/>
      <c r="F108" s="3126"/>
      <c r="G108" s="1817" t="s">
        <v>1878</v>
      </c>
      <c r="H108" s="2504">
        <f ca="1">ROUND(H107*10000/'数据-汇总表'!E3,0)</f>
        <v>13919</v>
      </c>
      <c r="I108" s="126"/>
    </row>
    <row r="109" spans="1:35" ht="18.75" customHeight="1">
      <c r="A109" s="126"/>
      <c r="B109" s="126"/>
      <c r="C109" s="126"/>
      <c r="D109" s="126"/>
      <c r="E109" s="3158" t="str">
        <f>IF(项目基本情况!E8="已注销及未注销","4.抵押担保权已注销时的房地产抵押价值",IF(项目基本情况!E8="已注销","3.抵押担保权已注销时的房地产抵押价值","——"))</f>
        <v>——</v>
      </c>
      <c r="F109" s="3126"/>
      <c r="G109" s="1817" t="s">
        <v>1876</v>
      </c>
      <c r="H109" s="2547" t="str">
        <f>IF(E109="——","——",H101-H105-H106)</f>
        <v>——</v>
      </c>
      <c r="I109" s="126"/>
    </row>
    <row r="110" spans="1:35" ht="18.75" customHeight="1">
      <c r="A110" s="126"/>
      <c r="B110" s="126"/>
      <c r="C110" s="126"/>
      <c r="D110" s="126"/>
      <c r="E110" s="3158"/>
      <c r="F110" s="3126"/>
      <c r="G110" s="1817" t="s">
        <v>1878</v>
      </c>
      <c r="H110" s="2504" t="str">
        <f>IF(H109="——","——",ROUND(H109*10000/'数据-汇总表'!E3,0))</f>
        <v>——</v>
      </c>
      <c r="I110" s="126"/>
    </row>
    <row r="111" spans="1:35" ht="18.75" customHeight="1">
      <c r="A111" s="126"/>
      <c r="B111" s="126"/>
      <c r="C111" s="126"/>
      <c r="D111" s="126"/>
      <c r="E111" s="3159" t="str">
        <f>IF(项目基本情况!E9="抵押净值",IF(OR(项目基本情况!E8="已注销",项目基本情况!E8="房地产抵押价值"),"4.抵押净值","5.抵押净值"),"——")</f>
        <v>——</v>
      </c>
      <c r="F111" s="3145"/>
      <c r="G111" s="1817" t="s">
        <v>1876</v>
      </c>
      <c r="H111" s="2544" t="str">
        <f>IF(E111="——","——",N59)</f>
        <v>——</v>
      </c>
      <c r="I111" s="126"/>
    </row>
    <row r="112" spans="1:35" ht="18.75" customHeight="1" thickBot="1">
      <c r="A112" s="126"/>
      <c r="B112" s="126"/>
      <c r="C112" s="126"/>
      <c r="D112" s="126"/>
      <c r="E112" s="3160"/>
      <c r="F112" s="3161"/>
      <c r="G112" s="1820" t="s">
        <v>1878</v>
      </c>
      <c r="H112" s="2548" t="str">
        <f>IF(E111="——","——",N61)</f>
        <v>——</v>
      </c>
      <c r="I112" s="126"/>
    </row>
    <row r="113" spans="1:27" ht="18.75" customHeight="1">
      <c r="A113" s="126"/>
      <c r="B113" s="126"/>
      <c r="C113" s="126"/>
      <c r="D113" s="126"/>
      <c r="E113" s="3168" t="s">
        <v>1884</v>
      </c>
      <c r="F113" s="3168"/>
      <c r="G113" s="3168"/>
      <c r="H113" s="3168"/>
      <c r="I113" s="126"/>
    </row>
    <row r="114" spans="1:27" ht="3.75" customHeight="1">
      <c r="A114" s="655"/>
      <c r="B114" s="655"/>
      <c r="C114" s="655"/>
      <c r="D114" s="655"/>
      <c r="E114" s="1801"/>
      <c r="F114" s="1801"/>
      <c r="G114" s="1801"/>
      <c r="H114" s="1801"/>
      <c r="I114" s="655"/>
    </row>
    <row r="115" spans="1:27" ht="18.75" customHeight="1">
      <c r="A115" s="3179" t="s">
        <v>1886</v>
      </c>
      <c r="B115" s="3180"/>
      <c r="C115" s="3180"/>
      <c r="D115" s="3180"/>
      <c r="E115" s="3180"/>
      <c r="F115" s="3180"/>
      <c r="G115" s="3180"/>
      <c r="H115" s="3180"/>
      <c r="I115" s="3181"/>
    </row>
    <row r="116" spans="1:27" ht="27" customHeight="1">
      <c r="A116" s="3133" t="s">
        <v>1887</v>
      </c>
      <c r="B116" s="3137" t="s">
        <v>1888</v>
      </c>
      <c r="C116" s="3137" t="s">
        <v>1889</v>
      </c>
      <c r="D116" s="3143" t="s">
        <v>1890</v>
      </c>
      <c r="E116" s="3144"/>
      <c r="F116" s="3175" t="s">
        <v>1891</v>
      </c>
      <c r="G116" s="3175"/>
      <c r="H116" s="3133" t="s">
        <v>1892</v>
      </c>
      <c r="I116" s="3133"/>
    </row>
    <row r="117" spans="1:27" ht="18.75" customHeight="1">
      <c r="A117" s="3133"/>
      <c r="B117" s="3138"/>
      <c r="C117" s="3138"/>
      <c r="D117" s="2312" t="s">
        <v>1893</v>
      </c>
      <c r="E117" s="2312" t="s">
        <v>1894</v>
      </c>
      <c r="F117" s="2312" t="s">
        <v>1893</v>
      </c>
      <c r="G117" s="2312" t="s">
        <v>1895</v>
      </c>
      <c r="H117" s="2312" t="s">
        <v>1893</v>
      </c>
      <c r="I117" s="2312" t="s">
        <v>1895</v>
      </c>
    </row>
    <row r="118" spans="1:27" ht="24.75" customHeight="1">
      <c r="A118" s="2549" t="str">
        <f>项目基本情况!S2</f>
        <v>北京市房地产</v>
      </c>
      <c r="B118" s="2312">
        <f>M18</f>
        <v>256</v>
      </c>
      <c r="C118" s="2312">
        <f>M19</f>
        <v>0.25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f ca="1">ROUND(IF(D32="总价",C32,I118*B118/10000),0)</f>
        <v>1417</v>
      </c>
      <c r="I118" s="2312">
        <f ca="1">ROUND(IF(D32="楼面单价",C32,H118*10000/B118),0)</f>
        <v>55359</v>
      </c>
    </row>
    <row r="119" spans="1:27" ht="18.75" customHeight="1">
      <c r="A119" s="3133" t="s">
        <v>1896</v>
      </c>
      <c r="B119" s="3133"/>
      <c r="C119" s="3133"/>
      <c r="D119" s="3139" t="e">
        <f ca="1">NUMBERSTRING(INT(D118*10000),2)&amp;"元整"</f>
        <v>#REF!</v>
      </c>
      <c r="E119" s="3140"/>
      <c r="F119" s="3139" t="e">
        <f ca="1">NUMBERSTRING(INT(F118*10000),2)&amp;"元整"</f>
        <v>#REF!</v>
      </c>
      <c r="G119" s="3140"/>
      <c r="H119" s="3139" t="str">
        <f ca="1">NUMBERSTRING(INT(H118*10000),2)&amp;"元整"</f>
        <v>壹仟肆佰壹拾柒万元整</v>
      </c>
      <c r="I119" s="3140"/>
    </row>
    <row r="120" spans="1:27" ht="18.75" customHeight="1">
      <c r="A120" s="3134" t="str">
        <f>IF(项目基本情况!B9="房地产市场价值","",MID(E103,3,LEN(E103)-2))</f>
        <v/>
      </c>
      <c r="B120" s="3135"/>
      <c r="C120" s="3136"/>
      <c r="D120" s="3134">
        <f>H103</f>
        <v>0</v>
      </c>
      <c r="E120" s="3135"/>
      <c r="F120" s="3135"/>
      <c r="G120" s="3135"/>
      <c r="H120" s="3135"/>
      <c r="I120" s="3136"/>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176" t="s">
        <v>1896</v>
      </c>
      <c r="B121" s="3177"/>
      <c r="C121" s="3178"/>
      <c r="D121" s="3139" t="str">
        <f>IF(D120=0,"零元整",NUMBERSTRING(INT(D120*10000),2)&amp;"元整")</f>
        <v>零元整</v>
      </c>
      <c r="E121" s="3141"/>
      <c r="F121" s="3141"/>
      <c r="G121" s="3141"/>
      <c r="H121" s="3141"/>
      <c r="I121" s="3140"/>
      <c r="AA121" s="693"/>
    </row>
    <row r="122" spans="1:27" ht="18.75" customHeight="1">
      <c r="A122" s="3145" t="str">
        <f>IF(项目基本情况!B9="房地产市场价值","",MID(E107,3,LEN(E107)-2))</f>
        <v/>
      </c>
      <c r="B122" s="3145"/>
      <c r="C122" s="3145"/>
      <c r="D122" s="3134">
        <f ca="1">H107</f>
        <v>1417</v>
      </c>
      <c r="E122" s="3135"/>
      <c r="F122" s="3135"/>
      <c r="G122" s="3135"/>
      <c r="H122" s="3135"/>
      <c r="I122" s="3136"/>
      <c r="AA122" s="693"/>
    </row>
    <row r="123" spans="1:27" ht="18.75" customHeight="1">
      <c r="A123" s="3133" t="s">
        <v>1896</v>
      </c>
      <c r="B123" s="3133"/>
      <c r="C123" s="3133"/>
      <c r="D123" s="3139" t="str">
        <f ca="1">NUMBERSTRING(INT(D122*10000),2)&amp;"元整"</f>
        <v>壹仟肆佰壹拾柒万元整</v>
      </c>
      <c r="E123" s="3141"/>
      <c r="F123" s="3141"/>
      <c r="G123" s="3141"/>
      <c r="H123" s="3141"/>
      <c r="I123" s="3140"/>
      <c r="AA123" s="693"/>
    </row>
    <row r="124" spans="1:27" ht="18.75" customHeight="1">
      <c r="A124" s="3145" t="str">
        <f>IF(项目基本情况!B9="房地产市场价值","",MID(E109,3,LEN(E109)-2))</f>
        <v/>
      </c>
      <c r="B124" s="3145"/>
      <c r="C124" s="3145"/>
      <c r="D124" s="3134" t="str">
        <f>H109</f>
        <v>——</v>
      </c>
      <c r="E124" s="3135"/>
      <c r="F124" s="3135"/>
      <c r="G124" s="3135"/>
      <c r="H124" s="3135"/>
      <c r="I124" s="3136"/>
      <c r="AA124" s="693"/>
    </row>
    <row r="125" spans="1:27" ht="18.75" customHeight="1">
      <c r="A125" s="3133" t="s">
        <v>1896</v>
      </c>
      <c r="B125" s="3133"/>
      <c r="C125" s="3133"/>
      <c r="D125" s="3139" t="e">
        <f>NUMBERSTRING(INT(D124*10000),2)&amp;"元整"</f>
        <v>#VALUE!</v>
      </c>
      <c r="E125" s="3141"/>
      <c r="F125" s="3141"/>
      <c r="G125" s="3141"/>
      <c r="H125" s="3141"/>
      <c r="I125" s="3140"/>
      <c r="AA125" s="693"/>
    </row>
    <row r="126" spans="1:27" ht="18.75" customHeight="1">
      <c r="A126" s="3145" t="str">
        <f>IF(项目基本情况!B9="房地产市场价值","",MID(E111,3,LEN(E111)-2))</f>
        <v/>
      </c>
      <c r="B126" s="3145"/>
      <c r="C126" s="3145"/>
      <c r="D126" s="3134" t="str">
        <f>H111</f>
        <v>——</v>
      </c>
      <c r="E126" s="3135"/>
      <c r="F126" s="3135"/>
      <c r="G126" s="3135"/>
      <c r="H126" s="3135"/>
      <c r="I126" s="3136"/>
      <c r="AA126" s="693"/>
    </row>
    <row r="127" spans="1:27" ht="18.75" customHeight="1">
      <c r="A127" s="3133" t="s">
        <v>1896</v>
      </c>
      <c r="B127" s="3133"/>
      <c r="C127" s="3133"/>
      <c r="D127" s="3139" t="e">
        <f>NUMBERSTRING(INT(D126*10000),2)&amp;"元整"</f>
        <v>#VALUE!</v>
      </c>
      <c r="E127" s="3141"/>
      <c r="F127" s="3141"/>
      <c r="G127" s="3141"/>
      <c r="H127" s="3141"/>
      <c r="I127" s="3140"/>
      <c r="AA127" s="693"/>
    </row>
    <row r="128" spans="1:27" ht="21.75" customHeight="1">
      <c r="A128" s="3142" t="s">
        <v>1897</v>
      </c>
      <c r="B128" s="3142"/>
      <c r="C128" s="3142"/>
      <c r="D128" s="3142"/>
      <c r="E128" s="3142"/>
      <c r="F128" s="3142"/>
      <c r="G128" s="3142"/>
      <c r="H128" s="3142"/>
      <c r="I128" s="3142"/>
      <c r="AA128" s="693"/>
    </row>
    <row r="129" spans="1:35" ht="21.75" customHeight="1">
      <c r="A129" s="1821" t="s">
        <v>1898</v>
      </c>
      <c r="B129" s="1822"/>
      <c r="C129" s="1823" t="s">
        <v>1899</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1900</v>
      </c>
      <c r="G135" s="1836"/>
      <c r="H135" s="1836"/>
      <c r="I135" s="1837" t="s">
        <v>1901</v>
      </c>
    </row>
    <row r="136" spans="1:35" ht="21.75" customHeight="1">
      <c r="A136" s="693"/>
      <c r="B136" s="1838" t="s">
        <v>1902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1903</v>
      </c>
    </row>
    <row r="139" spans="1:35" ht="21.75" customHeight="1">
      <c r="A139" s="693"/>
      <c r="B139" s="1838" t="s">
        <v>1904</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1903</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0" priority="21" stopIfTrue="1" operator="equal">
      <formula>25</formula>
    </cfRule>
  </conditionalFormatting>
  <conditionalFormatting sqref="C8:C9">
    <cfRule type="cellIs" dxfId="259" priority="19" stopIfTrue="1" operator="equal">
      <formula>15</formula>
    </cfRule>
  </conditionalFormatting>
  <conditionalFormatting sqref="C14:C16">
    <cfRule type="cellIs" dxfId="258" priority="13" stopIfTrue="1" operator="equal">
      <formula>30</formula>
    </cfRule>
  </conditionalFormatting>
  <conditionalFormatting sqref="D5:D7">
    <cfRule type="cellIs" dxfId="257" priority="10" stopIfTrue="1" operator="equal">
      <formula>25</formula>
    </cfRule>
  </conditionalFormatting>
  <conditionalFormatting sqref="D8:D9">
    <cfRule type="cellIs" dxfId="256" priority="9" stopIfTrue="1" operator="equal">
      <formula>15</formula>
    </cfRule>
  </conditionalFormatting>
  <conditionalFormatting sqref="C10:D13">
    <cfRule type="cellIs" dxfId="255" priority="8" stopIfTrue="1" operator="equal">
      <formula>15</formula>
    </cfRule>
  </conditionalFormatting>
  <conditionalFormatting sqref="D14:D16">
    <cfRule type="cellIs" dxfId="254" priority="6" stopIfTrue="1" operator="equal">
      <formula>30</formula>
    </cfRule>
  </conditionalFormatting>
  <conditionalFormatting sqref="C90">
    <cfRule type="expression" dxfId="253" priority="3" stopIfTrue="1">
      <formula>$H$88&lt;&gt;"仅含出让金"</formula>
    </cfRule>
  </conditionalFormatting>
  <conditionalFormatting sqref="C91">
    <cfRule type="expression" dxfId="252" priority="2" stopIfTrue="1">
      <formula>$H$91="由企业提供"</formula>
    </cfRule>
  </conditionalFormatting>
  <conditionalFormatting sqref="E36">
    <cfRule type="expression" dxfId="25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sheetPr>
  <dimension ref="A1:AK83"/>
  <sheetViews>
    <sheetView view="pageBreakPreview" topLeftCell="A19" zoomScale="70" zoomScaleNormal="70" zoomScaleSheetLayoutView="7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1221</v>
      </c>
      <c r="C2" s="1418" t="s">
        <v>1239</v>
      </c>
      <c r="D2" s="1418"/>
      <c r="E2" s="1424"/>
      <c r="F2" s="1425"/>
      <c r="G2" s="2645"/>
      <c r="H2" s="2635"/>
      <c r="I2" s="2635"/>
      <c r="J2" s="2635"/>
      <c r="K2" s="2636"/>
      <c r="L2" s="2635"/>
      <c r="M2" s="2635"/>
    </row>
    <row r="3" spans="1:37" ht="18" customHeight="1" thickBot="1">
      <c r="A3" s="1426" t="s">
        <v>1240</v>
      </c>
      <c r="B3" s="1427">
        <f ca="1">IF(ISERROR(B2*10000/F43),0,ROUND(B2*10000/F43,0))</f>
        <v>47695</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102</v>
      </c>
      <c r="D5" s="1402" t="s">
        <v>1125</v>
      </c>
      <c r="E5" s="1116"/>
      <c r="F5" s="1117"/>
      <c r="G5" s="1421"/>
      <c r="H5" s="297">
        <v>1</v>
      </c>
      <c r="I5" s="298" t="s">
        <v>1124</v>
      </c>
      <c r="J5" s="1115">
        <f ca="1">J6+J10+J12</f>
        <v>0</v>
      </c>
      <c r="K5" s="1402" t="s">
        <v>1125</v>
      </c>
      <c r="L5" s="1116"/>
      <c r="M5" s="1117"/>
    </row>
    <row r="6" spans="1:37" ht="18" customHeight="1">
      <c r="A6" s="1114" t="s">
        <v>822</v>
      </c>
      <c r="B6" s="3217" t="s">
        <v>1126</v>
      </c>
      <c r="C6" s="1119">
        <f ca="1">ROUND(F6*F8*F7*(1-F9)/10000,0)</f>
        <v>102</v>
      </c>
      <c r="D6" s="152" t="s">
        <v>2608</v>
      </c>
      <c r="E6" s="300" t="s">
        <v>1128</v>
      </c>
      <c r="F6" s="301">
        <f ca="1">INDIRECT("'数据-取费表'!u"&amp;$G$1)</f>
        <v>12.1</v>
      </c>
      <c r="G6" s="1421"/>
      <c r="H6" s="1114" t="s">
        <v>822</v>
      </c>
      <c r="I6" s="3217" t="s">
        <v>1126</v>
      </c>
      <c r="J6" s="299">
        <f ca="1">ROUND(M6*M8*M7*(1-M9)/10000,0)</f>
        <v>0</v>
      </c>
      <c r="K6" s="152" t="s">
        <v>2607</v>
      </c>
      <c r="L6" s="300" t="s">
        <v>1128</v>
      </c>
      <c r="M6" s="301">
        <f ca="1">INDIRECT("'数据-取费表'!z"&amp;$G$1)</f>
        <v>0</v>
      </c>
    </row>
    <row r="7" spans="1:37" ht="18" customHeight="1">
      <c r="A7" s="1118"/>
      <c r="B7" s="3218"/>
      <c r="C7" s="1120"/>
      <c r="D7" s="305"/>
      <c r="E7" s="1121" t="s">
        <v>1129</v>
      </c>
      <c r="F7" s="301">
        <f ca="1">IF(INDIRECT("'数据-取费表'!ah"&amp;$G$1)="",INDIRECT("'数据-取费表'!k"&amp;$G$1),INDIRECT("'数据-取费表'!ah"&amp;$G$1))</f>
        <v>256</v>
      </c>
      <c r="G7" s="1421"/>
      <c r="H7" s="302"/>
      <c r="I7" s="3218"/>
      <c r="J7" s="304"/>
      <c r="K7" s="305"/>
      <c r="L7" s="300" t="s">
        <v>1129</v>
      </c>
      <c r="M7" s="301">
        <f ca="1">F7</f>
        <v>256</v>
      </c>
    </row>
    <row r="8" spans="1:37" ht="18" customHeight="1">
      <c r="A8" s="302"/>
      <c r="B8" s="3218"/>
      <c r="C8" s="304"/>
      <c r="D8" s="305"/>
      <c r="E8" s="300" t="s">
        <v>1130</v>
      </c>
      <c r="F8" s="301">
        <f ca="1">INDIRECT("'数据-取费表'!ai"&amp;$G$1)</f>
        <v>365</v>
      </c>
      <c r="G8" s="1421"/>
      <c r="H8" s="302"/>
      <c r="I8" s="3218"/>
      <c r="J8" s="304"/>
      <c r="K8" s="305"/>
      <c r="L8" s="300" t="s">
        <v>1130</v>
      </c>
      <c r="M8" s="301">
        <f ca="1">INDIRECT("'数据-取费表'!ai"&amp;$G$1)</f>
        <v>365</v>
      </c>
    </row>
    <row r="9" spans="1:37" ht="18" customHeight="1">
      <c r="A9" s="302"/>
      <c r="B9" s="3219"/>
      <c r="C9" s="304"/>
      <c r="D9" s="305"/>
      <c r="E9" s="300" t="s">
        <v>1131</v>
      </c>
      <c r="F9" s="310">
        <f ca="1">INDIRECT("'数据-取费表'!w"&amp;$G$1)</f>
        <v>0.1</v>
      </c>
      <c r="G9" s="1421"/>
      <c r="H9" s="302"/>
      <c r="I9" s="3219"/>
      <c r="J9" s="304"/>
      <c r="K9" s="305"/>
      <c r="L9" s="311" t="s">
        <v>1131</v>
      </c>
      <c r="M9" s="312">
        <f ca="1">INDIRECT("'数据-取费表'!ab"&amp;$G$1)</f>
        <v>0</v>
      </c>
    </row>
    <row r="10" spans="1:37" ht="18" customHeight="1">
      <c r="A10" s="1114" t="s">
        <v>826</v>
      </c>
      <c r="B10" s="1403" t="s">
        <v>1132</v>
      </c>
      <c r="C10" s="314">
        <f ca="1">ROUND(IF(F10="押一",C6/12*F11,IF(F10="押二",C6/12*2*F11,IF(F10="押三",C6/12*3*F11,C11*F11))),0)</f>
        <v>0</v>
      </c>
      <c r="D10" s="155" t="s">
        <v>2616</v>
      </c>
      <c r="E10" s="311" t="s">
        <v>1133</v>
      </c>
      <c r="F10" s="1161" t="s">
        <v>3257</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v>
      </c>
      <c r="D13" s="1126" t="s">
        <v>1138</v>
      </c>
      <c r="E13" s="1126" t="s">
        <v>1139</v>
      </c>
      <c r="F13" s="1127">
        <f ca="1">INDIRECT("'数据-取费表'!y"&amp;$G$1)</f>
        <v>0.84</v>
      </c>
      <c r="G13" s="1421"/>
      <c r="H13" s="1124">
        <v>2</v>
      </c>
      <c r="I13" s="1125" t="s">
        <v>1137</v>
      </c>
      <c r="J13" s="1113">
        <f ca="1">ROUND(J14*J15,0)</f>
        <v>134</v>
      </c>
      <c r="K13" s="1132" t="s">
        <v>1138</v>
      </c>
      <c r="L13" s="1428"/>
      <c r="M13" s="1429"/>
    </row>
    <row r="14" spans="1:37" ht="18" customHeight="1">
      <c r="A14" s="1035" t="s">
        <v>821</v>
      </c>
      <c r="B14" s="300" t="s">
        <v>1140</v>
      </c>
      <c r="C14" s="316">
        <f ca="1">INDIRECT("'数据-取费表'!m"&amp;$G$1)+INDIRECT("'数据-取费表'!t"&amp;$G$1)</f>
        <v>102</v>
      </c>
      <c r="D14" s="1386" t="s">
        <v>1141</v>
      </c>
      <c r="E14" s="1384"/>
      <c r="F14" s="317"/>
      <c r="G14" s="1421"/>
      <c r="H14" s="1035" t="s">
        <v>822</v>
      </c>
      <c r="I14" s="300" t="s">
        <v>1142</v>
      </c>
      <c r="J14" s="24">
        <f ca="1">C29</f>
        <v>159</v>
      </c>
      <c r="K14" s="15"/>
      <c r="L14" s="844"/>
      <c r="M14" s="845"/>
    </row>
    <row r="15" spans="1:37" s="1433" customFormat="1" ht="18" customHeight="1" thickBot="1">
      <c r="A15" s="1035" t="s">
        <v>823</v>
      </c>
      <c r="B15" s="300" t="s">
        <v>1143</v>
      </c>
      <c r="C15" s="24">
        <f ca="1">ROUND(C14*F15,0)</f>
        <v>3</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3</v>
      </c>
      <c r="K16" s="1132" t="s">
        <v>1148</v>
      </c>
      <c r="L16" s="1133"/>
      <c r="M16" s="1117"/>
    </row>
    <row r="17" spans="1:37" s="1433" customFormat="1" ht="18" customHeight="1">
      <c r="A17" s="1035" t="s">
        <v>1113</v>
      </c>
      <c r="B17" s="300" t="s">
        <v>1149</v>
      </c>
      <c r="C17" s="24">
        <f ca="1">ROUND(F17*(F43+INDIRECT("'数据-取费表'!S"&amp;$G$1))/10000,0)</f>
        <v>8</v>
      </c>
      <c r="D17" s="300" t="s">
        <v>1150</v>
      </c>
      <c r="E17" s="300" t="s">
        <v>1151</v>
      </c>
      <c r="F17" s="26">
        <f>'数据-取费表'!B35</f>
        <v>300</v>
      </c>
      <c r="G17" s="1432"/>
      <c r="H17" s="1035" t="s">
        <v>822</v>
      </c>
      <c r="I17" s="300" t="s">
        <v>1152</v>
      </c>
      <c r="J17" s="2297">
        <f ca="1">ROUND(IF(AND(项目基本情况!B11="自然人",项目基本情况!B10="北京市"),J6*M17/(1+'数据-取费表'!C42),J18+J19+J20),0)</f>
        <v>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2</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115</v>
      </c>
      <c r="D19" s="128" t="s">
        <v>1159</v>
      </c>
      <c r="E19" s="1398"/>
      <c r="F19" s="26"/>
      <c r="G19" s="1421"/>
      <c r="H19" s="1035" t="s">
        <v>823</v>
      </c>
      <c r="I19" s="300" t="s">
        <v>1160</v>
      </c>
      <c r="J19" s="24">
        <f ca="1">IF(K19="按租金收入计税",ROUND(J6*M19/(1+'数据-取费表'!C42),2),ROUND(C29*M19*0.7,2))</f>
        <v>1.34</v>
      </c>
      <c r="K19" s="1407" t="s">
        <v>1161</v>
      </c>
      <c r="L19" s="300" t="s">
        <v>1145</v>
      </c>
      <c r="M19" s="320">
        <f>IF(K19="按租金收入计税",'数据-取费表'!B51,'数据-取费表'!B50)</f>
        <v>1.2E-2</v>
      </c>
    </row>
    <row r="20" spans="1:37" s="1433" customFormat="1" ht="18" customHeight="1">
      <c r="A20" s="1035" t="s">
        <v>826</v>
      </c>
      <c r="B20" s="300" t="s">
        <v>1162</v>
      </c>
      <c r="C20" s="24">
        <f ca="1">ROUND(C19*F20,0)</f>
        <v>2</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18</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1.6</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0.1</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ROUND(J5*M24,1)</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-3</v>
      </c>
      <c r="K25" s="1140" t="s">
        <v>1187</v>
      </c>
      <c r="L25" s="1141"/>
      <c r="M25" s="1142"/>
    </row>
    <row r="26" spans="1:37">
      <c r="A26" s="1035" t="s">
        <v>821</v>
      </c>
      <c r="B26" s="300" t="s">
        <v>1188</v>
      </c>
      <c r="C26" s="24">
        <f ca="1">ROUND((C19+C20)*F26,0)</f>
        <v>23</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159</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20</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17</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5.44</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11.66</v>
      </c>
      <c r="D33" s="1407" t="s">
        <v>3255</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ROUND(C29*F36,1)</f>
        <v>1.6</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0.1</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82</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1199</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46836</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-1384</v>
      </c>
      <c r="D46" s="1442" t="str">
        <f>C2</f>
        <v>万元</v>
      </c>
      <c r="E46" s="1436"/>
      <c r="F46" s="1436"/>
      <c r="I46" s="1443" t="s">
        <v>1244</v>
      </c>
      <c r="J46" s="1444"/>
      <c r="K46" s="1445"/>
      <c r="L46" s="1446">
        <f ca="1">IF(M47="住宅",0,IF(L48&gt;J51,L60,J60))</f>
        <v>22</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3208</v>
      </c>
      <c r="K47" s="1452" t="s">
        <v>1250</v>
      </c>
      <c r="L47" s="1453">
        <f ca="1">INDIRECT("'数据-取费表'!d"&amp;$G$1)</f>
        <v>40</v>
      </c>
      <c r="M47" s="1417" t="str">
        <f>IF(ISNUMBER(FIND("住宅",C1)),"住宅","非住宅")</f>
        <v>非住宅</v>
      </c>
      <c r="O47" s="1454" t="s">
        <v>827</v>
      </c>
      <c r="P47" s="1455" t="s">
        <v>1251</v>
      </c>
      <c r="Q47" s="1456">
        <f ca="1">C40+J29</f>
        <v>1199</v>
      </c>
      <c r="R47" s="1456" t="s">
        <v>1252</v>
      </c>
    </row>
    <row r="48" spans="1:18" s="1421" customFormat="1" ht="28.5" thickBot="1">
      <c r="A48" s="1155" t="s">
        <v>863</v>
      </c>
      <c r="B48" s="298" t="s">
        <v>1124</v>
      </c>
      <c r="C48" s="1397">
        <f ca="1">C49+C53+C55</f>
        <v>0</v>
      </c>
      <c r="D48" s="1157"/>
      <c r="E48" s="1158"/>
      <c r="F48" s="1015"/>
      <c r="G48" s="690"/>
      <c r="H48" s="691"/>
      <c r="I48" s="1457" t="s">
        <v>1253</v>
      </c>
      <c r="J48" s="1458" t="s">
        <v>3235</v>
      </c>
      <c r="K48" s="1459" t="s">
        <v>1254</v>
      </c>
      <c r="L48" s="1460">
        <f ca="1">INDIRECT("'数据-取费表'!f"&amp;$G$1)</f>
        <v>21.24</v>
      </c>
      <c r="O48" s="1454" t="s">
        <v>828</v>
      </c>
      <c r="P48" s="1455" t="s">
        <v>1255</v>
      </c>
      <c r="Q48" s="1456">
        <f ca="1">J60</f>
        <v>22</v>
      </c>
      <c r="R48" s="1456" t="s">
        <v>1256</v>
      </c>
    </row>
    <row r="49" spans="1:18" s="1421" customFormat="1" ht="13.5" thickBot="1">
      <c r="A49" s="1028" t="s">
        <v>864</v>
      </c>
      <c r="B49" s="1408" t="s">
        <v>1213</v>
      </c>
      <c r="C49" s="1159">
        <f ca="1">ROUND(F49*F51*F50*(1-F52)/10000,0)</f>
        <v>0</v>
      </c>
      <c r="D49" s="1099" t="s">
        <v>2609</v>
      </c>
      <c r="E49" s="1409" t="s">
        <v>1214</v>
      </c>
      <c r="F49" s="1104"/>
      <c r="H49" s="691"/>
      <c r="I49" s="1457" t="s">
        <v>1257</v>
      </c>
      <c r="J49" s="1461">
        <v>2012</v>
      </c>
      <c r="K49" s="1459" t="s">
        <v>1258</v>
      </c>
      <c r="L49" s="1462"/>
      <c r="O49" s="1463" t="s">
        <v>829</v>
      </c>
      <c r="P49" s="1455" t="s">
        <v>1259</v>
      </c>
      <c r="Q49" s="1456">
        <f ca="1">C29</f>
        <v>159</v>
      </c>
      <c r="R49" s="1456" t="s">
        <v>1252</v>
      </c>
    </row>
    <row r="50" spans="1:18" s="1421" customFormat="1" ht="13.5" thickBot="1">
      <c r="A50" s="1029"/>
      <c r="B50" s="1032"/>
      <c r="C50" s="116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4100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15" t="s">
        <v>1271</v>
      </c>
      <c r="L53" s="3216"/>
      <c r="O53" s="1454" t="s">
        <v>833</v>
      </c>
      <c r="P53" s="1455" t="s">
        <v>1272</v>
      </c>
      <c r="Q53" s="1456">
        <f ca="1">Q47+Q48</f>
        <v>1221</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134</v>
      </c>
      <c r="D56" s="1481"/>
      <c r="E56" s="1482"/>
      <c r="F56" s="1474"/>
      <c r="I56" s="1483" t="s">
        <v>1277</v>
      </c>
      <c r="J56" s="1484" t="s">
        <v>3254</v>
      </c>
      <c r="K56" s="1457" t="s">
        <v>1278</v>
      </c>
      <c r="L56" s="1460" t="str">
        <f ca="1">IF(L48&lt;J51,"——",L48-J53)</f>
        <v>——</v>
      </c>
      <c r="O56" s="1454" t="s">
        <v>827</v>
      </c>
      <c r="P56" s="1455" t="s">
        <v>1251</v>
      </c>
      <c r="Q56" s="1456">
        <f ca="1">C40+J29</f>
        <v>1199</v>
      </c>
      <c r="R56" s="1456" t="s">
        <v>1252</v>
      </c>
    </row>
    <row r="57" spans="1:18" s="1421" customFormat="1" ht="24.75" thickBot="1">
      <c r="A57" s="1485"/>
      <c r="B57" s="1003" t="s">
        <v>1201</v>
      </c>
      <c r="C57" s="236">
        <f ca="1">C29</f>
        <v>159</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15</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22</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IF(项目基本情况!B11="自然人","——",IF(D61="按租金收入计税",ROUND(C49*F61/(1+'数据-取费表'!C42),2),IF(D61="按房产原值计税",ROUND(C57*F61*0.7,2),INDIRECT("'数据-取费表'!Aj"&amp;$G$1))))</f>
        <v>13.36</v>
      </c>
      <c r="D61" s="1407" t="s">
        <v>1161</v>
      </c>
      <c r="E61" s="1003" t="s">
        <v>1217</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1219</v>
      </c>
      <c r="C62" s="25">
        <f ca="1">IF(项目基本情况!B11="自然人","——",ROUND(F62*F63/10000,2))</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1199</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ROUND(C57*F64,1)</f>
        <v>1.6</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0.1</v>
      </c>
      <c r="D65" s="1017" t="s">
        <v>1177</v>
      </c>
      <c r="E65" s="1003" t="s">
        <v>1178</v>
      </c>
      <c r="F65" s="327">
        <f t="shared" ca="1" si="0"/>
        <v>1E-3</v>
      </c>
      <c r="I65" s="1496" t="s">
        <v>1302</v>
      </c>
      <c r="J65" s="618">
        <v>40</v>
      </c>
      <c r="K65" s="618">
        <v>30</v>
      </c>
      <c r="L65" s="618">
        <v>50</v>
      </c>
      <c r="M65" s="1498">
        <v>0.02</v>
      </c>
      <c r="O65" s="1454" t="s">
        <v>827</v>
      </c>
      <c r="P65" s="1455" t="s">
        <v>1303</v>
      </c>
      <c r="Q65" s="1456">
        <f ca="1">C40+J29</f>
        <v>1199</v>
      </c>
      <c r="R65" s="1456" t="s">
        <v>1252</v>
      </c>
    </row>
    <row r="66" spans="1:18" s="1421" customFormat="1" ht="16.5" thickBot="1">
      <c r="A66" s="1035" t="s">
        <v>1227</v>
      </c>
      <c r="B66" s="1003" t="s">
        <v>1162</v>
      </c>
      <c r="C66" s="24">
        <f ca="1">ROUND(C48*F66,1)</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v>
      </c>
      <c r="D67" s="1016" t="s">
        <v>1187</v>
      </c>
      <c r="E67" s="1021"/>
      <c r="F67" s="1022"/>
      <c r="O67" s="1463" t="s">
        <v>829</v>
      </c>
      <c r="P67" s="1455" t="s">
        <v>1285</v>
      </c>
      <c r="Q67" s="1499">
        <f ca="1">L51</f>
        <v>4100</v>
      </c>
      <c r="R67" s="1456" t="s">
        <v>1305</v>
      </c>
    </row>
    <row r="68" spans="1:18" s="1421" customFormat="1" ht="16.5" thickBot="1">
      <c r="A68" s="1000" t="s">
        <v>819</v>
      </c>
      <c r="B68" s="1001" t="s">
        <v>1208</v>
      </c>
      <c r="C68" s="299">
        <f ca="1">ROUND(C67*(1-((1+F70)/(1+F68))^F69)/(F68-F70),0)</f>
        <v>-185</v>
      </c>
      <c r="D68" s="1018" t="s">
        <v>1192</v>
      </c>
      <c r="E68" s="1003" t="s">
        <v>1193</v>
      </c>
      <c r="F68" s="310">
        <f ca="1">F40</f>
        <v>5.5E-2</v>
      </c>
      <c r="O68" s="1463" t="s">
        <v>830</v>
      </c>
      <c r="P68" s="1500" t="s">
        <v>1306</v>
      </c>
      <c r="Q68" s="1456">
        <f ca="1">ROUND(Q69-Q70*Q71,0)</f>
        <v>82</v>
      </c>
      <c r="R68" s="1456" t="s">
        <v>838</v>
      </c>
    </row>
    <row r="69" spans="1:18" s="1421" customFormat="1" ht="13.5" thickBot="1">
      <c r="A69" s="1004"/>
      <c r="B69" s="1005"/>
      <c r="C69" s="304"/>
      <c r="D69" s="1023" t="s">
        <v>1196</v>
      </c>
      <c r="E69" s="1003" t="s">
        <v>1197</v>
      </c>
      <c r="F69" s="330">
        <f ca="1">F41</f>
        <v>21.24</v>
      </c>
      <c r="O69" s="1463" t="s">
        <v>835</v>
      </c>
      <c r="P69" s="1500" t="s">
        <v>1307</v>
      </c>
      <c r="Q69" s="1456">
        <f ca="1">C39</f>
        <v>82</v>
      </c>
      <c r="R69" s="1456" t="s">
        <v>1252</v>
      </c>
    </row>
    <row r="70" spans="1:18" s="1421" customFormat="1" ht="13.5" thickBot="1">
      <c r="A70" s="1007"/>
      <c r="B70" s="1008"/>
      <c r="C70" s="308"/>
      <c r="D70" s="1019"/>
      <c r="E70" s="1003" t="s">
        <v>1200</v>
      </c>
      <c r="F70" s="1098"/>
      <c r="O70" s="1463" t="s">
        <v>836</v>
      </c>
      <c r="P70" s="1500" t="s">
        <v>1308</v>
      </c>
      <c r="Q70" s="1456">
        <f ca="1">C13</f>
        <v>134</v>
      </c>
      <c r="R70" s="1456" t="s">
        <v>1252</v>
      </c>
    </row>
    <row r="71" spans="1:18" s="1421" customFormat="1" ht="13.5" thickBot="1">
      <c r="A71" s="1024" t="s">
        <v>820</v>
      </c>
      <c r="B71" s="1025" t="s">
        <v>1210</v>
      </c>
      <c r="C71" s="333">
        <f ca="1">ROUND(C68*10000/F71,0)</f>
        <v>-7227</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1199</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0.88800000000000001</v>
      </c>
    </row>
    <row r="83" spans="2:3">
      <c r="B83" s="271" t="s">
        <v>1237</v>
      </c>
      <c r="C83" s="272">
        <f ca="1">ROUND(C13/C40,3)</f>
        <v>0.112</v>
      </c>
    </row>
  </sheetData>
  <sheetProtection formatCells="0" formatColumns="0" formatRows="0"/>
  <mergeCells count="3">
    <mergeCell ref="K53:L53"/>
    <mergeCell ref="B6:B9"/>
    <mergeCell ref="I6:I9"/>
  </mergeCells>
  <phoneticPr fontId="3" type="noConversion"/>
  <conditionalFormatting sqref="K55 K60">
    <cfRule type="expression" dxfId="250" priority="56">
      <formula>$L$48&gt;$J$51</formula>
    </cfRule>
  </conditionalFormatting>
  <conditionalFormatting sqref="I55 I60">
    <cfRule type="expression" dxfId="249" priority="57">
      <formula>$J$51&gt;$L$48</formula>
    </cfRule>
  </conditionalFormatting>
  <conditionalFormatting sqref="C11">
    <cfRule type="expression" dxfId="248" priority="3">
      <formula>$F$10="自定义"</formula>
    </cfRule>
  </conditionalFormatting>
  <conditionalFormatting sqref="J11">
    <cfRule type="expression" dxfId="247" priority="2">
      <formula>$M$10="自定义"</formula>
    </cfRule>
  </conditionalFormatting>
  <conditionalFormatting sqref="C54">
    <cfRule type="expression" dxfId="246" priority="1">
      <formula>$F$53="自定义"</formula>
    </cfRule>
  </conditionalFormatting>
  <dataValidations count="9">
    <dataValidation type="list" allowBlank="1" showInputMessage="1" showErrorMessage="1" sqref="K19" xr:uid="{00000000-0002-0000-1200-000000000000}">
      <formula1>"按租金收入计税,按房产原值计税"</formula1>
    </dataValidation>
    <dataValidation type="list" allowBlank="1" showInputMessage="1" showErrorMessage="1" sqref="D33 D61" xr:uid="{00000000-0002-0000-1200-000001000000}">
      <formula1>"按租金收入计税,按房产原值计税,按票据"</formula1>
    </dataValidation>
    <dataValidation type="list" allowBlank="1" showInputMessage="1" showErrorMessage="1" sqref="C1" xr:uid="{00000000-0002-0000-1200-000002000000}">
      <formula1>项目类型</formula1>
    </dataValidation>
    <dataValidation type="list" allowBlank="1" showInputMessage="1" showErrorMessage="1" sqref="J47" xr:uid="{00000000-0002-0000-1200-000003000000}">
      <formula1>"钢,钢混,砖混"</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56" xr:uid="{00000000-0002-0000-1200-000005000000}">
      <formula1>判定</formula1>
    </dataValidation>
    <dataValidation type="list" allowBlank="1" showInputMessage="1" showErrorMessage="1" sqref="L55" xr:uid="{00000000-0002-0000-1200-000006000000}">
      <formula1>"比较法,基准地价,收益还原"</formula1>
    </dataValidation>
    <dataValidation type="list" allowBlank="1" showInputMessage="1" showErrorMessage="1" sqref="M10 F10 F53" xr:uid="{00000000-0002-0000-1200-000007000000}">
      <formula1>"押一,押二,押三,自定义"</formula1>
    </dataValidation>
    <dataValidation type="list" allowBlank="1" showInputMessage="1" showErrorMessage="1" sqref="D1" xr:uid="{00000000-0002-0000-1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027" t="str">
        <f>项目基本情况!B1</f>
        <v>北京市房地产市场价值预评估</v>
      </c>
      <c r="C37" s="3027"/>
      <c r="D37" s="3027"/>
      <c r="E37" s="3027"/>
      <c r="F37" s="3027"/>
      <c r="G37" s="3027"/>
      <c r="H37" s="3027"/>
      <c r="I37" s="3027"/>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7">
    <tabColor rgb="FF92D050"/>
  </sheetPr>
  <dimension ref="A1:AK83"/>
  <sheetViews>
    <sheetView view="pageBreakPreview" topLeftCell="A22" zoomScale="70" zoomScaleNormal="70" zoomScaleSheetLayoutView="7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3180</v>
      </c>
      <c r="D1" s="1400"/>
      <c r="E1" s="1401" t="s">
        <v>1110</v>
      </c>
      <c r="F1" s="1106">
        <f ca="1">J53</f>
        <v>21.24</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2195</v>
      </c>
      <c r="C2" s="1418" t="s">
        <v>1239</v>
      </c>
      <c r="D2" s="1418"/>
      <c r="E2" s="1424"/>
      <c r="F2" s="1425"/>
      <c r="G2" s="2645"/>
      <c r="H2" s="2635"/>
      <c r="I2" s="2635"/>
      <c r="J2" s="2635"/>
      <c r="K2" s="2636"/>
      <c r="L2" s="2635"/>
      <c r="M2" s="2635"/>
    </row>
    <row r="3" spans="1:37" ht="18" customHeight="1" thickBot="1">
      <c r="A3" s="1426" t="s">
        <v>1240</v>
      </c>
      <c r="B3" s="1427">
        <f ca="1">IF(ISERROR(B2*10000/F43),0,ROUND(B2*10000/F43,0))</f>
        <v>28806</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184</v>
      </c>
      <c r="D5" s="1402" t="s">
        <v>1125</v>
      </c>
      <c r="E5" s="1116"/>
      <c r="F5" s="1117"/>
      <c r="G5" s="1421"/>
      <c r="H5" s="297">
        <v>1</v>
      </c>
      <c r="I5" s="298" t="s">
        <v>1124</v>
      </c>
      <c r="J5" s="1115">
        <f ca="1">J6+J10+J12</f>
        <v>0</v>
      </c>
      <c r="K5" s="1402" t="s">
        <v>1125</v>
      </c>
      <c r="L5" s="1116"/>
      <c r="M5" s="1117"/>
    </row>
    <row r="6" spans="1:37" ht="18" customHeight="1">
      <c r="A6" s="1114" t="s">
        <v>822</v>
      </c>
      <c r="B6" s="3217" t="s">
        <v>1126</v>
      </c>
      <c r="C6" s="1119">
        <f ca="1">ROUND(F6*F8*F7*(1-F9)/10000,0)</f>
        <v>183</v>
      </c>
      <c r="D6" s="152" t="s">
        <v>2608</v>
      </c>
      <c r="E6" s="300" t="s">
        <v>1128</v>
      </c>
      <c r="F6" s="301">
        <f ca="1">INDIRECT("'数据-取费表'!u"&amp;$G$1)</f>
        <v>7.3</v>
      </c>
      <c r="G6" s="1421"/>
      <c r="H6" s="1114" t="s">
        <v>822</v>
      </c>
      <c r="I6" s="3217" t="s">
        <v>1126</v>
      </c>
      <c r="J6" s="299">
        <f ca="1">ROUND(M6*M8*M7*(1-M9)/10000,0)</f>
        <v>0</v>
      </c>
      <c r="K6" s="152" t="s">
        <v>2607</v>
      </c>
      <c r="L6" s="300" t="s">
        <v>1128</v>
      </c>
      <c r="M6" s="301">
        <f ca="1">INDIRECT("'数据-取费表'!z"&amp;$G$1)</f>
        <v>0</v>
      </c>
    </row>
    <row r="7" spans="1:37" ht="18" customHeight="1">
      <c r="A7" s="1118"/>
      <c r="B7" s="3218"/>
      <c r="C7" s="1120"/>
      <c r="D7" s="305"/>
      <c r="E7" s="1121" t="s">
        <v>1129</v>
      </c>
      <c r="F7" s="301">
        <f ca="1">IF(INDIRECT("'数据-取费表'!ah"&amp;$G$1)="",INDIRECT("'数据-取费表'!k"&amp;$G$1),INDIRECT("'数据-取费表'!ah"&amp;$G$1))</f>
        <v>762</v>
      </c>
      <c r="G7" s="1421"/>
      <c r="H7" s="302"/>
      <c r="I7" s="3218"/>
      <c r="J7" s="304"/>
      <c r="K7" s="305"/>
      <c r="L7" s="300" t="s">
        <v>1129</v>
      </c>
      <c r="M7" s="301">
        <f ca="1">F7</f>
        <v>762</v>
      </c>
    </row>
    <row r="8" spans="1:37" ht="18" customHeight="1">
      <c r="A8" s="302"/>
      <c r="B8" s="3218"/>
      <c r="C8" s="304"/>
      <c r="D8" s="305"/>
      <c r="E8" s="300" t="s">
        <v>1130</v>
      </c>
      <c r="F8" s="301">
        <f ca="1">INDIRECT("'数据-取费表'!ai"&amp;$G$1)</f>
        <v>365</v>
      </c>
      <c r="G8" s="1421"/>
      <c r="H8" s="302"/>
      <c r="I8" s="3218"/>
      <c r="J8" s="304"/>
      <c r="K8" s="305"/>
      <c r="L8" s="300" t="s">
        <v>1130</v>
      </c>
      <c r="M8" s="301">
        <f ca="1">INDIRECT("'数据-取费表'!ai"&amp;$G$1)</f>
        <v>365</v>
      </c>
    </row>
    <row r="9" spans="1:37" ht="18" customHeight="1">
      <c r="A9" s="302"/>
      <c r="B9" s="3219"/>
      <c r="C9" s="304"/>
      <c r="D9" s="305"/>
      <c r="E9" s="300" t="s">
        <v>1131</v>
      </c>
      <c r="F9" s="310">
        <f ca="1">INDIRECT("'数据-取费表'!w"&amp;$G$1)</f>
        <v>0.1</v>
      </c>
      <c r="G9" s="1421"/>
      <c r="H9" s="302"/>
      <c r="I9" s="3219"/>
      <c r="J9" s="304"/>
      <c r="K9" s="305"/>
      <c r="L9" s="311" t="s">
        <v>1131</v>
      </c>
      <c r="M9" s="312">
        <f ca="1">INDIRECT("'数据-取费表'!ab"&amp;$G$1)</f>
        <v>0</v>
      </c>
    </row>
    <row r="10" spans="1:37" ht="18" customHeight="1">
      <c r="A10" s="1114" t="s">
        <v>826</v>
      </c>
      <c r="B10" s="1403" t="s">
        <v>1132</v>
      </c>
      <c r="C10" s="314">
        <f ca="1">ROUND(IF(F10="押一",C6/12*F11,IF(F10="押二",C6/12*2*F11,IF(F10="押三",C6/12*3*F11,C11*F11))),0)</f>
        <v>1</v>
      </c>
      <c r="D10" s="155" t="s">
        <v>2615</v>
      </c>
      <c r="E10" s="311" t="s">
        <v>1133</v>
      </c>
      <c r="F10" s="1161" t="s">
        <v>3257</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368</v>
      </c>
      <c r="D13" s="1126" t="s">
        <v>1138</v>
      </c>
      <c r="E13" s="1126" t="s">
        <v>1139</v>
      </c>
      <c r="F13" s="1127">
        <f ca="1">INDIRECT("'数据-取费表'!y"&amp;$G$1)</f>
        <v>0.84</v>
      </c>
      <c r="G13" s="1421"/>
      <c r="H13" s="1124">
        <v>2</v>
      </c>
      <c r="I13" s="1125" t="s">
        <v>1137</v>
      </c>
      <c r="J13" s="1113">
        <f ca="1">ROUND(J14*J15,0)</f>
        <v>368</v>
      </c>
      <c r="K13" s="1132" t="s">
        <v>1138</v>
      </c>
      <c r="L13" s="1428"/>
      <c r="M13" s="1429"/>
    </row>
    <row r="14" spans="1:37" ht="18" customHeight="1">
      <c r="A14" s="1035" t="s">
        <v>821</v>
      </c>
      <c r="B14" s="300" t="s">
        <v>1140</v>
      </c>
      <c r="C14" s="316">
        <f ca="1">INDIRECT("'数据-取费表'!m"&amp;$G$1)+INDIRECT("'数据-取费表'!t"&amp;$G$1)</f>
        <v>305</v>
      </c>
      <c r="D14" s="1386" t="s">
        <v>1141</v>
      </c>
      <c r="E14" s="1384"/>
      <c r="F14" s="317"/>
      <c r="G14" s="1421"/>
      <c r="H14" s="1035" t="s">
        <v>822</v>
      </c>
      <c r="I14" s="300" t="s">
        <v>1142</v>
      </c>
      <c r="J14" s="24">
        <f ca="1">C29</f>
        <v>438</v>
      </c>
      <c r="K14" s="15"/>
      <c r="L14" s="844"/>
      <c r="M14" s="845"/>
    </row>
    <row r="15" spans="1:37" s="1433" customFormat="1" ht="18" customHeight="1" thickBot="1">
      <c r="A15" s="1035" t="s">
        <v>823</v>
      </c>
      <c r="B15" s="300" t="s">
        <v>1143</v>
      </c>
      <c r="C15" s="24">
        <f ca="1">ROUND(C14*F15,0)</f>
        <v>9</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9</v>
      </c>
      <c r="K16" s="1132" t="s">
        <v>1148</v>
      </c>
      <c r="L16" s="1133"/>
      <c r="M16" s="1117"/>
    </row>
    <row r="17" spans="1:37" s="1433" customFormat="1" ht="18" customHeight="1">
      <c r="A17" s="1035" t="s">
        <v>1113</v>
      </c>
      <c r="B17" s="300" t="s">
        <v>1149</v>
      </c>
      <c r="C17" s="24">
        <f ca="1">ROUND(F17*(F43+INDIRECT("'数据-取费表'!S"&amp;$G$1))/10000,0)</f>
        <v>23</v>
      </c>
      <c r="D17" s="300" t="s">
        <v>1150</v>
      </c>
      <c r="E17" s="300" t="s">
        <v>1151</v>
      </c>
      <c r="F17" s="26">
        <f>'数据-取费表'!B35</f>
        <v>300</v>
      </c>
      <c r="G17" s="1432"/>
      <c r="H17" s="1035" t="s">
        <v>822</v>
      </c>
      <c r="I17" s="300" t="s">
        <v>1152</v>
      </c>
      <c r="J17" s="2297">
        <f ca="1">ROUND(IF(AND(项目基本情况!B11="自然人",项目基本情况!B10="北京市"),J6*M17/(1+'数据-取费表'!C42),J18+J19+J20),0)</f>
        <v>4</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5</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342</v>
      </c>
      <c r="D19" s="128" t="s">
        <v>1159</v>
      </c>
      <c r="E19" s="1398"/>
      <c r="F19" s="26"/>
      <c r="G19" s="1421"/>
      <c r="H19" s="1035" t="s">
        <v>823</v>
      </c>
      <c r="I19" s="300" t="s">
        <v>1160</v>
      </c>
      <c r="J19" s="24">
        <f ca="1">IF(K19="按租金收入计税",ROUND(J6*M19/(1+'数据-取费表'!C42),2),ROUND(C29*M19*0.7,2))</f>
        <v>3.68</v>
      </c>
      <c r="K19" s="1407" t="s">
        <v>1161</v>
      </c>
      <c r="L19" s="300" t="s">
        <v>1145</v>
      </c>
      <c r="M19" s="320">
        <f>IF(K19="按租金收入计税",'数据-取费表'!B51,'数据-取费表'!B50)</f>
        <v>1.2E-2</v>
      </c>
    </row>
    <row r="20" spans="1:37" s="1433" customFormat="1" ht="18" customHeight="1">
      <c r="A20" s="1035" t="s">
        <v>826</v>
      </c>
      <c r="B20" s="300" t="s">
        <v>1162</v>
      </c>
      <c r="C20" s="24">
        <f ca="1">ROUND(C19*F20,0)</f>
        <v>7</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0.75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4.4000000000000004</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16</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0.4</v>
      </c>
      <c r="K23" s="1385" t="s">
        <v>1177</v>
      </c>
      <c r="L23" s="300" t="s">
        <v>1145</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823</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1115</v>
      </c>
      <c r="I24" s="1135" t="s">
        <v>1162</v>
      </c>
      <c r="J24" s="1136">
        <f ca="1">ROUND(J5*M24,1)</f>
        <v>0</v>
      </c>
      <c r="K24" s="1137" t="s">
        <v>1182</v>
      </c>
      <c r="L24" s="1135" t="s">
        <v>1145</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-9</v>
      </c>
      <c r="K25" s="1140" t="s">
        <v>1187</v>
      </c>
      <c r="L25" s="1141"/>
      <c r="M25" s="1142"/>
    </row>
    <row r="26" spans="1:37">
      <c r="A26" s="1035" t="s">
        <v>821</v>
      </c>
      <c r="B26" s="300" t="s">
        <v>1188</v>
      </c>
      <c r="C26" s="24">
        <f ca="1">ROUND((C19+C20)*F26,0)</f>
        <v>35</v>
      </c>
      <c r="D26" s="321" t="s">
        <v>1189</v>
      </c>
      <c r="E26" s="311" t="s">
        <v>1190</v>
      </c>
      <c r="F26" s="310">
        <f ca="1">INDIRECT("'数据-取费表'!q"&amp;$G$1)</f>
        <v>0.1</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3.0000000000000001E-3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438</v>
      </c>
      <c r="D29" s="1137"/>
      <c r="E29" s="1135"/>
      <c r="F29" s="1138"/>
      <c r="G29" s="1432"/>
      <c r="H29" s="331" t="s">
        <v>820</v>
      </c>
      <c r="I29" s="332" t="s">
        <v>1202</v>
      </c>
      <c r="J29" s="333">
        <f ca="1">ROUND(J26/(1+F40)^F41,0)</f>
        <v>0</v>
      </c>
      <c r="K29" s="334" t="s">
        <v>1203</v>
      </c>
      <c r="L29" s="335"/>
      <c r="M29" s="336">
        <f ca="1">INDIRECT("'数据-取费表'!k"&amp;$G$1)</f>
        <v>762</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38</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31</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9.76</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20.91</v>
      </c>
      <c r="D33" s="1407" t="s">
        <v>3255</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0.75</v>
      </c>
      <c r="G35" s="1421"/>
      <c r="H35" s="2637"/>
      <c r="I35" s="1434"/>
      <c r="J35" s="1435"/>
      <c r="K35" s="2641"/>
      <c r="L35" s="2640"/>
      <c r="M35" s="2640"/>
    </row>
    <row r="36" spans="1:18" ht="18" customHeight="1">
      <c r="A36" s="1147" t="s">
        <v>826</v>
      </c>
      <c r="B36" s="300" t="s">
        <v>1172</v>
      </c>
      <c r="C36" s="24">
        <f ca="1">ROUND(C29*F36,1)</f>
        <v>4.4000000000000004</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0.4</v>
      </c>
      <c r="D37" s="1385" t="s">
        <v>1177</v>
      </c>
      <c r="E37" s="300" t="s">
        <v>1145</v>
      </c>
      <c r="F37" s="327">
        <f ca="1">INDIRECT("'数据-取费表'!Al"&amp;$G$1)</f>
        <v>1E-3</v>
      </c>
      <c r="G37" s="1421"/>
      <c r="H37" s="2640"/>
      <c r="I37" s="1434"/>
      <c r="J37" s="1435"/>
      <c r="K37" s="2494"/>
      <c r="L37" s="2640"/>
      <c r="M37" s="2640"/>
    </row>
    <row r="38" spans="1:18" ht="18" customHeight="1" thickBot="1">
      <c r="A38" s="1134" t="s">
        <v>1115</v>
      </c>
      <c r="B38" s="1135" t="s">
        <v>1162</v>
      </c>
      <c r="C38" s="1136">
        <f ca="1">ROUND(C5*F38,1)</f>
        <v>1.8</v>
      </c>
      <c r="D38" s="1137" t="s">
        <v>1182</v>
      </c>
      <c r="E38" s="1135" t="s">
        <v>1145</v>
      </c>
      <c r="F38" s="1131">
        <f ca="1">INDIRECT("'数据-取费表'!Am"&amp;$G$1)</f>
        <v>0.01</v>
      </c>
      <c r="G38" s="1421"/>
      <c r="H38" s="2640"/>
      <c r="I38" s="1434"/>
      <c r="J38" s="1435"/>
      <c r="K38" s="2638"/>
      <c r="L38" s="2640"/>
      <c r="M38" s="2640"/>
    </row>
    <row r="39" spans="1:18" ht="24.6" customHeight="1" thickTop="1">
      <c r="A39" s="1124" t="s">
        <v>818</v>
      </c>
      <c r="B39" s="1139" t="s">
        <v>1186</v>
      </c>
      <c r="C39" s="308">
        <f ca="1">C5-C30</f>
        <v>146</v>
      </c>
      <c r="D39" s="1140" t="s">
        <v>1187</v>
      </c>
      <c r="E39" s="1141"/>
      <c r="F39" s="1142"/>
      <c r="G39" s="1421"/>
      <c r="H39" s="2640"/>
      <c r="I39" s="1434"/>
      <c r="J39" s="1435"/>
      <c r="K39" s="2638"/>
      <c r="L39" s="2640"/>
      <c r="M39" s="2640"/>
    </row>
    <row r="40" spans="1:18" ht="18" customHeight="1">
      <c r="A40" s="297" t="s">
        <v>819</v>
      </c>
      <c r="B40" s="298" t="s">
        <v>1208</v>
      </c>
      <c r="C40" s="299">
        <f ca="1">ROUND(C39*(1-((1+F42)/(1+F40))^F41)/(F40-F42),0)</f>
        <v>2134</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28005</v>
      </c>
      <c r="D43" s="334" t="s">
        <v>1211</v>
      </c>
      <c r="E43" s="335" t="s">
        <v>1212</v>
      </c>
      <c r="F43" s="336">
        <f ca="1">INDIRECT("'数据-取费表'!k"&amp;$G$1)</f>
        <v>762</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-2653</v>
      </c>
      <c r="D46" s="1442" t="str">
        <f>C2</f>
        <v>万元</v>
      </c>
      <c r="E46" s="1436"/>
      <c r="F46" s="1436"/>
      <c r="I46" s="1443" t="s">
        <v>1244</v>
      </c>
      <c r="J46" s="1444"/>
      <c r="K46" s="1445"/>
      <c r="L46" s="1446">
        <f ca="1">IF(M47="住宅",0,IF(L48&gt;J51,L60,J60))</f>
        <v>61</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3208</v>
      </c>
      <c r="K47" s="1452" t="s">
        <v>1250</v>
      </c>
      <c r="L47" s="1453">
        <f ca="1">INDIRECT("'数据-取费表'!d"&amp;$G$1)</f>
        <v>40</v>
      </c>
      <c r="M47" s="1417" t="str">
        <f>IF(ISNUMBER(FIND("住宅",C1)),"住宅","非住宅")</f>
        <v>非住宅</v>
      </c>
      <c r="O47" s="1454" t="s">
        <v>827</v>
      </c>
      <c r="P47" s="1455" t="s">
        <v>1251</v>
      </c>
      <c r="Q47" s="1456">
        <f ca="1">C40+J29</f>
        <v>2134</v>
      </c>
      <c r="R47" s="1456" t="s">
        <v>1252</v>
      </c>
    </row>
    <row r="48" spans="1:18" s="1421" customFormat="1" ht="28.5" thickBot="1">
      <c r="A48" s="1155" t="s">
        <v>863</v>
      </c>
      <c r="B48" s="298" t="s">
        <v>1124</v>
      </c>
      <c r="C48" s="1397">
        <f ca="1">C49+C53+C55</f>
        <v>0</v>
      </c>
      <c r="D48" s="1157"/>
      <c r="E48" s="1158"/>
      <c r="F48" s="1015"/>
      <c r="G48" s="690"/>
      <c r="H48" s="691"/>
      <c r="I48" s="1457" t="s">
        <v>1253</v>
      </c>
      <c r="J48" s="1458" t="s">
        <v>3235</v>
      </c>
      <c r="K48" s="1459" t="s">
        <v>1254</v>
      </c>
      <c r="L48" s="1460">
        <f ca="1">INDIRECT("'数据-取费表'!f"&amp;$G$1)</f>
        <v>21.24</v>
      </c>
      <c r="O48" s="1454" t="s">
        <v>828</v>
      </c>
      <c r="P48" s="1455" t="s">
        <v>1255</v>
      </c>
      <c r="Q48" s="1456">
        <f ca="1">J60</f>
        <v>61</v>
      </c>
      <c r="R48" s="1456" t="s">
        <v>1256</v>
      </c>
    </row>
    <row r="49" spans="1:18" s="1421" customFormat="1" ht="13.5" thickBot="1">
      <c r="A49" s="1028" t="s">
        <v>864</v>
      </c>
      <c r="B49" s="1408" t="s">
        <v>1213</v>
      </c>
      <c r="C49" s="1159">
        <f ca="1">ROUND(F49*F51*F50*(1-F52)/10000,0)</f>
        <v>0</v>
      </c>
      <c r="D49" s="1099" t="s">
        <v>2607</v>
      </c>
      <c r="E49" s="1409" t="s">
        <v>1214</v>
      </c>
      <c r="F49" s="1104"/>
      <c r="H49" s="691"/>
      <c r="I49" s="1457" t="s">
        <v>1257</v>
      </c>
      <c r="J49" s="1461">
        <v>2012</v>
      </c>
      <c r="K49" s="1459" t="s">
        <v>1258</v>
      </c>
      <c r="L49" s="1462"/>
      <c r="O49" s="1463" t="s">
        <v>829</v>
      </c>
      <c r="P49" s="1455" t="s">
        <v>1259</v>
      </c>
      <c r="Q49" s="1456">
        <f ca="1">C29</f>
        <v>438</v>
      </c>
      <c r="R49" s="1456" t="s">
        <v>1252</v>
      </c>
    </row>
    <row r="50" spans="1:18" s="1421" customFormat="1" ht="13.5" thickBot="1">
      <c r="A50" s="1029"/>
      <c r="B50" s="1032"/>
      <c r="C50" s="1163"/>
      <c r="D50" s="1006"/>
      <c r="E50" s="1100" t="s">
        <v>1129</v>
      </c>
      <c r="F50" s="1101">
        <f ca="1">F7</f>
        <v>762</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7300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15" t="s">
        <v>1271</v>
      </c>
      <c r="L53" s="3216"/>
      <c r="O53" s="1454" t="s">
        <v>833</v>
      </c>
      <c r="P53" s="1455" t="s">
        <v>1272</v>
      </c>
      <c r="Q53" s="1456">
        <f ca="1">Q47+Q48</f>
        <v>2195</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368</v>
      </c>
      <c r="D56" s="1481"/>
      <c r="E56" s="1482"/>
      <c r="F56" s="1474"/>
      <c r="I56" s="1483" t="s">
        <v>1277</v>
      </c>
      <c r="J56" s="1484" t="s">
        <v>3254</v>
      </c>
      <c r="K56" s="1457" t="s">
        <v>1278</v>
      </c>
      <c r="L56" s="1460" t="str">
        <f ca="1">IF(L48&lt;J51,"——",L48-J53)</f>
        <v>——</v>
      </c>
      <c r="O56" s="1454" t="s">
        <v>827</v>
      </c>
      <c r="P56" s="1455" t="s">
        <v>1251</v>
      </c>
      <c r="Q56" s="1456">
        <f ca="1">C40+J29</f>
        <v>2134</v>
      </c>
      <c r="R56" s="1456" t="s">
        <v>1252</v>
      </c>
    </row>
    <row r="57" spans="1:18" s="1421" customFormat="1" ht="24.75" thickBot="1">
      <c r="A57" s="1485"/>
      <c r="B57" s="1003" t="s">
        <v>1201</v>
      </c>
      <c r="C57" s="236">
        <f ca="1">C29</f>
        <v>438</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42</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37</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210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61</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1160</v>
      </c>
      <c r="C61" s="24">
        <f ca="1">IF(项目基本情况!B11="自然人","——",IF(D61="按租金收入计税",ROUND(C49*F61/(1+'数据-取费表'!C42),2),IF(D61="按房产原值计税",ROUND(C57*F61*0.7,2),INDIRECT("'数据-取费表'!Aj"&amp;$G$1))))</f>
        <v>36.79</v>
      </c>
      <c r="D61" s="1407" t="s">
        <v>1161</v>
      </c>
      <c r="E61" s="1003" t="s">
        <v>1145</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1164</v>
      </c>
      <c r="C62" s="25">
        <f ca="1">IF(项目基本情况!B11="自然人","——",ROUND(F62*F63/10000,2))</f>
        <v>0</v>
      </c>
      <c r="D62" s="1018" t="s">
        <v>1165</v>
      </c>
      <c r="E62" s="1003" t="s">
        <v>1166</v>
      </c>
      <c r="F62" s="323">
        <f t="shared" si="0"/>
        <v>0</v>
      </c>
      <c r="I62" s="1496" t="s">
        <v>1293</v>
      </c>
      <c r="J62" s="618" t="s">
        <v>1294</v>
      </c>
      <c r="K62" s="618" t="s">
        <v>1295</v>
      </c>
      <c r="L62" s="618" t="s">
        <v>1296</v>
      </c>
      <c r="M62" s="1497" t="s">
        <v>1297</v>
      </c>
      <c r="O62" s="1454" t="s">
        <v>833</v>
      </c>
      <c r="P62" s="1455" t="s">
        <v>1272</v>
      </c>
      <c r="Q62" s="1456">
        <f ca="1">Q56+Q57</f>
        <v>2134</v>
      </c>
      <c r="R62" s="1456" t="s">
        <v>834</v>
      </c>
    </row>
    <row r="63" spans="1:18" s="1421" customFormat="1" ht="13.5" thickBot="1">
      <c r="A63" s="324"/>
      <c r="B63" s="1009"/>
      <c r="C63" s="29"/>
      <c r="D63" s="1019"/>
      <c r="E63" s="1003" t="s">
        <v>1170</v>
      </c>
      <c r="F63" s="301">
        <f t="shared" ca="1" si="0"/>
        <v>0.75</v>
      </c>
      <c r="I63" s="1496" t="s">
        <v>1299</v>
      </c>
      <c r="J63" s="618">
        <v>70</v>
      </c>
      <c r="K63" s="618">
        <v>50</v>
      </c>
      <c r="L63" s="618">
        <v>80</v>
      </c>
      <c r="M63" s="1498">
        <v>0.02</v>
      </c>
      <c r="O63" s="1439" t="s">
        <v>1300</v>
      </c>
      <c r="P63" s="1418"/>
      <c r="Q63" s="1418"/>
      <c r="R63" s="1418"/>
    </row>
    <row r="64" spans="1:18" s="1421" customFormat="1" ht="13.5" thickBot="1">
      <c r="A64" s="1035" t="s">
        <v>826</v>
      </c>
      <c r="B64" s="1003" t="s">
        <v>1172</v>
      </c>
      <c r="C64" s="24">
        <f ca="1">ROUND(C57*F64,1)</f>
        <v>4.4000000000000004</v>
      </c>
      <c r="D64" s="1017" t="s">
        <v>1205</v>
      </c>
      <c r="E64" s="1003" t="s">
        <v>1145</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0.4</v>
      </c>
      <c r="D65" s="1017" t="s">
        <v>1177</v>
      </c>
      <c r="E65" s="1003" t="s">
        <v>1145</v>
      </c>
      <c r="F65" s="327">
        <f t="shared" ca="1" si="0"/>
        <v>1E-3</v>
      </c>
      <c r="I65" s="1496" t="s">
        <v>1302</v>
      </c>
      <c r="J65" s="618">
        <v>40</v>
      </c>
      <c r="K65" s="618">
        <v>30</v>
      </c>
      <c r="L65" s="618">
        <v>50</v>
      </c>
      <c r="M65" s="1498">
        <v>0.02</v>
      </c>
      <c r="O65" s="1454" t="s">
        <v>827</v>
      </c>
      <c r="P65" s="1455" t="s">
        <v>1251</v>
      </c>
      <c r="Q65" s="1456">
        <f ca="1">C40+J29</f>
        <v>2134</v>
      </c>
      <c r="R65" s="1456" t="s">
        <v>1252</v>
      </c>
    </row>
    <row r="66" spans="1:18" s="1421" customFormat="1" ht="16.5" thickBot="1">
      <c r="A66" s="1035" t="s">
        <v>1227</v>
      </c>
      <c r="B66" s="1003" t="s">
        <v>1162</v>
      </c>
      <c r="C66" s="24">
        <f ca="1">ROUND(C48*F66,1)</f>
        <v>0</v>
      </c>
      <c r="D66" s="1017" t="s">
        <v>1182</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-42</v>
      </c>
      <c r="D67" s="1016" t="s">
        <v>1187</v>
      </c>
      <c r="E67" s="1021"/>
      <c r="F67" s="1022"/>
      <c r="O67" s="1463" t="s">
        <v>829</v>
      </c>
      <c r="P67" s="1455" t="s">
        <v>1285</v>
      </c>
      <c r="Q67" s="1499">
        <f ca="1">L51</f>
        <v>7300</v>
      </c>
      <c r="R67" s="1456" t="s">
        <v>1305</v>
      </c>
    </row>
    <row r="68" spans="1:18" s="1421" customFormat="1" ht="16.5" thickBot="1">
      <c r="A68" s="1000" t="s">
        <v>819</v>
      </c>
      <c r="B68" s="1001" t="s">
        <v>1208</v>
      </c>
      <c r="C68" s="299">
        <f ca="1">ROUND(C67*(1-((1+F70)/(1+F68))^F69)/(F68-F70),0)</f>
        <v>-519</v>
      </c>
      <c r="D68" s="1018" t="s">
        <v>1192</v>
      </c>
      <c r="E68" s="1003" t="s">
        <v>1193</v>
      </c>
      <c r="F68" s="310">
        <f ca="1">F40</f>
        <v>5.5E-2</v>
      </c>
      <c r="O68" s="1463" t="s">
        <v>830</v>
      </c>
      <c r="P68" s="1500" t="s">
        <v>1306</v>
      </c>
      <c r="Q68" s="1456">
        <f ca="1">ROUND(Q69-Q70*Q71,0)</f>
        <v>146</v>
      </c>
      <c r="R68" s="1456" t="s">
        <v>838</v>
      </c>
    </row>
    <row r="69" spans="1:18" s="1421" customFormat="1" ht="13.5" thickBot="1">
      <c r="A69" s="1004"/>
      <c r="B69" s="1005"/>
      <c r="C69" s="304"/>
      <c r="D69" s="1023" t="s">
        <v>1196</v>
      </c>
      <c r="E69" s="1003" t="s">
        <v>1197</v>
      </c>
      <c r="F69" s="330">
        <f ca="1">F41</f>
        <v>21.24</v>
      </c>
      <c r="O69" s="1463" t="s">
        <v>835</v>
      </c>
      <c r="P69" s="1500" t="s">
        <v>1307</v>
      </c>
      <c r="Q69" s="1456">
        <f ca="1">C39</f>
        <v>146</v>
      </c>
      <c r="R69" s="1456" t="s">
        <v>1252</v>
      </c>
    </row>
    <row r="70" spans="1:18" s="1421" customFormat="1" ht="13.5" thickBot="1">
      <c r="A70" s="1007"/>
      <c r="B70" s="1008"/>
      <c r="C70" s="308"/>
      <c r="D70" s="1019"/>
      <c r="E70" s="1003" t="s">
        <v>1200</v>
      </c>
      <c r="F70" s="1098"/>
      <c r="O70" s="1463" t="s">
        <v>836</v>
      </c>
      <c r="P70" s="1500" t="s">
        <v>1308</v>
      </c>
      <c r="Q70" s="1456">
        <f ca="1">C13</f>
        <v>368</v>
      </c>
      <c r="R70" s="1456" t="s">
        <v>1252</v>
      </c>
    </row>
    <row r="71" spans="1:18" s="1421" customFormat="1" ht="13.5" thickBot="1">
      <c r="A71" s="1024" t="s">
        <v>820</v>
      </c>
      <c r="B71" s="1025" t="s">
        <v>1210</v>
      </c>
      <c r="C71" s="333">
        <f ca="1">ROUND(C68*10000/F71,0)</f>
        <v>-6811</v>
      </c>
      <c r="D71" s="1026" t="s">
        <v>1211</v>
      </c>
      <c r="E71" s="1027" t="s">
        <v>1212</v>
      </c>
      <c r="F71" s="336">
        <f ca="1">F43</f>
        <v>762</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2134</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0.82800000000000007</v>
      </c>
    </row>
    <row r="83" spans="2:3">
      <c r="B83" s="271" t="s">
        <v>1237</v>
      </c>
      <c r="C83" s="272">
        <f ca="1">ROUND(C13/C40,3)</f>
        <v>0.17199999999999999</v>
      </c>
    </row>
  </sheetData>
  <sheetProtection formatCells="0" formatColumns="0" formatRows="0"/>
  <mergeCells count="3">
    <mergeCell ref="B6:B9"/>
    <mergeCell ref="I6:I9"/>
    <mergeCell ref="K53:L53"/>
  </mergeCells>
  <phoneticPr fontId="140" type="noConversion"/>
  <conditionalFormatting sqref="K55 K60">
    <cfRule type="expression" dxfId="245" priority="4">
      <formula>$L$48&gt;$J$51</formula>
    </cfRule>
  </conditionalFormatting>
  <conditionalFormatting sqref="I55 I60">
    <cfRule type="expression" dxfId="244" priority="5">
      <formula>$J$51&gt;$L$48</formula>
    </cfRule>
  </conditionalFormatting>
  <conditionalFormatting sqref="C11">
    <cfRule type="expression" dxfId="243" priority="3">
      <formula>$F$10="自定义"</formula>
    </cfRule>
  </conditionalFormatting>
  <conditionalFormatting sqref="J11">
    <cfRule type="expression" dxfId="242" priority="2">
      <formula>$M$10="自定义"</formula>
    </cfRule>
  </conditionalFormatting>
  <conditionalFormatting sqref="C54">
    <cfRule type="expression" dxfId="241" priority="1">
      <formula>$F$53="自定义"</formula>
    </cfRule>
  </conditionalFormatting>
  <dataValidations count="9">
    <dataValidation type="list" allowBlank="1" showInputMessage="1" showErrorMessage="1" sqref="D1" xr:uid="{00000000-0002-0000-1300-000000000000}">
      <formula1>"在建（套用方法）,土地（套用方法）,——"</formula1>
    </dataValidation>
    <dataValidation type="list" allowBlank="1" showInputMessage="1" showErrorMessage="1" sqref="M10 F10 F53" xr:uid="{00000000-0002-0000-1300-000001000000}">
      <formula1>"押一,押二,押三,自定义"</formula1>
    </dataValidation>
    <dataValidation type="list" allowBlank="1" showInputMessage="1" showErrorMessage="1" sqref="L55" xr:uid="{00000000-0002-0000-1300-000002000000}">
      <formula1>"比较法,基准地价,收益还原"</formula1>
    </dataValidation>
    <dataValidation type="list" allowBlank="1" showInputMessage="1" showErrorMessage="1" sqref="J56" xr:uid="{00000000-0002-0000-1300-000003000000}">
      <formula1>判定</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47" xr:uid="{00000000-0002-0000-1300-000005000000}">
      <formula1>"钢,钢混,砖混"</formula1>
    </dataValidation>
    <dataValidation type="list" allowBlank="1" showInputMessage="1" showErrorMessage="1" sqref="C1" xr:uid="{00000000-0002-0000-1300-000006000000}">
      <formula1>项目类型</formula1>
    </dataValidation>
    <dataValidation type="list" allowBlank="1" showInputMessage="1" showErrorMessage="1" sqref="D33 D61" xr:uid="{00000000-0002-0000-1300-000007000000}">
      <formula1>"按租金收入计税,按房产原值计税,按票据"</formula1>
    </dataValidation>
    <dataValidation type="list" allowBlank="1" showInputMessage="1" showErrorMessage="1" sqref="K19" xr:uid="{00000000-0002-0000-1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pageSetUpPr fitToPage="1"/>
  </sheetPr>
  <dimension ref="A1:I57"/>
  <sheetViews>
    <sheetView view="pageBreakPreview" topLeftCell="A37"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3178</v>
      </c>
      <c r="C1" s="196"/>
      <c r="D1" s="196"/>
      <c r="E1" s="196"/>
      <c r="F1" s="196"/>
      <c r="G1" s="1172">
        <f>MATCH(B1,'数据-取费表'!A6:A16,0)+5</f>
        <v>6</v>
      </c>
    </row>
    <row r="2" spans="1:9" s="198" customFormat="1" ht="18" customHeight="1">
      <c r="A2" s="199" t="s">
        <v>1906</v>
      </c>
      <c r="B2" s="200">
        <f ca="1">IF(D2="——",C52,C52-E2)</f>
        <v>1547</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60430</v>
      </c>
      <c r="C3" s="197" t="s">
        <v>1909</v>
      </c>
      <c r="D3" s="197"/>
      <c r="E3" s="197"/>
      <c r="F3" s="197"/>
      <c r="G3" s="197"/>
    </row>
    <row r="4" spans="1:9" s="206" customFormat="1" ht="15.75">
      <c r="A4" s="203" t="s">
        <v>1910</v>
      </c>
      <c r="B4" s="204"/>
      <c r="C4" s="204"/>
      <c r="D4" s="204"/>
      <c r="E4" s="204"/>
      <c r="F4" s="204"/>
      <c r="G4" s="205"/>
    </row>
    <row r="5" spans="1:9" s="212" customFormat="1" ht="13.5" customHeight="1">
      <c r="A5" s="253" t="s">
        <v>1911</v>
      </c>
      <c r="B5" s="208" t="s">
        <v>1912</v>
      </c>
      <c r="C5" s="209">
        <f ca="1">C6+C7+C8</f>
        <v>972</v>
      </c>
      <c r="D5" s="209" t="s">
        <v>1913</v>
      </c>
      <c r="E5" s="210" t="s">
        <v>1914</v>
      </c>
      <c r="F5" s="210" t="s">
        <v>1915</v>
      </c>
      <c r="G5" s="211"/>
    </row>
    <row r="6" spans="1:9" s="212" customFormat="1" ht="13.5" customHeight="1">
      <c r="A6" s="816" t="s">
        <v>1916</v>
      </c>
      <c r="B6" s="213" t="s">
        <v>1917</v>
      </c>
      <c r="C6" s="214">
        <f>'[2]基准地价修正（1层）'!$V$2</f>
        <v>938</v>
      </c>
      <c r="D6" s="215"/>
      <c r="E6" s="216"/>
      <c r="F6" s="216"/>
      <c r="G6" s="217"/>
    </row>
    <row r="7" spans="1:9" s="212" customFormat="1" ht="13.5" customHeight="1">
      <c r="A7" s="816" t="s">
        <v>1918</v>
      </c>
      <c r="B7" s="213" t="s">
        <v>1919</v>
      </c>
      <c r="C7" s="218">
        <f>ROUND(C6*F7,0)</f>
        <v>29</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5</v>
      </c>
      <c r="D8" s="220"/>
      <c r="E8" s="218"/>
      <c r="F8" s="219"/>
      <c r="G8" s="1844" t="s">
        <v>3253</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5</v>
      </c>
      <c r="D10" s="880">
        <f ca="1">IF(B1="",'数据-汇总表'!E6,IF(INDIRECT("'数据-取费表'!c"&amp;$G$1)="住宅",INDIRECT("'数据-取费表'!s"&amp;$G$1),INDIRECT("'数据-取费表'!k"&amp;$G$1)+INDIRECT("'数据-取费表'!s"&amp;$G$1)))</f>
        <v>256</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256</v>
      </c>
      <c r="E19" s="209">
        <f>'数据-取费表'!B31</f>
        <v>200</v>
      </c>
      <c r="F19" s="229"/>
      <c r="G19" s="1844" t="s">
        <v>3186</v>
      </c>
    </row>
    <row r="20" spans="1:7" s="212" customFormat="1" ht="13.5" customHeight="1">
      <c r="A20" s="253" t="s">
        <v>1937</v>
      </c>
      <c r="B20" s="208" t="s">
        <v>1938</v>
      </c>
      <c r="C20" s="230">
        <f ca="1">ROUND((C5+C19)*F20,0)</f>
        <v>19</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96</v>
      </c>
      <c r="D22" s="233">
        <f ca="1">C26</f>
        <v>1.4E-3</v>
      </c>
      <c r="E22" s="234" t="s">
        <v>1942</v>
      </c>
      <c r="F22" s="235">
        <f ca="1">'数据-取费表'!B40</f>
        <v>4.7500000000000001E-2</v>
      </c>
      <c r="G22" s="232" t="str">
        <f>IF('数据-取费表'!B22&lt;=1,"单利计息","复利计息")</f>
        <v>复利计息</v>
      </c>
    </row>
    <row r="23" spans="1:7" s="212" customFormat="1" ht="13.5" customHeight="1">
      <c r="A23" s="818" t="s">
        <v>1946</v>
      </c>
      <c r="B23" s="213" t="s">
        <v>1947</v>
      </c>
      <c r="C23" s="1150">
        <f ca="1">ROUND(IF('数据-取费表'!B22&lt;=1,C5*F22*'数据-取费表'!B23,C5*(POWER((1+F22),'数据-取费表'!B23)-1)),0)</f>
        <v>95</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1952</v>
      </c>
      <c r="B25" s="213" t="s">
        <v>1953</v>
      </c>
      <c r="C25" s="1150">
        <f ca="1">ROUND(IF('数据-取费表'!B22&lt;=1,C20*F22*'数据-取费表'!B23/2,C20*(POWER((1+F22),'数据-取费表'!B23/2)-1)),0)</f>
        <v>1</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198</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ROUND((C5+C19+C20)*F27*'数据-取费表'!B21/'数据-取费表'!B20,0)</f>
        <v>198</v>
      </c>
      <c r="D28" s="233"/>
      <c r="E28" s="234"/>
      <c r="F28" s="244"/>
      <c r="G28" s="245"/>
    </row>
    <row r="29" spans="1:7" s="212" customFormat="1" ht="13.5" customHeight="1">
      <c r="A29" s="818" t="s">
        <v>611</v>
      </c>
      <c r="B29" s="246" t="s">
        <v>1961</v>
      </c>
      <c r="C29" s="236">
        <f ca="1">ROUND(C21*F27*'数据-取费表'!B21/'数据-取费表'!B20,4)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115</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102</v>
      </c>
      <c r="D34" s="215"/>
      <c r="E34" s="218"/>
      <c r="F34" s="255">
        <f ca="1">IF('数据-取费表'!B24=0,1,IF(B1="",'数据-取费表'!N16,INDIRECT("'数据-取费表'!n"&amp;$G$1)))</f>
        <v>1</v>
      </c>
      <c r="G34" s="217" t="s">
        <v>1970</v>
      </c>
    </row>
    <row r="35" spans="1:7" ht="13.5" customHeight="1">
      <c r="A35" s="818" t="s">
        <v>615</v>
      </c>
      <c r="B35" s="213" t="s">
        <v>1971</v>
      </c>
      <c r="C35" s="218">
        <f ca="1">ROUND(C34*F35,0)</f>
        <v>3</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8</v>
      </c>
      <c r="D37" s="215">
        <f ca="1">D19</f>
        <v>256</v>
      </c>
      <c r="E37" s="247">
        <f>'数据-取费表'!B35</f>
        <v>300</v>
      </c>
      <c r="F37" s="257"/>
      <c r="G37" s="259" t="s">
        <v>1976</v>
      </c>
    </row>
    <row r="38" spans="1:7" ht="13.5" customHeight="1">
      <c r="A38" s="818" t="s">
        <v>618</v>
      </c>
      <c r="B38" s="213" t="s">
        <v>1977</v>
      </c>
      <c r="C38" s="218">
        <f ca="1">ROUND(C34*F38,0)</f>
        <v>2</v>
      </c>
      <c r="D38" s="218"/>
      <c r="E38" s="218"/>
      <c r="F38" s="257">
        <f>'数据-取费表'!B36</f>
        <v>1.4999999999999999E-2</v>
      </c>
      <c r="G38" s="217" t="s">
        <v>1972</v>
      </c>
    </row>
    <row r="39" spans="1:7" s="212" customFormat="1" ht="13.5" customHeight="1">
      <c r="A39" s="253" t="s">
        <v>1978</v>
      </c>
      <c r="B39" s="208" t="s">
        <v>1979</v>
      </c>
      <c r="C39" s="230">
        <f ca="1">ROUND(C33*F20,0)</f>
        <v>2</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5</v>
      </c>
      <c r="D42" s="236"/>
      <c r="E42" s="236"/>
      <c r="F42" s="237"/>
      <c r="G42" s="3220" t="s">
        <v>1988</v>
      </c>
    </row>
    <row r="43" spans="1:7" ht="13.5" customHeight="1">
      <c r="A43" s="818" t="s">
        <v>611</v>
      </c>
      <c r="B43" s="213" t="s">
        <v>1989</v>
      </c>
      <c r="C43" s="236">
        <f ca="1">ROUND(IF('数据-取费表'!B22&lt;=1,C39*F22*'数据-取费表'!B21/2,C39*(POWER((1+F22),'数据-取费表'!B21/2)-1)),0)</f>
        <v>0</v>
      </c>
      <c r="D43" s="236"/>
      <c r="E43" s="236"/>
      <c r="F43" s="237"/>
      <c r="G43" s="3221"/>
    </row>
    <row r="44" spans="1:7" ht="13.5" customHeight="1">
      <c r="A44" s="818" t="s">
        <v>612</v>
      </c>
      <c r="B44" s="213" t="s">
        <v>1990</v>
      </c>
      <c r="C44" s="236">
        <f ca="1">ROUND(IF('数据-取费表'!B22&lt;=1,C40*F22*'数据-取费表'!B21/2,C40*(POWER((1+F22),'数据-取费表'!B21/2)-1)),4)</f>
        <v>1.4E-3</v>
      </c>
      <c r="D44" s="236"/>
      <c r="E44" s="236"/>
      <c r="F44" s="237"/>
      <c r="G44" s="3222"/>
    </row>
    <row r="45" spans="1:7" s="212" customFormat="1" ht="13.5" customHeight="1">
      <c r="A45" s="253" t="s">
        <v>1991</v>
      </c>
      <c r="B45" s="242" t="s">
        <v>1957</v>
      </c>
      <c r="C45" s="243">
        <f ca="1">C46</f>
        <v>23</v>
      </c>
      <c r="D45" s="233">
        <f ca="1">C47</f>
        <v>6.0000000000000001E-3</v>
      </c>
      <c r="E45" s="234" t="s">
        <v>1983</v>
      </c>
      <c r="F45" s="2300">
        <f ca="1">F27</f>
        <v>0.2</v>
      </c>
      <c r="G45" s="245" t="s">
        <v>1992</v>
      </c>
    </row>
    <row r="46" spans="1:7" s="212" customFormat="1" ht="13.5" customHeight="1">
      <c r="A46" s="818" t="s">
        <v>610</v>
      </c>
      <c r="B46" s="246" t="s">
        <v>1993</v>
      </c>
      <c r="C46" s="247">
        <f ca="1">ROUND((C33+C39)*F27,0)</f>
        <v>23</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159</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134</v>
      </c>
      <c r="D51" s="230"/>
      <c r="E51" s="230"/>
      <c r="F51" s="262"/>
      <c r="G51" s="232" t="s">
        <v>2004</v>
      </c>
    </row>
    <row r="52" spans="1:7" s="206" customFormat="1" ht="16.5" thickBot="1">
      <c r="A52" s="263" t="s">
        <v>2005</v>
      </c>
      <c r="B52" s="264"/>
      <c r="C52" s="265">
        <f ca="1">C31+C51</f>
        <v>1547</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92D050"/>
    <pageSetUpPr fitToPage="1"/>
  </sheetPr>
  <dimension ref="A1:H57"/>
  <sheetViews>
    <sheetView view="pageBreakPreview" zoomScale="90" zoomScaleNormal="70" zoomScaleSheetLayoutView="90" workbookViewId="0">
      <selection activeCell="F27" sqref="F27"/>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3180</v>
      </c>
      <c r="C1" s="1847" t="s">
        <v>2007</v>
      </c>
      <c r="D1" s="196"/>
      <c r="E1" s="196"/>
      <c r="F1" s="196"/>
      <c r="G1" s="1172">
        <f>MATCH(B1,'数据-取费表'!A6:A16,0)+5</f>
        <v>7</v>
      </c>
      <c r="H1" s="1105" t="str">
        <f>IF(ISERROR(FIND("住宅",B1)),"非住宅","住宅")</f>
        <v>非住宅</v>
      </c>
    </row>
    <row r="2" spans="1:8" s="198" customFormat="1" ht="18" customHeight="1">
      <c r="A2" s="199" t="s">
        <v>1117</v>
      </c>
      <c r="B2" s="200">
        <f ca="1">ROUND(IF(D2="——",C52/10000,C52/10000-E2),0)</f>
        <v>3028</v>
      </c>
      <c r="C2" s="197" t="s">
        <v>1907</v>
      </c>
      <c r="D2" s="1841" t="s">
        <v>70</v>
      </c>
      <c r="E2" s="1199" t="e">
        <f ca="1">SUMIF(INDIRECT("'"&amp;G2&amp;"'"&amp;"!A:A"),"承租人权益价值",INDIRECT("'"&amp;G2&amp;"'"&amp;"!c:c"))</f>
        <v>#REF!</v>
      </c>
      <c r="F2" s="1842" t="s">
        <v>1907</v>
      </c>
      <c r="G2" s="1843"/>
    </row>
    <row r="3" spans="1:8" s="198" customFormat="1" ht="18" customHeight="1" thickBot="1">
      <c r="A3" s="201" t="s">
        <v>1118</v>
      </c>
      <c r="B3" s="202">
        <f ca="1">ROUND(B2*10000/(IF(B1="",'数据-汇总表'!E3,INDIRECT("'数据-取费表'!k"&amp;$G$1))),0)</f>
        <v>39738</v>
      </c>
      <c r="C3" s="197" t="s">
        <v>1909</v>
      </c>
      <c r="D3" s="197"/>
      <c r="E3" s="197"/>
      <c r="F3" s="197"/>
      <c r="G3" s="197"/>
    </row>
    <row r="4" spans="1:8" s="206" customFormat="1" ht="15.75">
      <c r="A4" s="203" t="s">
        <v>1910</v>
      </c>
      <c r="B4" s="204"/>
      <c r="C4" s="204"/>
      <c r="D4" s="204"/>
      <c r="E4" s="204"/>
      <c r="F4" s="204"/>
      <c r="G4" s="205"/>
    </row>
    <row r="5" spans="1:8" s="212" customFormat="1" ht="13.5" customHeight="1">
      <c r="A5" s="253" t="s">
        <v>601</v>
      </c>
      <c r="B5" s="208" t="s">
        <v>1912</v>
      </c>
      <c r="C5" s="209">
        <f ca="1">C6+C7+C8</f>
        <v>19891788</v>
      </c>
      <c r="D5" s="209" t="s">
        <v>1913</v>
      </c>
      <c r="E5" s="210" t="s">
        <v>1914</v>
      </c>
      <c r="F5" s="210" t="s">
        <v>1915</v>
      </c>
      <c r="G5" s="211"/>
    </row>
    <row r="6" spans="1:8" s="212" customFormat="1" ht="13.5" customHeight="1">
      <c r="A6" s="816" t="s">
        <v>610</v>
      </c>
      <c r="B6" s="213" t="s">
        <v>1917</v>
      </c>
      <c r="C6" s="214">
        <f>'[2]基准地价修正（1层）'!$T$4*'数据-汇总表'!F20</f>
        <v>19155156</v>
      </c>
      <c r="D6" s="215"/>
      <c r="E6" s="216"/>
      <c r="F6" s="216"/>
      <c r="G6" s="217"/>
    </row>
    <row r="7" spans="1:8" s="212" customFormat="1" ht="13.5" customHeight="1">
      <c r="A7" s="816" t="s">
        <v>611</v>
      </c>
      <c r="B7" s="213" t="s">
        <v>1919</v>
      </c>
      <c r="C7" s="218">
        <f>ROUND(C6*F7,0)</f>
        <v>584232</v>
      </c>
      <c r="D7" s="218"/>
      <c r="E7" s="216"/>
      <c r="F7" s="219">
        <f>IF(项目基本情况!B8="出让",0,'数据-取费表'!B48+'数据-取费表'!B49)</f>
        <v>3.0499999999999999E-2</v>
      </c>
      <c r="G7" s="217"/>
    </row>
    <row r="8" spans="1:8" s="221" customFormat="1">
      <c r="A8" s="816" t="s">
        <v>612</v>
      </c>
      <c r="B8" s="213" t="s">
        <v>1921</v>
      </c>
      <c r="C8" s="218">
        <f ca="1">IF(G8="已包含在土地购买价格中",0,C9+C10)</f>
        <v>152400</v>
      </c>
      <c r="D8" s="220"/>
      <c r="E8" s="218"/>
      <c r="F8" s="219"/>
      <c r="G8" s="1844" t="s">
        <v>3253</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152400</v>
      </c>
      <c r="D10" s="880">
        <f ca="1">IF(B1="",'数据-汇总表'!E6,IF(INDIRECT("'数据-取费表'!c"&amp;$G$1)="住宅",INDIRECT("'数据-取费表'!s"&amp;$G$1),INDIRECT("'数据-取费表'!k"&amp;$G$1)+INDIRECT("'数据-取费表'!s"&amp;$G$1)))</f>
        <v>762</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1926</v>
      </c>
      <c r="C12" s="209">
        <v>0</v>
      </c>
      <c r="D12" s="216"/>
      <c r="E12" s="226"/>
      <c r="F12" s="219">
        <v>3.0499999999999999E-2</v>
      </c>
      <c r="G12" s="217"/>
    </row>
    <row r="13" spans="1:8" s="212" customFormat="1" ht="13.5" hidden="1" customHeight="1">
      <c r="A13" s="225" t="s">
        <v>9</v>
      </c>
      <c r="B13" s="213" t="s">
        <v>1927</v>
      </c>
      <c r="C13" s="209"/>
      <c r="D13" s="216"/>
      <c r="E13" s="216"/>
      <c r="F13" s="216"/>
      <c r="G13" s="217"/>
    </row>
    <row r="14" spans="1:8" s="212" customFormat="1" ht="13.5" hidden="1" customHeight="1">
      <c r="A14" s="225" t="s">
        <v>10</v>
      </c>
      <c r="B14" s="213" t="s">
        <v>1921</v>
      </c>
      <c r="C14" s="209"/>
      <c r="D14" s="216"/>
      <c r="E14" s="216"/>
      <c r="F14" s="216"/>
      <c r="G14" s="217" t="s">
        <v>1929</v>
      </c>
    </row>
    <row r="15" spans="1:8" s="212" customFormat="1" ht="13.5" hidden="1" customHeight="1">
      <c r="A15" s="225" t="s">
        <v>11</v>
      </c>
      <c r="B15" s="213" t="s">
        <v>1930</v>
      </c>
      <c r="C15" s="218"/>
      <c r="D15" s="216"/>
      <c r="E15" s="216"/>
      <c r="F15" s="216"/>
      <c r="G15" s="217" t="s">
        <v>1931</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IF(G19="已包含在土地取得成本中","0",ROUND(D19*E19,0))</f>
        <v>0</v>
      </c>
      <c r="D19" s="210">
        <f ca="1">D9+D10</f>
        <v>762</v>
      </c>
      <c r="E19" s="209">
        <f>'数据-取费表'!B31</f>
        <v>200</v>
      </c>
      <c r="F19" s="229"/>
      <c r="G19" s="1844" t="s">
        <v>3186</v>
      </c>
    </row>
    <row r="20" spans="1:7" s="212" customFormat="1" ht="13.5" customHeight="1">
      <c r="A20" s="253" t="s">
        <v>1937</v>
      </c>
      <c r="B20" s="208" t="s">
        <v>1938</v>
      </c>
      <c r="C20" s="230">
        <f ca="1">ROUND((C5+C19)*F20,0)</f>
        <v>397836</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230">
        <f ca="1">ROUND(SUM(C23:C25),0)</f>
        <v>1953498</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236">
        <f ca="1">ROUND(IF('数据-取费表'!B22&lt;=1,C5*F22*'数据-取费表'!B22,C5*(POWER((1+F22),'数据-取费表'!B22)-1)),0)</f>
        <v>1934601</v>
      </c>
      <c r="D23" s="236"/>
      <c r="E23" s="236"/>
      <c r="F23" s="237"/>
      <c r="G23" s="238" t="s">
        <v>1948</v>
      </c>
    </row>
    <row r="24" spans="1:7" s="212" customFormat="1" ht="13.5" customHeight="1">
      <c r="A24" s="818" t="s">
        <v>611</v>
      </c>
      <c r="B24" s="213" t="s">
        <v>1950</v>
      </c>
      <c r="C24" s="236">
        <f ca="1">ROUND(IF('数据-取费表'!B22&lt;=1,C19*F22*('数据-取费表'!B19/2+'数据-取费表'!B20),C19*(POWER((1+F22),('数据-取费表'!B19/2+'数据-取费表'!B20))-1)),0)</f>
        <v>0</v>
      </c>
      <c r="D24" s="236"/>
      <c r="E24" s="236"/>
      <c r="F24" s="237"/>
      <c r="G24" s="238" t="s">
        <v>1951</v>
      </c>
    </row>
    <row r="25" spans="1:7" s="212" customFormat="1" ht="24">
      <c r="A25" s="818" t="s">
        <v>612</v>
      </c>
      <c r="B25" s="213" t="s">
        <v>1953</v>
      </c>
      <c r="C25" s="236">
        <f ca="1">ROUND(IF('数据-取费表'!B22&lt;=1,C20*F22*'数据-取费表'!B22/2,C20*(POWER((1+F22),'数据-取费表'!B22/2)-1)),0)</f>
        <v>18897</v>
      </c>
      <c r="D25" s="236"/>
      <c r="E25" s="239"/>
      <c r="F25" s="237"/>
      <c r="G25" s="240" t="s">
        <v>1954</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2028962</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ROUND((C5+C19+C20)*F27,0)</f>
        <v>2028962</v>
      </c>
      <c r="D28" s="233"/>
      <c r="E28" s="234"/>
      <c r="F28" s="244"/>
      <c r="G28" s="245"/>
    </row>
    <row r="29" spans="1:7" s="212" customFormat="1" ht="13.5" customHeight="1">
      <c r="A29" s="818" t="s">
        <v>611</v>
      </c>
      <c r="B29" s="246" t="s">
        <v>1961</v>
      </c>
      <c r="C29" s="236">
        <f ca="1">ROUND(C21*F27,4)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26605375</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3413760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3048000</v>
      </c>
      <c r="D34" s="215"/>
      <c r="E34" s="218"/>
      <c r="F34" s="255"/>
      <c r="G34" s="217"/>
    </row>
    <row r="35" spans="1:7" ht="13.5" customHeight="1">
      <c r="A35" s="818" t="s">
        <v>615</v>
      </c>
      <c r="B35" s="213" t="s">
        <v>1971</v>
      </c>
      <c r="C35" s="218">
        <f ca="1">ROUND(C34*F35,0)</f>
        <v>91440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228600</v>
      </c>
      <c r="D37" s="215">
        <f ca="1">D19</f>
        <v>762</v>
      </c>
      <c r="E37" s="247">
        <f>'数据-取费表'!B35</f>
        <v>300</v>
      </c>
      <c r="F37" s="257"/>
      <c r="G37" s="259"/>
    </row>
    <row r="38" spans="1:7" ht="13.5" customHeight="1">
      <c r="A38" s="818" t="s">
        <v>618</v>
      </c>
      <c r="B38" s="213" t="s">
        <v>1977</v>
      </c>
      <c r="C38" s="218">
        <f ca="1">ROUND(C34*F38,0)</f>
        <v>45720</v>
      </c>
      <c r="D38" s="218"/>
      <c r="E38" s="218"/>
      <c r="F38" s="257">
        <f>'数据-取费表'!B36</f>
        <v>1.4999999999999999E-2</v>
      </c>
      <c r="G38" s="217" t="s">
        <v>1972</v>
      </c>
    </row>
    <row r="39" spans="1:7" s="212" customFormat="1" ht="13.5" customHeight="1">
      <c r="A39" s="253" t="s">
        <v>1935</v>
      </c>
      <c r="B39" s="208" t="s">
        <v>1938</v>
      </c>
      <c r="C39" s="230">
        <f ca="1">ROUND(C33*F20,0)</f>
        <v>68275</v>
      </c>
      <c r="D39" s="230"/>
      <c r="E39" s="230"/>
      <c r="F39" s="2298">
        <f>F20</f>
        <v>0.02</v>
      </c>
      <c r="G39" s="232" t="s">
        <v>1980</v>
      </c>
    </row>
    <row r="40" spans="1:7" s="212" customFormat="1" ht="13.5" customHeight="1">
      <c r="A40" s="253" t="s">
        <v>1937</v>
      </c>
      <c r="B40" s="208" t="s">
        <v>1941</v>
      </c>
      <c r="C40" s="233">
        <f>F21</f>
        <v>0.03</v>
      </c>
      <c r="D40" s="234" t="s">
        <v>1983</v>
      </c>
      <c r="E40" s="230"/>
      <c r="F40" s="2298">
        <f>F21</f>
        <v>0.03</v>
      </c>
      <c r="G40" s="232" t="s">
        <v>1984</v>
      </c>
    </row>
    <row r="41" spans="1:7" s="212" customFormat="1" ht="13.5" customHeight="1">
      <c r="A41" s="253" t="s">
        <v>1940</v>
      </c>
      <c r="B41" s="208" t="s">
        <v>1945</v>
      </c>
      <c r="C41" s="230">
        <f ca="1">ROUND(SUM(C42:C43),0)</f>
        <v>165397</v>
      </c>
      <c r="D41" s="233">
        <f ca="1">C44</f>
        <v>1.4E-3</v>
      </c>
      <c r="E41" s="234" t="s">
        <v>1983</v>
      </c>
      <c r="F41" s="2299">
        <f ca="1">F22</f>
        <v>4.7500000000000001E-2</v>
      </c>
      <c r="G41" s="232" t="str">
        <f>IF('数据-取费表'!B22&lt;=1,"单利计息","复利计息")</f>
        <v>复利计息</v>
      </c>
    </row>
    <row r="42" spans="1:7" ht="13.5" customHeight="1">
      <c r="A42" s="818" t="s">
        <v>610</v>
      </c>
      <c r="B42" s="213" t="s">
        <v>1947</v>
      </c>
      <c r="C42" s="236">
        <f ca="1">ROUND(IF('数据-取费表'!B22&lt;=1,C33*F22*'数据-取费表'!B20/2,C33*(POWER((1+F22),'数据-取费表'!B20/2)-1)),0)</f>
        <v>162154</v>
      </c>
      <c r="D42" s="236"/>
      <c r="E42" s="236"/>
      <c r="F42" s="237"/>
      <c r="G42" s="3220" t="s">
        <v>2035</v>
      </c>
    </row>
    <row r="43" spans="1:7" ht="13.5" customHeight="1">
      <c r="A43" s="818" t="s">
        <v>611</v>
      </c>
      <c r="B43" s="213" t="s">
        <v>1950</v>
      </c>
      <c r="C43" s="236">
        <f ca="1">ROUND(IF('数据-取费表'!B22&lt;=1,C39*F22*'数据-取费表'!B20/2,C39*(POWER((1+F22),'数据-取费表'!B20/2)-1)),0)</f>
        <v>3243</v>
      </c>
      <c r="D43" s="236"/>
      <c r="E43" s="236"/>
      <c r="F43" s="237"/>
      <c r="G43" s="3221"/>
    </row>
    <row r="44" spans="1:7" ht="13.5" customHeight="1">
      <c r="A44" s="818" t="s">
        <v>612</v>
      </c>
      <c r="B44" s="213" t="s">
        <v>1953</v>
      </c>
      <c r="C44" s="236">
        <f ca="1">ROUND(IF('数据-取费表'!B22&lt;=1,C40*F22*'数据-取费表'!B20/2,C40*(POWER((1+F22),'数据-取费表'!B20/2)-1)),4)</f>
        <v>1.4E-3</v>
      </c>
      <c r="D44" s="236"/>
      <c r="E44" s="236"/>
      <c r="F44" s="237"/>
      <c r="G44" s="3222"/>
    </row>
    <row r="45" spans="1:7" s="212" customFormat="1" ht="13.5" customHeight="1">
      <c r="A45" s="253" t="s">
        <v>1944</v>
      </c>
      <c r="B45" s="242" t="s">
        <v>1957</v>
      </c>
      <c r="C45" s="243">
        <f ca="1">C46</f>
        <v>348204</v>
      </c>
      <c r="D45" s="233">
        <f ca="1">C47</f>
        <v>3.0000000000000001E-3</v>
      </c>
      <c r="E45" s="234" t="s">
        <v>1983</v>
      </c>
      <c r="F45" s="2300">
        <f ca="1">F27</f>
        <v>0.1</v>
      </c>
      <c r="G45" s="245" t="s">
        <v>1992</v>
      </c>
    </row>
    <row r="46" spans="1:7" s="212" customFormat="1" ht="13.5" customHeight="1">
      <c r="A46" s="818" t="s">
        <v>610</v>
      </c>
      <c r="B46" s="246" t="s">
        <v>1993</v>
      </c>
      <c r="C46" s="247">
        <f ca="1">ROUND((C33+C39)*F27,0)</f>
        <v>348204</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4379739</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3678981</v>
      </c>
      <c r="D51" s="230"/>
      <c r="E51" s="230"/>
      <c r="F51" s="262"/>
      <c r="G51" s="232" t="s">
        <v>2004</v>
      </c>
    </row>
    <row r="52" spans="1:7" s="206" customFormat="1" ht="16.5" thickBot="1">
      <c r="A52" s="263" t="s">
        <v>2005</v>
      </c>
      <c r="B52" s="264"/>
      <c r="C52" s="265">
        <f ca="1">C31+C51</f>
        <v>30284356</v>
      </c>
      <c r="D52" s="264"/>
      <c r="E52" s="264"/>
      <c r="F52" s="264"/>
      <c r="G52" s="266"/>
    </row>
    <row r="55" spans="1:7" ht="15">
      <c r="B55" s="268" t="s">
        <v>2006</v>
      </c>
      <c r="C55" s="269"/>
    </row>
    <row r="56" spans="1:7">
      <c r="B56" s="271" t="s">
        <v>1236</v>
      </c>
      <c r="C56" s="273">
        <f ca="1">1-C57</f>
        <v>0.879</v>
      </c>
    </row>
    <row r="57" spans="1:7">
      <c r="B57" s="271" t="s">
        <v>1237</v>
      </c>
      <c r="C57" s="272">
        <f ca="1">ROUND(C51/C52,3)</f>
        <v>0.121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00000000-0002-0000-1500-000000000000}">
      <formula1>"需扣减承租人权益,——"</formula1>
    </dataValidation>
    <dataValidation type="list" allowBlank="1" showInputMessage="1" showErrorMessage="1" sqref="G2" xr:uid="{00000000-0002-0000-1500-000001000000}">
      <formula1>估价方法</formula1>
    </dataValidation>
    <dataValidation type="list" allowBlank="1" showInputMessage="1" showErrorMessage="1" sqref="B1" xr:uid="{00000000-0002-0000-1500-000002000000}">
      <formula1>项目类型</formula1>
    </dataValidation>
    <dataValidation type="list" allowBlank="1" showInputMessage="1" showErrorMessage="1" sqref="G19" xr:uid="{00000000-0002-0000-1500-000003000000}">
      <formula1>"已包含在土地取得成本中,未包含在土地取得成本中"</formula1>
    </dataValidation>
    <dataValidation type="list" allowBlank="1" showInputMessage="1" showErrorMessage="1" sqref="G8" xr:uid="{00000000-0002-0000-15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tabColor rgb="FF92D050"/>
    <pageSetUpPr fitToPage="1"/>
  </sheetPr>
  <dimension ref="A1:I57"/>
  <sheetViews>
    <sheetView view="pageBreakPreview" topLeftCell="A37"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3180</v>
      </c>
      <c r="C1" s="196"/>
      <c r="D1" s="196"/>
      <c r="E1" s="196"/>
      <c r="F1" s="196"/>
      <c r="G1" s="1172">
        <f>MATCH(B1,'数据-取费表'!A6:A16,0)+5</f>
        <v>7</v>
      </c>
    </row>
    <row r="2" spans="1:9" s="198" customFormat="1" ht="18" customHeight="1">
      <c r="A2" s="199" t="s">
        <v>1906</v>
      </c>
      <c r="B2" s="200">
        <f ca="1">IF(D2="——",C52,C52-E2)</f>
        <v>3028</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39738</v>
      </c>
      <c r="C3" s="197" t="s">
        <v>1909</v>
      </c>
      <c r="D3" s="197"/>
      <c r="E3" s="197"/>
      <c r="F3" s="197"/>
      <c r="G3" s="197"/>
    </row>
    <row r="4" spans="1:9" s="206" customFormat="1" ht="15.75">
      <c r="A4" s="203" t="s">
        <v>1910</v>
      </c>
      <c r="B4" s="204"/>
      <c r="C4" s="204"/>
      <c r="D4" s="204"/>
      <c r="E4" s="204"/>
      <c r="F4" s="204"/>
      <c r="G4" s="205"/>
    </row>
    <row r="5" spans="1:9" s="212" customFormat="1" ht="13.5" customHeight="1">
      <c r="A5" s="253" t="s">
        <v>601</v>
      </c>
      <c r="B5" s="208" t="s">
        <v>1912</v>
      </c>
      <c r="C5" s="209">
        <f ca="1">C6+C7+C8</f>
        <v>1989</v>
      </c>
      <c r="D5" s="209" t="s">
        <v>1913</v>
      </c>
      <c r="E5" s="210" t="s">
        <v>1914</v>
      </c>
      <c r="F5" s="210" t="s">
        <v>1915</v>
      </c>
      <c r="G5" s="211"/>
    </row>
    <row r="6" spans="1:9" s="212" customFormat="1" ht="13.5" customHeight="1">
      <c r="A6" s="816" t="s">
        <v>1916</v>
      </c>
      <c r="B6" s="213" t="s">
        <v>1917</v>
      </c>
      <c r="C6" s="214">
        <f>'[2]基准地价修正 (3层)'!$V$4</f>
        <v>1916</v>
      </c>
      <c r="D6" s="215"/>
      <c r="E6" s="216"/>
      <c r="F6" s="216"/>
      <c r="G6" s="217"/>
    </row>
    <row r="7" spans="1:9" s="212" customFormat="1" ht="13.5" customHeight="1">
      <c r="A7" s="816" t="s">
        <v>1918</v>
      </c>
      <c r="B7" s="213" t="s">
        <v>1919</v>
      </c>
      <c r="C7" s="218">
        <f>ROUND(C6*F7,0)</f>
        <v>58</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15</v>
      </c>
      <c r="D8" s="220"/>
      <c r="E8" s="218"/>
      <c r="F8" s="219"/>
      <c r="G8" s="1844" t="s">
        <v>3253</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15</v>
      </c>
      <c r="D10" s="880">
        <f ca="1">IF(B1="",'数据-汇总表'!E6,IF(INDIRECT("'数据-取费表'!c"&amp;$G$1)="住宅",INDIRECT("'数据-取费表'!s"&amp;$G$1),INDIRECT("'数据-取费表'!k"&amp;$G$1)+INDIRECT("'数据-取费表'!s"&amp;$G$1)))</f>
        <v>762</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762</v>
      </c>
      <c r="E19" s="209">
        <f>'数据-取费表'!B31</f>
        <v>200</v>
      </c>
      <c r="F19" s="229"/>
      <c r="G19" s="1844" t="s">
        <v>3186</v>
      </c>
    </row>
    <row r="20" spans="1:7" s="212" customFormat="1" ht="13.5" customHeight="1">
      <c r="A20" s="253" t="s">
        <v>1937</v>
      </c>
      <c r="B20" s="208" t="s">
        <v>1938</v>
      </c>
      <c r="C20" s="230">
        <f ca="1">ROUND((C5+C19)*F20,0)</f>
        <v>40</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195</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1150">
        <f ca="1">ROUND(IF('数据-取费表'!B22&lt;=1,C5*F22*'数据-取费表'!B23,C5*(POWER((1+F22),'数据-取费表'!B23)-1)),0)</f>
        <v>193</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612</v>
      </c>
      <c r="B25" s="213" t="s">
        <v>1953</v>
      </c>
      <c r="C25" s="1150">
        <f ca="1">ROUND(IF('数据-取费表'!B22&lt;=1,C20*F22*'数据-取费表'!B23/2,C20*(POWER((1+F22),'数据-取费表'!B23/2)-1)),0)</f>
        <v>2</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203</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ROUND((C5+C19+C20)*F27*'数据-取费表'!B21/'数据-取费表'!B20,0)</f>
        <v>203</v>
      </c>
      <c r="D28" s="233"/>
      <c r="E28" s="234"/>
      <c r="F28" s="244"/>
      <c r="G28" s="245"/>
    </row>
    <row r="29" spans="1:7" s="212" customFormat="1" ht="13.5" customHeight="1">
      <c r="A29" s="818" t="s">
        <v>611</v>
      </c>
      <c r="B29" s="246" t="s">
        <v>1961</v>
      </c>
      <c r="C29" s="236">
        <f ca="1">ROUND(C21*F27*'数据-取费表'!B21/'数据-取费表'!B20,4)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342</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305</v>
      </c>
      <c r="D34" s="215"/>
      <c r="E34" s="218"/>
      <c r="F34" s="255">
        <f ca="1">IF('数据-取费表'!B24=0,1,IF(B1="",'数据-取费表'!N16,INDIRECT("'数据-取费表'!n"&amp;$G$1)))</f>
        <v>1</v>
      </c>
      <c r="G34" s="217" t="s">
        <v>1970</v>
      </c>
    </row>
    <row r="35" spans="1:7" ht="13.5" customHeight="1">
      <c r="A35" s="818" t="s">
        <v>615</v>
      </c>
      <c r="B35" s="213" t="s">
        <v>1971</v>
      </c>
      <c r="C35" s="218">
        <f ca="1">ROUND(C34*F35,0)</f>
        <v>9</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23</v>
      </c>
      <c r="D37" s="215">
        <f ca="1">D19</f>
        <v>762</v>
      </c>
      <c r="E37" s="247">
        <f>'数据-取费表'!B35</f>
        <v>300</v>
      </c>
      <c r="F37" s="257"/>
      <c r="G37" s="259" t="s">
        <v>1976</v>
      </c>
    </row>
    <row r="38" spans="1:7" ht="13.5" customHeight="1">
      <c r="A38" s="818" t="s">
        <v>618</v>
      </c>
      <c r="B38" s="213" t="s">
        <v>1977</v>
      </c>
      <c r="C38" s="218">
        <f ca="1">ROUND(C34*F38,0)</f>
        <v>5</v>
      </c>
      <c r="D38" s="218"/>
      <c r="E38" s="218"/>
      <c r="F38" s="257">
        <f>'数据-取费表'!B36</f>
        <v>1.4999999999999999E-2</v>
      </c>
      <c r="G38" s="217" t="s">
        <v>1972</v>
      </c>
    </row>
    <row r="39" spans="1:7" s="212" customFormat="1" ht="13.5" customHeight="1">
      <c r="A39" s="253" t="s">
        <v>1978</v>
      </c>
      <c r="B39" s="208" t="s">
        <v>1979</v>
      </c>
      <c r="C39" s="230">
        <f ca="1">ROUND(C33*F20,0)</f>
        <v>7</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16</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16</v>
      </c>
      <c r="D42" s="236"/>
      <c r="E42" s="236"/>
      <c r="F42" s="237"/>
      <c r="G42" s="3220" t="s">
        <v>1988</v>
      </c>
    </row>
    <row r="43" spans="1:7" ht="13.5" customHeight="1">
      <c r="A43" s="818" t="s">
        <v>611</v>
      </c>
      <c r="B43" s="213" t="s">
        <v>1989</v>
      </c>
      <c r="C43" s="236">
        <f ca="1">ROUND(IF('数据-取费表'!B22&lt;=1,C39*F22*'数据-取费表'!B21/2,C39*(POWER((1+F22),'数据-取费表'!B21/2)-1)),0)</f>
        <v>0</v>
      </c>
      <c r="D43" s="236"/>
      <c r="E43" s="236"/>
      <c r="F43" s="237"/>
      <c r="G43" s="3221"/>
    </row>
    <row r="44" spans="1:7" ht="13.5" customHeight="1">
      <c r="A44" s="818" t="s">
        <v>612</v>
      </c>
      <c r="B44" s="213" t="s">
        <v>1990</v>
      </c>
      <c r="C44" s="236">
        <f ca="1">ROUND(IF('数据-取费表'!B22&lt;=1,C40*F22*'数据-取费表'!B21/2,C40*(POWER((1+F22),'数据-取费表'!B21/2)-1)),4)</f>
        <v>1.4E-3</v>
      </c>
      <c r="D44" s="236"/>
      <c r="E44" s="236"/>
      <c r="F44" s="237"/>
      <c r="G44" s="3222"/>
    </row>
    <row r="45" spans="1:7" s="212" customFormat="1" ht="13.5" customHeight="1">
      <c r="A45" s="253" t="s">
        <v>1991</v>
      </c>
      <c r="B45" s="242" t="s">
        <v>1957</v>
      </c>
      <c r="C45" s="243">
        <f ca="1">C46</f>
        <v>35</v>
      </c>
      <c r="D45" s="233">
        <f ca="1">C47</f>
        <v>3.0000000000000001E-3</v>
      </c>
      <c r="E45" s="234" t="s">
        <v>1983</v>
      </c>
      <c r="F45" s="2300">
        <f ca="1">F27</f>
        <v>0.1</v>
      </c>
      <c r="G45" s="245" t="s">
        <v>1992</v>
      </c>
    </row>
    <row r="46" spans="1:7" s="212" customFormat="1" ht="13.5" customHeight="1">
      <c r="A46" s="818" t="s">
        <v>610</v>
      </c>
      <c r="B46" s="246" t="s">
        <v>1993</v>
      </c>
      <c r="C46" s="247">
        <f ca="1">ROUND((C33+C39)*F27,0)</f>
        <v>35</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438</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368</v>
      </c>
      <c r="D51" s="230"/>
      <c r="E51" s="230"/>
      <c r="F51" s="262"/>
      <c r="G51" s="232" t="s">
        <v>2004</v>
      </c>
    </row>
    <row r="52" spans="1:7" s="206" customFormat="1" ht="16.5" thickBot="1">
      <c r="A52" s="263" t="s">
        <v>2005</v>
      </c>
      <c r="B52" s="264"/>
      <c r="C52" s="265">
        <f ca="1">C31+C51</f>
        <v>3028</v>
      </c>
      <c r="D52" s="264"/>
      <c r="E52" s="264"/>
      <c r="F52" s="264"/>
      <c r="G52" s="266"/>
    </row>
    <row r="55" spans="1:7" ht="15">
      <c r="B55" s="268" t="s">
        <v>2006</v>
      </c>
      <c r="C55" s="269"/>
    </row>
    <row r="56" spans="1:7">
      <c r="B56" s="271" t="s">
        <v>1236</v>
      </c>
      <c r="C56" s="273">
        <f ca="1">1-C57</f>
        <v>0.878</v>
      </c>
    </row>
    <row r="57" spans="1:7">
      <c r="B57" s="271" t="s">
        <v>1237</v>
      </c>
      <c r="C57" s="272">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8">
    <tabColor rgb="FF92D050"/>
    <pageSetUpPr fitToPage="1"/>
  </sheetPr>
  <dimension ref="A1:AC131"/>
  <sheetViews>
    <sheetView view="pageBreakPreview" topLeftCell="A24" zoomScale="90" zoomScaleNormal="70" zoomScaleSheetLayoutView="90" workbookViewId="0">
      <selection activeCell="E7" sqref="E7"/>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t="s">
        <v>3279</v>
      </c>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1791</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69944</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26" t="s">
        <v>2115</v>
      </c>
      <c r="D4" s="3227"/>
      <c r="E4" s="3228" t="s">
        <v>2116</v>
      </c>
      <c r="F4" s="3229"/>
      <c r="G4" s="3226" t="s">
        <v>2117</v>
      </c>
      <c r="H4" s="3227"/>
      <c r="I4" s="3226" t="s">
        <v>2118</v>
      </c>
      <c r="J4" s="3227"/>
      <c r="K4" s="545" t="s">
        <v>2119</v>
      </c>
      <c r="L4" s="2653"/>
      <c r="M4" s="2654"/>
      <c r="N4" s="2654"/>
      <c r="O4" s="2654"/>
      <c r="P4" s="3230" t="s">
        <v>2120</v>
      </c>
      <c r="Q4" s="3231"/>
      <c r="R4" s="3236" t="s">
        <v>2116</v>
      </c>
      <c r="S4" s="3237"/>
      <c r="T4" s="3236" t="s">
        <v>2117</v>
      </c>
      <c r="U4" s="3237"/>
      <c r="V4" s="3252" t="s">
        <v>2118</v>
      </c>
      <c r="W4" s="3252"/>
      <c r="X4" s="3012"/>
      <c r="Y4" s="3236" t="s">
        <v>2120</v>
      </c>
      <c r="Z4" s="3237"/>
      <c r="AA4" s="3223" t="s">
        <v>2116</v>
      </c>
      <c r="AB4" s="3252" t="s">
        <v>2117</v>
      </c>
      <c r="AC4" s="3223" t="s">
        <v>2118</v>
      </c>
    </row>
    <row r="5" spans="1:29" ht="15">
      <c r="A5" s="354"/>
      <c r="B5" s="355"/>
      <c r="C5" s="3240" t="s">
        <v>2121</v>
      </c>
      <c r="D5" s="3241"/>
      <c r="E5" s="3242" t="s">
        <v>3278</v>
      </c>
      <c r="F5" s="3243"/>
      <c r="G5" s="3244" t="s">
        <v>3276</v>
      </c>
      <c r="H5" s="3241"/>
      <c r="I5" s="3244" t="str">
        <f>G5</f>
        <v>融汇国际大厦</v>
      </c>
      <c r="J5" s="3241"/>
      <c r="K5" s="545"/>
      <c r="L5" s="2653"/>
      <c r="M5" s="2654"/>
      <c r="N5" s="2654"/>
      <c r="O5" s="2654"/>
      <c r="P5" s="3232"/>
      <c r="Q5" s="3233"/>
      <c r="R5" s="3238"/>
      <c r="S5" s="3239"/>
      <c r="T5" s="3238"/>
      <c r="U5" s="3239"/>
      <c r="V5" s="3252"/>
      <c r="W5" s="3252"/>
      <c r="X5" s="3012"/>
      <c r="Y5" s="3238"/>
      <c r="Z5" s="3239"/>
      <c r="AA5" s="3224"/>
      <c r="AB5" s="3252"/>
      <c r="AC5" s="3224"/>
    </row>
    <row r="6" spans="1:29" ht="15.75" thickBot="1">
      <c r="A6" s="356"/>
      <c r="B6" s="357"/>
      <c r="C6" s="3245" t="s">
        <v>2125</v>
      </c>
      <c r="D6" s="3246"/>
      <c r="E6" s="3247" t="s">
        <v>2125</v>
      </c>
      <c r="F6" s="3248"/>
      <c r="G6" s="3249" t="s">
        <v>3277</v>
      </c>
      <c r="H6" s="3246"/>
      <c r="I6" s="3245" t="str">
        <f>G6</f>
        <v>海淀区高梁桥斜街42号院</v>
      </c>
      <c r="J6" s="3246"/>
      <c r="K6" s="545" t="s">
        <v>2126</v>
      </c>
      <c r="L6" s="2653"/>
      <c r="M6" s="2654"/>
      <c r="N6" s="2654"/>
      <c r="O6" s="2654"/>
      <c r="P6" s="3234"/>
      <c r="Q6" s="3235"/>
      <c r="R6" s="3238"/>
      <c r="S6" s="3239"/>
      <c r="T6" s="3250"/>
      <c r="U6" s="3251"/>
      <c r="V6" s="3252"/>
      <c r="W6" s="3252"/>
      <c r="X6" s="3012"/>
      <c r="Y6" s="3250"/>
      <c r="Z6" s="3251"/>
      <c r="AA6" s="3225"/>
      <c r="AB6" s="3252"/>
      <c r="AC6" s="3225"/>
    </row>
    <row r="7" spans="1:29" s="107" customFormat="1" ht="15.75" thickBot="1">
      <c r="A7" s="358" t="s">
        <v>2127</v>
      </c>
      <c r="B7" s="359"/>
      <c r="C7" s="360">
        <f>'数据-取费表'!B2</f>
        <v>44914</v>
      </c>
      <c r="D7" s="361">
        <v>100</v>
      </c>
      <c r="E7" s="362">
        <v>44224</v>
      </c>
      <c r="F7" s="363">
        <f>SUMIF(58:58,YEAR(E7)&amp;"-"&amp;MONTH(E7),59:59)</f>
        <v>100</v>
      </c>
      <c r="G7" s="362">
        <v>44413</v>
      </c>
      <c r="H7" s="361">
        <f>SUMIF(58:58,YEAR(G7)&amp;"-"&amp;MONTH(G7),59:59)</f>
        <v>100</v>
      </c>
      <c r="I7" s="362">
        <v>44413</v>
      </c>
      <c r="J7" s="361">
        <f>SUMIF(58:58,YEAR(I7)&amp;"-"&amp;MONTH(I7),59:59)</f>
        <v>100</v>
      </c>
      <c r="K7" s="41"/>
      <c r="L7" s="2655"/>
      <c r="M7" s="2604"/>
      <c r="N7" s="2604"/>
      <c r="O7" s="2604"/>
      <c r="P7" s="3253" t="s">
        <v>2128</v>
      </c>
      <c r="Q7" s="3254"/>
      <c r="R7" s="673" t="s">
        <v>17</v>
      </c>
      <c r="S7" s="674">
        <f t="shared" ref="S7:S15" si="0">F7</f>
        <v>100</v>
      </c>
      <c r="T7" s="673" t="s">
        <v>17</v>
      </c>
      <c r="U7" s="674">
        <f t="shared" ref="U7:U15" si="1">H7</f>
        <v>100</v>
      </c>
      <c r="V7" s="673" t="s">
        <v>17</v>
      </c>
      <c r="W7" s="674">
        <f t="shared" ref="W7:W15" si="2">J7</f>
        <v>100</v>
      </c>
      <c r="X7" s="675"/>
      <c r="Y7" s="3253" t="s">
        <v>2128</v>
      </c>
      <c r="Z7" s="3255"/>
      <c r="AA7" s="3004">
        <f>D7/F7</f>
        <v>1</v>
      </c>
      <c r="AB7" s="3004">
        <f>D7/H7</f>
        <v>1</v>
      </c>
      <c r="AC7" s="3004">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53" t="s">
        <v>2131</v>
      </c>
      <c r="Q8" s="3255"/>
      <c r="R8" s="673" t="s">
        <v>17</v>
      </c>
      <c r="S8" s="674">
        <f t="shared" si="0"/>
        <v>100</v>
      </c>
      <c r="T8" s="673" t="s">
        <v>17</v>
      </c>
      <c r="U8" s="674">
        <f t="shared" si="1"/>
        <v>100</v>
      </c>
      <c r="V8" s="673" t="s">
        <v>17</v>
      </c>
      <c r="W8" s="674">
        <f t="shared" si="2"/>
        <v>100</v>
      </c>
      <c r="X8" s="675"/>
      <c r="Y8" s="3253" t="s">
        <v>2131</v>
      </c>
      <c r="Z8" s="3255"/>
      <c r="AA8" s="3004">
        <f t="shared" ref="AA8:AA46" si="3">D8/F8</f>
        <v>1</v>
      </c>
      <c r="AB8" s="3004">
        <f t="shared" ref="AB8:AB46" si="4">D8/H8</f>
        <v>1</v>
      </c>
      <c r="AC8" s="3004">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56" t="s">
        <v>2134</v>
      </c>
      <c r="Q9" s="3005" t="str">
        <f t="shared" ref="Q9:Q15" si="6">B9</f>
        <v>用途</v>
      </c>
      <c r="R9" s="673" t="s">
        <v>17</v>
      </c>
      <c r="S9" s="674">
        <f t="shared" si="0"/>
        <v>100</v>
      </c>
      <c r="T9" s="673" t="s">
        <v>17</v>
      </c>
      <c r="U9" s="674">
        <f t="shared" si="1"/>
        <v>100</v>
      </c>
      <c r="V9" s="673" t="s">
        <v>17</v>
      </c>
      <c r="W9" s="674">
        <f t="shared" si="2"/>
        <v>100</v>
      </c>
      <c r="X9" s="675"/>
      <c r="Y9" s="3191" t="s">
        <v>2135</v>
      </c>
      <c r="Z9" s="3004" t="str">
        <f t="shared" ref="Z9:Z15" si="7">Q9</f>
        <v>用途</v>
      </c>
      <c r="AA9" s="3004">
        <f t="shared" si="3"/>
        <v>1</v>
      </c>
      <c r="AB9" s="3004">
        <f t="shared" si="4"/>
        <v>1</v>
      </c>
      <c r="AC9" s="3004">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56"/>
      <c r="Q10" s="3005" t="str">
        <f t="shared" si="6"/>
        <v>土地使用年限（年）</v>
      </c>
      <c r="R10" s="673" t="s">
        <v>17</v>
      </c>
      <c r="S10" s="674">
        <f t="shared" si="0"/>
        <v>100</v>
      </c>
      <c r="T10" s="673" t="s">
        <v>17</v>
      </c>
      <c r="U10" s="674">
        <f t="shared" si="1"/>
        <v>100</v>
      </c>
      <c r="V10" s="673" t="s">
        <v>17</v>
      </c>
      <c r="W10" s="674">
        <f t="shared" si="2"/>
        <v>100</v>
      </c>
      <c r="X10" s="675"/>
      <c r="Y10" s="3191"/>
      <c r="Z10" s="3004" t="str">
        <f t="shared" si="7"/>
        <v>土地使用年限（年）</v>
      </c>
      <c r="AA10" s="3004">
        <f t="shared" si="3"/>
        <v>1</v>
      </c>
      <c r="AB10" s="3004">
        <f t="shared" si="4"/>
        <v>1</v>
      </c>
      <c r="AC10" s="3004">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56"/>
      <c r="Q11" s="3005" t="str">
        <f t="shared" si="6"/>
        <v>容积率</v>
      </c>
      <c r="R11" s="673" t="s">
        <v>17</v>
      </c>
      <c r="S11" s="674">
        <f t="shared" si="0"/>
        <v>100</v>
      </c>
      <c r="T11" s="673" t="s">
        <v>17</v>
      </c>
      <c r="U11" s="674">
        <f t="shared" si="1"/>
        <v>100</v>
      </c>
      <c r="V11" s="673" t="s">
        <v>17</v>
      </c>
      <c r="W11" s="674">
        <f t="shared" si="2"/>
        <v>100</v>
      </c>
      <c r="X11" s="675"/>
      <c r="Y11" s="3191"/>
      <c r="Z11" s="3004" t="str">
        <f t="shared" si="7"/>
        <v>容积率</v>
      </c>
      <c r="AA11" s="3004">
        <f t="shared" si="3"/>
        <v>1</v>
      </c>
      <c r="AB11" s="3004">
        <f t="shared" si="4"/>
        <v>1</v>
      </c>
      <c r="AC11" s="3004">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56"/>
      <c r="Q12" s="3005">
        <f t="shared" si="6"/>
        <v>111</v>
      </c>
      <c r="R12" s="673" t="s">
        <v>17</v>
      </c>
      <c r="S12" s="674">
        <f t="shared" si="0"/>
        <v>100</v>
      </c>
      <c r="T12" s="673" t="s">
        <v>17</v>
      </c>
      <c r="U12" s="674">
        <f t="shared" si="1"/>
        <v>100</v>
      </c>
      <c r="V12" s="673" t="s">
        <v>17</v>
      </c>
      <c r="W12" s="674">
        <f t="shared" si="2"/>
        <v>100</v>
      </c>
      <c r="X12" s="675"/>
      <c r="Y12" s="3191"/>
      <c r="Z12" s="3004">
        <f t="shared" si="7"/>
        <v>111</v>
      </c>
      <c r="AA12" s="3004">
        <f>D12/F12</f>
        <v>1</v>
      </c>
      <c r="AB12" s="3004">
        <f>D12/H12</f>
        <v>1</v>
      </c>
      <c r="AC12" s="3004">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56"/>
      <c r="Q13" s="3005">
        <f t="shared" si="6"/>
        <v>111</v>
      </c>
      <c r="R13" s="673" t="s">
        <v>17</v>
      </c>
      <c r="S13" s="674">
        <f t="shared" si="0"/>
        <v>100</v>
      </c>
      <c r="T13" s="673" t="s">
        <v>17</v>
      </c>
      <c r="U13" s="674">
        <f t="shared" si="1"/>
        <v>100</v>
      </c>
      <c r="V13" s="673" t="s">
        <v>17</v>
      </c>
      <c r="W13" s="674">
        <f t="shared" si="2"/>
        <v>100</v>
      </c>
      <c r="X13" s="675"/>
      <c r="Y13" s="3191"/>
      <c r="Z13" s="3004">
        <f t="shared" si="7"/>
        <v>111</v>
      </c>
      <c r="AA13" s="3004">
        <f t="shared" si="3"/>
        <v>1</v>
      </c>
      <c r="AB13" s="3004">
        <f t="shared" si="4"/>
        <v>1</v>
      </c>
      <c r="AC13" s="3004">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56"/>
      <c r="Q14" s="3005">
        <f t="shared" si="6"/>
        <v>111</v>
      </c>
      <c r="R14" s="673" t="s">
        <v>17</v>
      </c>
      <c r="S14" s="674">
        <f t="shared" si="0"/>
        <v>100</v>
      </c>
      <c r="T14" s="673" t="s">
        <v>17</v>
      </c>
      <c r="U14" s="674">
        <f t="shared" si="1"/>
        <v>100</v>
      </c>
      <c r="V14" s="673" t="s">
        <v>17</v>
      </c>
      <c r="W14" s="674">
        <f t="shared" si="2"/>
        <v>100</v>
      </c>
      <c r="X14" s="675"/>
      <c r="Y14" s="3191"/>
      <c r="Z14" s="3004">
        <f t="shared" si="7"/>
        <v>111</v>
      </c>
      <c r="AA14" s="3004">
        <f t="shared" si="3"/>
        <v>1</v>
      </c>
      <c r="AB14" s="3004">
        <f t="shared" si="4"/>
        <v>1</v>
      </c>
      <c r="AC14" s="3004">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102</v>
      </c>
      <c r="G15" s="391"/>
      <c r="H15" s="388">
        <f>SUMIF(76:76,G16,77:77)-SUMIF(76:76,C16,77:77)+100</f>
        <v>100</v>
      </c>
      <c r="I15" s="389"/>
      <c r="J15" s="388">
        <f>SUMIF(76:76,I16,77:77)-SUMIF(76:76,C16,77:77)+100</f>
        <v>100</v>
      </c>
      <c r="K15" s="548">
        <v>2</v>
      </c>
      <c r="L15" s="2659"/>
      <c r="M15" s="2654"/>
      <c r="N15" s="2654"/>
      <c r="O15" s="2654"/>
      <c r="P15" s="3257" t="s">
        <v>2139</v>
      </c>
      <c r="Q15" s="3007" t="str">
        <f t="shared" si="6"/>
        <v>商业繁华度</v>
      </c>
      <c r="R15" s="676" t="s">
        <v>17</v>
      </c>
      <c r="S15" s="677">
        <f t="shared" si="0"/>
        <v>102</v>
      </c>
      <c r="T15" s="676" t="s">
        <v>17</v>
      </c>
      <c r="U15" s="677">
        <f t="shared" si="1"/>
        <v>100</v>
      </c>
      <c r="V15" s="676" t="s">
        <v>17</v>
      </c>
      <c r="W15" s="677">
        <f t="shared" si="2"/>
        <v>100</v>
      </c>
      <c r="X15" s="3012"/>
      <c r="Y15" s="3259" t="s">
        <v>2139</v>
      </c>
      <c r="Z15" s="3008" t="str">
        <f t="shared" si="7"/>
        <v>商业繁华度</v>
      </c>
      <c r="AA15" s="3008">
        <f t="shared" si="3"/>
        <v>0.98039215686274506</v>
      </c>
      <c r="AB15" s="3008">
        <f t="shared" si="4"/>
        <v>1</v>
      </c>
      <c r="AC15" s="3008">
        <f t="shared" si="5"/>
        <v>1</v>
      </c>
    </row>
    <row r="16" spans="1:29" ht="15">
      <c r="A16" s="375"/>
      <c r="B16" s="393"/>
      <c r="C16" s="394" t="s">
        <v>3199</v>
      </c>
      <c r="D16" s="395"/>
      <c r="E16" s="394" t="s">
        <v>3193</v>
      </c>
      <c r="F16" s="3016"/>
      <c r="G16" s="394" t="s">
        <v>3199</v>
      </c>
      <c r="H16" s="397"/>
      <c r="I16" s="394" t="s">
        <v>3199</v>
      </c>
      <c r="J16" s="395"/>
      <c r="K16" s="549"/>
      <c r="L16" s="2659"/>
      <c r="M16" s="2654"/>
      <c r="N16" s="2654"/>
      <c r="O16" s="2654"/>
      <c r="P16" s="3258"/>
      <c r="Q16" s="3007"/>
      <c r="R16" s="676"/>
      <c r="S16" s="677"/>
      <c r="T16" s="676"/>
      <c r="U16" s="677"/>
      <c r="V16" s="676"/>
      <c r="W16" s="677"/>
      <c r="X16" s="3012"/>
      <c r="Y16" s="3260"/>
      <c r="Z16" s="3008"/>
      <c r="AA16" s="3008">
        <v>1</v>
      </c>
      <c r="AB16" s="3008">
        <v>1</v>
      </c>
      <c r="AC16" s="3008">
        <v>1</v>
      </c>
    </row>
    <row r="17" spans="1:29" ht="137.25" customHeight="1">
      <c r="A17" s="375"/>
      <c r="B17" s="398" t="s">
        <v>1703</v>
      </c>
      <c r="C17" s="3010"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3015">
        <f>SUMIF(78:78,E18,79:79)-SUMIF(78:78,C18,79:79)+100</f>
        <v>100</v>
      </c>
      <c r="G17" s="401"/>
      <c r="H17" s="402">
        <f>SUMIF(78:78,G18,79:79)-SUMIF(78:78,C18,79:79)+100</f>
        <v>100</v>
      </c>
      <c r="I17" s="399"/>
      <c r="J17" s="402">
        <f>SUMIF(78:78,I18,79:79)-SUMIF(78:78,C18,79:79)+100</f>
        <v>100</v>
      </c>
      <c r="K17" s="548"/>
      <c r="L17" s="2659"/>
      <c r="M17" s="2654"/>
      <c r="N17" s="2654"/>
      <c r="O17" s="2654"/>
      <c r="P17" s="3258"/>
      <c r="Q17" s="3007" t="str">
        <f>B17</f>
        <v>交通便捷度</v>
      </c>
      <c r="R17" s="676" t="s">
        <v>17</v>
      </c>
      <c r="S17" s="677">
        <f>F17</f>
        <v>100</v>
      </c>
      <c r="T17" s="676" t="s">
        <v>17</v>
      </c>
      <c r="U17" s="677">
        <f>H17</f>
        <v>100</v>
      </c>
      <c r="V17" s="676" t="s">
        <v>17</v>
      </c>
      <c r="W17" s="677">
        <f>J17</f>
        <v>100</v>
      </c>
      <c r="X17" s="3012"/>
      <c r="Y17" s="3260"/>
      <c r="Z17" s="3008" t="str">
        <f>Q17</f>
        <v>交通便捷度</v>
      </c>
      <c r="AA17" s="3008">
        <f t="shared" si="3"/>
        <v>1</v>
      </c>
      <c r="AB17" s="3008">
        <f t="shared" si="4"/>
        <v>1</v>
      </c>
      <c r="AC17" s="3008">
        <f t="shared" si="5"/>
        <v>1</v>
      </c>
    </row>
    <row r="18" spans="1:29" ht="15">
      <c r="A18" s="375"/>
      <c r="B18" s="403"/>
      <c r="C18" s="1885" t="s">
        <v>3193</v>
      </c>
      <c r="D18" s="397"/>
      <c r="E18" s="1887" t="s">
        <v>3193</v>
      </c>
      <c r="F18" s="3015"/>
      <c r="G18" s="1886" t="s">
        <v>3193</v>
      </c>
      <c r="H18" s="395"/>
      <c r="I18" s="1887" t="s">
        <v>3193</v>
      </c>
      <c r="J18" s="395"/>
      <c r="K18" s="549"/>
      <c r="L18" s="2659"/>
      <c r="M18" s="2654"/>
      <c r="N18" s="2654"/>
      <c r="O18" s="2654"/>
      <c r="P18" s="3258"/>
      <c r="Q18" s="3007"/>
      <c r="R18" s="676"/>
      <c r="S18" s="677"/>
      <c r="T18" s="676"/>
      <c r="U18" s="677"/>
      <c r="V18" s="676"/>
      <c r="W18" s="677"/>
      <c r="X18" s="3012"/>
      <c r="Y18" s="3260"/>
      <c r="Z18" s="3008"/>
      <c r="AA18" s="3008">
        <v>1</v>
      </c>
      <c r="AB18" s="3008">
        <v>1</v>
      </c>
      <c r="AC18" s="3008">
        <v>1</v>
      </c>
    </row>
    <row r="19" spans="1:29" ht="42.75">
      <c r="A19" s="375"/>
      <c r="B19" s="398" t="s">
        <v>2233</v>
      </c>
      <c r="C19" s="3010" t="str">
        <f>估价对象房地状况!C7</f>
        <v>估价对象所在区域公共配套设施齐备</v>
      </c>
      <c r="D19" s="402">
        <v>100</v>
      </c>
      <c r="E19" s="404"/>
      <c r="F19" s="3014">
        <f>SUMIF(80:80,E20,81:81)-SUMIF(80:80,C20,81:81)+100</f>
        <v>100</v>
      </c>
      <c r="G19" s="406"/>
      <c r="H19" s="397">
        <f>SUMIF(80:80,G20,81:81)-SUMIF(80:80,C20,81:81)+100</f>
        <v>100</v>
      </c>
      <c r="I19" s="404"/>
      <c r="J19" s="397">
        <f>SUMIF(80:80,I20,81:81)-SUMIF(80:80,C20,81:81)+100</f>
        <v>100</v>
      </c>
      <c r="K19" s="548"/>
      <c r="L19" s="2659"/>
      <c r="M19" s="2654"/>
      <c r="N19" s="2654"/>
      <c r="O19" s="2654"/>
      <c r="P19" s="3258"/>
      <c r="Q19" s="3007" t="str">
        <f>B19</f>
        <v>公共配套设施</v>
      </c>
      <c r="R19" s="676" t="s">
        <v>17</v>
      </c>
      <c r="S19" s="677">
        <f>F19</f>
        <v>100</v>
      </c>
      <c r="T19" s="676" t="s">
        <v>17</v>
      </c>
      <c r="U19" s="677">
        <f>H19</f>
        <v>100</v>
      </c>
      <c r="V19" s="676" t="s">
        <v>17</v>
      </c>
      <c r="W19" s="677">
        <f>J19</f>
        <v>100</v>
      </c>
      <c r="X19" s="3012"/>
      <c r="Y19" s="3260"/>
      <c r="Z19" s="3008" t="str">
        <f>Q19</f>
        <v>公共配套设施</v>
      </c>
      <c r="AA19" s="3008">
        <f t="shared" si="3"/>
        <v>1</v>
      </c>
      <c r="AB19" s="3008">
        <f t="shared" si="4"/>
        <v>1</v>
      </c>
      <c r="AC19" s="3008">
        <f t="shared" si="5"/>
        <v>1</v>
      </c>
    </row>
    <row r="20" spans="1:29" ht="15">
      <c r="A20" s="375"/>
      <c r="B20" s="403"/>
      <c r="C20" s="2980" t="s">
        <v>3194</v>
      </c>
      <c r="D20" s="395"/>
      <c r="E20" s="1882" t="s">
        <v>3194</v>
      </c>
      <c r="F20" s="3016"/>
      <c r="G20" s="1881" t="s">
        <v>3194</v>
      </c>
      <c r="H20" s="395"/>
      <c r="I20" s="1882" t="s">
        <v>3194</v>
      </c>
      <c r="J20" s="395"/>
      <c r="K20" s="549"/>
      <c r="L20" s="2659"/>
      <c r="M20" s="2654"/>
      <c r="N20" s="2654"/>
      <c r="O20" s="2654"/>
      <c r="P20" s="3258"/>
      <c r="Q20" s="3007"/>
      <c r="R20" s="676"/>
      <c r="S20" s="677"/>
      <c r="T20" s="676"/>
      <c r="U20" s="677"/>
      <c r="V20" s="676"/>
      <c r="W20" s="677"/>
      <c r="X20" s="3012"/>
      <c r="Y20" s="3260"/>
      <c r="Z20" s="3008"/>
      <c r="AA20" s="3008">
        <v>1</v>
      </c>
      <c r="AB20" s="3008">
        <v>1</v>
      </c>
      <c r="AC20" s="3008">
        <v>1</v>
      </c>
    </row>
    <row r="21" spans="1:29" ht="42.75">
      <c r="A21" s="375"/>
      <c r="B21" s="594" t="s">
        <v>2234</v>
      </c>
      <c r="C21" s="3010" t="str">
        <f>估价对象房地状况!C8</f>
        <v>估价对象所在区域基础设施水平达七通</v>
      </c>
      <c r="D21" s="402">
        <v>100</v>
      </c>
      <c r="E21" s="404"/>
      <c r="F21" s="3014">
        <f>SUMIF(82:82,E22,83:83)-SUMIF(82:82,C22,83:83)+100</f>
        <v>100</v>
      </c>
      <c r="G21" s="406"/>
      <c r="H21" s="397">
        <f>SUMIF(82:82,G22,83:83)-SUMIF(82:82,C22,83:83)+100</f>
        <v>100</v>
      </c>
      <c r="I21" s="404"/>
      <c r="J21" s="397">
        <f>SUMIF(82:82,I22,83:83)-SUMIF(82:82,C22,83:83)+100</f>
        <v>100</v>
      </c>
      <c r="K21" s="548"/>
      <c r="L21" s="2659"/>
      <c r="M21" s="2654"/>
      <c r="N21" s="2654"/>
      <c r="O21" s="2654"/>
      <c r="P21" s="3258"/>
      <c r="Q21" s="3007" t="str">
        <f>B21</f>
        <v>基础设施水平</v>
      </c>
      <c r="R21" s="676" t="s">
        <v>17</v>
      </c>
      <c r="S21" s="677">
        <f>F21</f>
        <v>100</v>
      </c>
      <c r="T21" s="676" t="s">
        <v>17</v>
      </c>
      <c r="U21" s="677">
        <f>H21</f>
        <v>100</v>
      </c>
      <c r="V21" s="676" t="s">
        <v>17</v>
      </c>
      <c r="W21" s="677">
        <f>J21</f>
        <v>100</v>
      </c>
      <c r="X21" s="3012"/>
      <c r="Y21" s="3260"/>
      <c r="Z21" s="3008" t="str">
        <f>Q21</f>
        <v>基础设施水平</v>
      </c>
      <c r="AA21" s="3008">
        <f>D21/F21</f>
        <v>1</v>
      </c>
      <c r="AB21" s="3008">
        <f>D21/H21</f>
        <v>1</v>
      </c>
      <c r="AC21" s="3008">
        <f>D21/J21</f>
        <v>1</v>
      </c>
    </row>
    <row r="22" spans="1:29" ht="15">
      <c r="A22" s="375"/>
      <c r="B22" s="594"/>
      <c r="C22" s="1885" t="s">
        <v>3195</v>
      </c>
      <c r="D22" s="395"/>
      <c r="E22" s="394" t="s">
        <v>3195</v>
      </c>
      <c r="F22" s="3016"/>
      <c r="G22" s="394" t="s">
        <v>3195</v>
      </c>
      <c r="H22" s="395"/>
      <c r="I22" s="394" t="s">
        <v>3195</v>
      </c>
      <c r="J22" s="395"/>
      <c r="K22" s="1174"/>
      <c r="L22" s="2659"/>
      <c r="M22" s="2654"/>
      <c r="N22" s="2654"/>
      <c r="O22" s="2654"/>
      <c r="P22" s="3258"/>
      <c r="Q22" s="3007"/>
      <c r="R22" s="676"/>
      <c r="S22" s="677"/>
      <c r="T22" s="676"/>
      <c r="U22" s="677"/>
      <c r="V22" s="676"/>
      <c r="W22" s="677"/>
      <c r="X22" s="3012"/>
      <c r="Y22" s="3260"/>
      <c r="Z22" s="3008"/>
      <c r="AA22" s="3008">
        <v>1</v>
      </c>
      <c r="AB22" s="3008">
        <v>1</v>
      </c>
      <c r="AC22" s="3008">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3015">
        <f>SUMIF(84:84,E24,85:85)-SUMIF(84:84,C24,85:85)+100</f>
        <v>95</v>
      </c>
      <c r="G23" s="401"/>
      <c r="H23" s="397">
        <f>SUMIF(84:84,G24,85:85)-SUMIF(84:84,C24,85:85)+100</f>
        <v>100</v>
      </c>
      <c r="I23" s="399"/>
      <c r="J23" s="397">
        <f>SUMIF(84:84,I24,85:85)-SUMIF(84:84,C24,85:85)+100</f>
        <v>100</v>
      </c>
      <c r="K23" s="548">
        <v>5</v>
      </c>
      <c r="L23" s="2659"/>
      <c r="M23" s="2654"/>
      <c r="N23" s="2654"/>
      <c r="O23" s="2654"/>
      <c r="P23" s="3258"/>
      <c r="Q23" s="3007" t="str">
        <f>B23</f>
        <v>自然及人文环境</v>
      </c>
      <c r="R23" s="676" t="s">
        <v>17</v>
      </c>
      <c r="S23" s="677">
        <f>F23</f>
        <v>95</v>
      </c>
      <c r="T23" s="676" t="s">
        <v>17</v>
      </c>
      <c r="U23" s="677">
        <f>H23</f>
        <v>100</v>
      </c>
      <c r="V23" s="676" t="s">
        <v>17</v>
      </c>
      <c r="W23" s="677">
        <f>J23</f>
        <v>100</v>
      </c>
      <c r="X23" s="3012"/>
      <c r="Y23" s="3260"/>
      <c r="Z23" s="3008" t="str">
        <f>Q23</f>
        <v>自然及人文环境</v>
      </c>
      <c r="AA23" s="3008">
        <f t="shared" si="3"/>
        <v>1.0526315789473684</v>
      </c>
      <c r="AB23" s="3008">
        <f t="shared" si="4"/>
        <v>1</v>
      </c>
      <c r="AC23" s="3008">
        <f t="shared" si="5"/>
        <v>1</v>
      </c>
    </row>
    <row r="24" spans="1:29" ht="15">
      <c r="A24" s="375"/>
      <c r="B24" s="403"/>
      <c r="C24" s="394" t="s">
        <v>3194</v>
      </c>
      <c r="D24" s="395"/>
      <c r="E24" s="1882" t="s">
        <v>3193</v>
      </c>
      <c r="F24" s="3016"/>
      <c r="G24" s="1881" t="s">
        <v>3194</v>
      </c>
      <c r="H24" s="395"/>
      <c r="I24" s="1882" t="s">
        <v>3194</v>
      </c>
      <c r="J24" s="395"/>
      <c r="K24" s="549"/>
      <c r="L24" s="2659"/>
      <c r="M24" s="2654"/>
      <c r="N24" s="2654"/>
      <c r="O24" s="2654"/>
      <c r="P24" s="3258"/>
      <c r="Q24" s="3007"/>
      <c r="R24" s="676"/>
      <c r="S24" s="677"/>
      <c r="T24" s="676"/>
      <c r="U24" s="677"/>
      <c r="V24" s="676"/>
      <c r="W24" s="677"/>
      <c r="X24" s="3012"/>
      <c r="Y24" s="3260"/>
      <c r="Z24" s="3008"/>
      <c r="AA24" s="3008">
        <v>1</v>
      </c>
      <c r="AB24" s="3008">
        <v>1</v>
      </c>
      <c r="AC24" s="3008">
        <v>1</v>
      </c>
    </row>
    <row r="25" spans="1:29" ht="15">
      <c r="A25" s="375"/>
      <c r="B25" s="370" t="s">
        <v>2235</v>
      </c>
      <c r="C25" s="550" t="s">
        <v>3225</v>
      </c>
      <c r="D25" s="382">
        <v>100</v>
      </c>
      <c r="E25" s="550" t="s">
        <v>3260</v>
      </c>
      <c r="F25" s="3009">
        <f>SUMIF(86:86,E25,87:87)-SUMIF(86:86,C25,87:87)+100</f>
        <v>102</v>
      </c>
      <c r="G25" s="550" t="s">
        <v>3225</v>
      </c>
      <c r="H25" s="382">
        <f>SUMIF(86:86,G25,87:87)-SUMIF(86:86,C25,87:87)+100</f>
        <v>100</v>
      </c>
      <c r="I25" s="550" t="s">
        <v>3225</v>
      </c>
      <c r="J25" s="382">
        <f>SUMIF(86:86,I25,87:87)-SUMIF(86:86,C25,87:87)+100</f>
        <v>100</v>
      </c>
      <c r="K25" s="546">
        <v>2</v>
      </c>
      <c r="L25" s="2659"/>
      <c r="M25" s="2654"/>
      <c r="N25" s="2654"/>
      <c r="O25" s="2654"/>
      <c r="P25" s="3258"/>
      <c r="Q25" s="3007" t="str">
        <f t="shared" ref="Q25:Q46" si="8">B25</f>
        <v>临街状况</v>
      </c>
      <c r="R25" s="676" t="s">
        <v>17</v>
      </c>
      <c r="S25" s="677">
        <f>F25</f>
        <v>102</v>
      </c>
      <c r="T25" s="676" t="s">
        <v>17</v>
      </c>
      <c r="U25" s="677">
        <f>H25</f>
        <v>100</v>
      </c>
      <c r="V25" s="676" t="s">
        <v>17</v>
      </c>
      <c r="W25" s="677">
        <f>J25</f>
        <v>100</v>
      </c>
      <c r="X25" s="3012"/>
      <c r="Y25" s="3260"/>
      <c r="Z25" s="3008" t="str">
        <f>Q25</f>
        <v>临街状况</v>
      </c>
      <c r="AA25" s="3008">
        <f t="shared" si="3"/>
        <v>0.98039215686274506</v>
      </c>
      <c r="AB25" s="3008">
        <f t="shared" si="4"/>
        <v>1</v>
      </c>
      <c r="AC25" s="3008">
        <f t="shared" si="5"/>
        <v>1</v>
      </c>
    </row>
    <row r="26" spans="1:29" ht="15">
      <c r="A26" s="375"/>
      <c r="B26" s="1176" t="s">
        <v>2236</v>
      </c>
      <c r="C26" s="2968" t="s">
        <v>3231</v>
      </c>
      <c r="D26" s="382">
        <v>100</v>
      </c>
      <c r="E26" s="2968" t="s">
        <v>3231</v>
      </c>
      <c r="F26" s="3009">
        <f>SUMIF(88:88,E26,89:89)-SUMIF(88:88,C26,89:89)+100</f>
        <v>100</v>
      </c>
      <c r="G26" s="2968" t="s">
        <v>3200</v>
      </c>
      <c r="H26" s="382">
        <f>SUMIF(88:88,G26,89:89)-SUMIF(88:88,C26,89:89)+100</f>
        <v>97</v>
      </c>
      <c r="I26" s="2968" t="s">
        <v>3200</v>
      </c>
      <c r="J26" s="382">
        <f>SUMIF(88:88,I26,89:89)-SUMIF(88:88,C26,89:89)+100</f>
        <v>97</v>
      </c>
      <c r="K26" s="547"/>
      <c r="L26" s="2659"/>
      <c r="M26" s="2654"/>
      <c r="N26" s="2654"/>
      <c r="O26" s="2654"/>
      <c r="P26" s="3258"/>
      <c r="Q26" s="3007" t="str">
        <f t="shared" si="8"/>
        <v>平面位置/可视性</v>
      </c>
      <c r="R26" s="676" t="s">
        <v>17</v>
      </c>
      <c r="S26" s="677">
        <f>F26</f>
        <v>100</v>
      </c>
      <c r="T26" s="676" t="s">
        <v>17</v>
      </c>
      <c r="U26" s="677">
        <f>H26</f>
        <v>97</v>
      </c>
      <c r="V26" s="676" t="s">
        <v>17</v>
      </c>
      <c r="W26" s="677">
        <f>J26</f>
        <v>97</v>
      </c>
      <c r="X26" s="3012"/>
      <c r="Y26" s="3260"/>
      <c r="Z26" s="3008" t="str">
        <f>Q26</f>
        <v>平面位置/可视性</v>
      </c>
      <c r="AA26" s="3008">
        <f t="shared" si="3"/>
        <v>1</v>
      </c>
      <c r="AB26" s="3008">
        <f t="shared" si="4"/>
        <v>1.0309278350515463</v>
      </c>
      <c r="AC26" s="3008">
        <f t="shared" si="5"/>
        <v>1.0309278350515463</v>
      </c>
    </row>
    <row r="27" spans="1:29" s="107" customFormat="1" ht="15">
      <c r="A27" s="378"/>
      <c r="B27" s="398" t="s">
        <v>2237</v>
      </c>
      <c r="C27" s="1937" t="s">
        <v>3199</v>
      </c>
      <c r="D27" s="409">
        <v>100</v>
      </c>
      <c r="E27" s="1937" t="s">
        <v>3199</v>
      </c>
      <c r="F27" s="403">
        <f>SUMIF(90:90,E27,91:91)-SUMIF(90:90,C27,91:91)+100</f>
        <v>100</v>
      </c>
      <c r="G27" s="1937" t="s">
        <v>3199</v>
      </c>
      <c r="H27" s="409">
        <f>SUMIF(90:90,G27,91:91)-SUMIF(90:90,C27,91:91)+100</f>
        <v>100</v>
      </c>
      <c r="I27" s="1937" t="s">
        <v>3199</v>
      </c>
      <c r="J27" s="409">
        <f>SUMIF(90:90,I27,91:91)-SUMIF(90:90,C27,91:91)+100</f>
        <v>100</v>
      </c>
      <c r="K27" s="546">
        <v>7</v>
      </c>
      <c r="L27" s="2655"/>
      <c r="M27" s="2604"/>
      <c r="N27" s="2604"/>
      <c r="O27" s="2604"/>
      <c r="P27" s="3258"/>
      <c r="Q27" s="3005" t="str">
        <f t="shared" si="8"/>
        <v>人流量</v>
      </c>
      <c r="R27" s="673" t="s">
        <v>17</v>
      </c>
      <c r="S27" s="674">
        <f>F27</f>
        <v>100</v>
      </c>
      <c r="T27" s="673" t="s">
        <v>17</v>
      </c>
      <c r="U27" s="674">
        <f>H27</f>
        <v>100</v>
      </c>
      <c r="V27" s="673" t="s">
        <v>17</v>
      </c>
      <c r="W27" s="674">
        <f>J27</f>
        <v>100</v>
      </c>
      <c r="X27" s="675"/>
      <c r="Y27" s="3260"/>
      <c r="Z27" s="3004" t="str">
        <f>Q27</f>
        <v>人流量</v>
      </c>
      <c r="AA27" s="3008">
        <f>D27/F27</f>
        <v>1</v>
      </c>
      <c r="AB27" s="3008">
        <f>D27/H27</f>
        <v>1</v>
      </c>
      <c r="AC27" s="3008">
        <f>D27/J27</f>
        <v>1</v>
      </c>
    </row>
    <row r="28" spans="1:29" ht="15">
      <c r="A28" s="375"/>
      <c r="B28" s="370" t="s">
        <v>2238</v>
      </c>
      <c r="C28" s="550">
        <v>1</v>
      </c>
      <c r="D28" s="382">
        <v>100</v>
      </c>
      <c r="E28" s="550">
        <v>1</v>
      </c>
      <c r="F28" s="3009">
        <f>SUMIF(92:92,E28,93:93)-SUMIF(92:92,C28,93:93)+100</f>
        <v>100</v>
      </c>
      <c r="G28" s="550">
        <v>1</v>
      </c>
      <c r="H28" s="382">
        <f>SUMIF(92:92,G28,93:93)-SUMIF(92:92,C28,93:93)+100</f>
        <v>100</v>
      </c>
      <c r="I28" s="550">
        <v>1</v>
      </c>
      <c r="J28" s="382">
        <f>SUMIF(92:92,I28,93:93)-SUMIF(92:92,C28,93:93)+100</f>
        <v>100</v>
      </c>
      <c r="K28" s="547"/>
      <c r="L28" s="2659"/>
      <c r="M28" s="2654"/>
      <c r="N28" s="2654"/>
      <c r="O28" s="2654"/>
      <c r="P28" s="3258"/>
      <c r="Q28" s="3007" t="str">
        <f t="shared" si="8"/>
        <v>楼层</v>
      </c>
      <c r="R28" s="676" t="s">
        <v>17</v>
      </c>
      <c r="S28" s="677">
        <f t="shared" ref="S28:S46" si="9">F28</f>
        <v>100</v>
      </c>
      <c r="T28" s="676" t="s">
        <v>17</v>
      </c>
      <c r="U28" s="677">
        <f t="shared" ref="U28:U46" si="10">H28</f>
        <v>100</v>
      </c>
      <c r="V28" s="676" t="s">
        <v>17</v>
      </c>
      <c r="W28" s="677">
        <f t="shared" ref="W28:W46" si="11">J28</f>
        <v>100</v>
      </c>
      <c r="X28" s="3012"/>
      <c r="Y28" s="3260"/>
      <c r="Z28" s="3008" t="str">
        <f t="shared" ref="Z28:Z46" si="12">Q28</f>
        <v>楼层</v>
      </c>
      <c r="AA28" s="3008">
        <f t="shared" si="3"/>
        <v>1</v>
      </c>
      <c r="AB28" s="3008">
        <f t="shared" si="4"/>
        <v>1</v>
      </c>
      <c r="AC28" s="3008">
        <f t="shared" si="5"/>
        <v>1</v>
      </c>
    </row>
    <row r="29" spans="1:29" ht="15">
      <c r="A29" s="375"/>
      <c r="B29" s="1176">
        <v>111</v>
      </c>
      <c r="C29" s="381"/>
      <c r="D29" s="382">
        <v>100</v>
      </c>
      <c r="E29" s="381"/>
      <c r="F29" s="3009">
        <f>SUMIF(94:94,E29,95:95)-SUMIF(94:94,C29,95:95)+100</f>
        <v>100</v>
      </c>
      <c r="G29" s="381"/>
      <c r="H29" s="382">
        <f>SUMIF(94:94,G29,95:95)-SUMIF(94:94,C29,95:95)+100</f>
        <v>100</v>
      </c>
      <c r="I29" s="381"/>
      <c r="J29" s="382">
        <f>SUMIF(94:94,I29,95:95)-SUMIF(94:94,C29,95:95)+100</f>
        <v>100</v>
      </c>
      <c r="K29" s="547"/>
      <c r="L29" s="2659"/>
      <c r="M29" s="2654"/>
      <c r="N29" s="2654"/>
      <c r="O29" s="2654"/>
      <c r="P29" s="3258"/>
      <c r="Q29" s="3007">
        <f t="shared" si="8"/>
        <v>111</v>
      </c>
      <c r="R29" s="676" t="s">
        <v>17</v>
      </c>
      <c r="S29" s="677">
        <f t="shared" si="9"/>
        <v>100</v>
      </c>
      <c r="T29" s="676" t="s">
        <v>17</v>
      </c>
      <c r="U29" s="677">
        <f t="shared" si="10"/>
        <v>100</v>
      </c>
      <c r="V29" s="676" t="s">
        <v>17</v>
      </c>
      <c r="W29" s="677">
        <f t="shared" si="11"/>
        <v>100</v>
      </c>
      <c r="X29" s="3012"/>
      <c r="Y29" s="3260"/>
      <c r="Z29" s="3008">
        <f t="shared" si="12"/>
        <v>111</v>
      </c>
      <c r="AA29" s="3008">
        <f t="shared" si="3"/>
        <v>1</v>
      </c>
      <c r="AB29" s="3008">
        <f t="shared" si="4"/>
        <v>1</v>
      </c>
      <c r="AC29" s="3008">
        <f t="shared" si="5"/>
        <v>1</v>
      </c>
    </row>
    <row r="30" spans="1:29" ht="15">
      <c r="A30" s="375"/>
      <c r="B30" s="1176">
        <v>111</v>
      </c>
      <c r="C30" s="381"/>
      <c r="D30" s="382">
        <v>100</v>
      </c>
      <c r="E30" s="381"/>
      <c r="F30" s="3009">
        <f>SUMIF(96:96,E30,97:97)-SUMIF(96:96,C30,97:97)+100</f>
        <v>100</v>
      </c>
      <c r="G30" s="381"/>
      <c r="H30" s="382">
        <f>SUMIF(96:96,G30,97:97)-SUMIF(96:96,C30,97:97)+100</f>
        <v>100</v>
      </c>
      <c r="I30" s="381"/>
      <c r="J30" s="382">
        <f>SUMIF(96:96,I30,97:97)-SUMIF(96:96,C30,97:97)+100</f>
        <v>100</v>
      </c>
      <c r="K30" s="547"/>
      <c r="L30" s="2659"/>
      <c r="M30" s="2654"/>
      <c r="N30" s="2654"/>
      <c r="O30" s="2654"/>
      <c r="P30" s="3258"/>
      <c r="Q30" s="3007">
        <f t="shared" si="8"/>
        <v>111</v>
      </c>
      <c r="R30" s="676" t="s">
        <v>17</v>
      </c>
      <c r="S30" s="677">
        <f t="shared" si="9"/>
        <v>100</v>
      </c>
      <c r="T30" s="676" t="s">
        <v>17</v>
      </c>
      <c r="U30" s="677">
        <f t="shared" si="10"/>
        <v>100</v>
      </c>
      <c r="V30" s="676" t="s">
        <v>17</v>
      </c>
      <c r="W30" s="677">
        <f t="shared" si="11"/>
        <v>100</v>
      </c>
      <c r="X30" s="3012"/>
      <c r="Y30" s="3260"/>
      <c r="Z30" s="3008">
        <f t="shared" si="12"/>
        <v>111</v>
      </c>
      <c r="AA30" s="3008">
        <f t="shared" si="3"/>
        <v>1</v>
      </c>
      <c r="AB30" s="3008">
        <f t="shared" si="4"/>
        <v>1</v>
      </c>
      <c r="AC30" s="3008">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3007">
        <f t="shared" si="8"/>
        <v>111</v>
      </c>
      <c r="R31" s="676" t="s">
        <v>17</v>
      </c>
      <c r="S31" s="677">
        <f t="shared" si="9"/>
        <v>100</v>
      </c>
      <c r="T31" s="676" t="s">
        <v>17</v>
      </c>
      <c r="U31" s="677">
        <f t="shared" si="10"/>
        <v>100</v>
      </c>
      <c r="V31" s="676" t="s">
        <v>17</v>
      </c>
      <c r="W31" s="677">
        <f t="shared" si="11"/>
        <v>100</v>
      </c>
      <c r="X31" s="3012"/>
      <c r="Y31" s="3260"/>
      <c r="Z31" s="3008">
        <f t="shared" si="12"/>
        <v>111</v>
      </c>
      <c r="AA31" s="3008">
        <f t="shared" si="3"/>
        <v>1</v>
      </c>
      <c r="AB31" s="3008">
        <f t="shared" si="4"/>
        <v>1</v>
      </c>
      <c r="AC31" s="3008">
        <f t="shared" si="5"/>
        <v>1</v>
      </c>
    </row>
    <row r="32" spans="1:29" ht="15">
      <c r="A32" s="387" t="s">
        <v>2142</v>
      </c>
      <c r="B32" s="64" t="s">
        <v>2239</v>
      </c>
      <c r="C32" s="1894" t="s">
        <v>3203</v>
      </c>
      <c r="D32" s="3013">
        <v>100</v>
      </c>
      <c r="E32" s="1894" t="s">
        <v>3264</v>
      </c>
      <c r="F32" s="3009">
        <f>SUMIF(100:100,E32,101:101)-SUMIF(100:100,C32,101:101)+100</f>
        <v>102</v>
      </c>
      <c r="G32" s="1894" t="s">
        <v>3264</v>
      </c>
      <c r="H32" s="382">
        <f>SUMIF(100:100,G32,101:101)-SUMIF(100:100,C32,101:101)+100</f>
        <v>102</v>
      </c>
      <c r="I32" s="1894" t="s">
        <v>3264</v>
      </c>
      <c r="J32" s="3013">
        <f>SUMIF(100:100,I32,101:101)-SUMIF(100:100,C32,101:101)+100</f>
        <v>102</v>
      </c>
      <c r="K32" s="546">
        <v>2</v>
      </c>
      <c r="L32" s="2659"/>
      <c r="M32" s="2654"/>
      <c r="N32" s="2654"/>
      <c r="O32" s="2654"/>
      <c r="P32" s="3261" t="s">
        <v>2144</v>
      </c>
      <c r="Q32" s="3007" t="str">
        <f t="shared" si="8"/>
        <v>商业类型</v>
      </c>
      <c r="R32" s="676" t="s">
        <v>17</v>
      </c>
      <c r="S32" s="677">
        <f t="shared" si="9"/>
        <v>102</v>
      </c>
      <c r="T32" s="676" t="s">
        <v>17</v>
      </c>
      <c r="U32" s="677">
        <f t="shared" si="10"/>
        <v>102</v>
      </c>
      <c r="V32" s="676" t="s">
        <v>17</v>
      </c>
      <c r="W32" s="677">
        <f t="shared" si="11"/>
        <v>102</v>
      </c>
      <c r="X32" s="3012"/>
      <c r="Y32" s="3264" t="s">
        <v>2144</v>
      </c>
      <c r="Z32" s="3008" t="str">
        <f t="shared" si="12"/>
        <v>商业类型</v>
      </c>
      <c r="AA32" s="3008">
        <f t="shared" si="3"/>
        <v>0.98039215686274506</v>
      </c>
      <c r="AB32" s="3008">
        <f t="shared" si="4"/>
        <v>0.98039215686274506</v>
      </c>
      <c r="AC32" s="3008">
        <f t="shared" si="5"/>
        <v>0.98039215686274506</v>
      </c>
    </row>
    <row r="33" spans="1:29" s="416" customFormat="1" ht="15">
      <c r="A33" s="414"/>
      <c r="B33" s="370" t="s">
        <v>2145</v>
      </c>
      <c r="C33" s="415">
        <f>'数据-基础表'!I13</f>
        <v>256</v>
      </c>
      <c r="D33" s="124">
        <v>100</v>
      </c>
      <c r="E33" s="377">
        <v>1887</v>
      </c>
      <c r="F33" s="370">
        <f>LOOKUP(E33,103:103,104:104)-LOOKUP(C33,103:103,104:104)+100</f>
        <v>98</v>
      </c>
      <c r="G33" s="376">
        <v>73</v>
      </c>
      <c r="H33" s="124">
        <f>LOOKUP(G33,103:103,104:104)-LOOKUP(C33,103:103,104:104)+100</f>
        <v>102</v>
      </c>
      <c r="I33" s="376">
        <v>149</v>
      </c>
      <c r="J33" s="124">
        <f>LOOKUP(I33,103:103,104:104)-LOOKUP(C33,103:103,104:104)+100</f>
        <v>100</v>
      </c>
      <c r="K33" s="547"/>
      <c r="L33" s="2658"/>
      <c r="M33" s="2660"/>
      <c r="N33" s="2660"/>
      <c r="O33" s="2660"/>
      <c r="P33" s="3262"/>
      <c r="Q33" s="539" t="str">
        <f t="shared" si="8"/>
        <v>项目建筑规模</v>
      </c>
      <c r="R33" s="678" t="s">
        <v>17</v>
      </c>
      <c r="S33" s="679">
        <f t="shared" si="9"/>
        <v>98</v>
      </c>
      <c r="T33" s="678" t="s">
        <v>17</v>
      </c>
      <c r="U33" s="679">
        <f t="shared" si="10"/>
        <v>102</v>
      </c>
      <c r="V33" s="678" t="s">
        <v>17</v>
      </c>
      <c r="W33" s="679">
        <f t="shared" si="11"/>
        <v>100</v>
      </c>
      <c r="X33" s="680"/>
      <c r="Y33" s="3264"/>
      <c r="Z33" s="681" t="str">
        <f t="shared" si="12"/>
        <v>项目建筑规模</v>
      </c>
      <c r="AA33" s="3008">
        <f t="shared" si="3"/>
        <v>1.0204081632653061</v>
      </c>
      <c r="AB33" s="3008">
        <f t="shared" si="4"/>
        <v>0.98039215686274506</v>
      </c>
      <c r="AC33" s="3008">
        <f t="shared" si="5"/>
        <v>1</v>
      </c>
    </row>
    <row r="34" spans="1:29" ht="15">
      <c r="A34" s="417"/>
      <c r="B34" s="370" t="s">
        <v>2146</v>
      </c>
      <c r="C34" s="407" t="s">
        <v>3208</v>
      </c>
      <c r="D34" s="382">
        <v>100</v>
      </c>
      <c r="E34" s="407" t="s">
        <v>3208</v>
      </c>
      <c r="F34" s="3009">
        <f>SUMIF(105:105,E34,106:106)-SUMIF(105:105,C34,106:106)+100</f>
        <v>100</v>
      </c>
      <c r="G34" s="407" t="s">
        <v>3208</v>
      </c>
      <c r="H34" s="382">
        <f>SUMIF(105:105,G34,106:106)-SUMIF(105:105,C34,106:106)+100</f>
        <v>100</v>
      </c>
      <c r="I34" s="407" t="s">
        <v>3208</v>
      </c>
      <c r="J34" s="382">
        <f>SUMIF(105:105,I34,106:106)-SUMIF(105:105,C34,106:106)+100</f>
        <v>100</v>
      </c>
      <c r="K34" s="546"/>
      <c r="L34" s="2659"/>
      <c r="M34" s="2654"/>
      <c r="N34" s="2654"/>
      <c r="O34" s="2654"/>
      <c r="P34" s="3262"/>
      <c r="Q34" s="3007" t="str">
        <f t="shared" si="8"/>
        <v>建筑结构</v>
      </c>
      <c r="R34" s="676" t="s">
        <v>17</v>
      </c>
      <c r="S34" s="677">
        <f t="shared" si="9"/>
        <v>100</v>
      </c>
      <c r="T34" s="676" t="s">
        <v>17</v>
      </c>
      <c r="U34" s="677">
        <f t="shared" si="10"/>
        <v>100</v>
      </c>
      <c r="V34" s="676" t="s">
        <v>17</v>
      </c>
      <c r="W34" s="677">
        <f t="shared" si="11"/>
        <v>100</v>
      </c>
      <c r="X34" s="3012"/>
      <c r="Y34" s="3264"/>
      <c r="Z34" s="3008" t="str">
        <f t="shared" si="12"/>
        <v>建筑结构</v>
      </c>
      <c r="AA34" s="3008">
        <f t="shared" si="3"/>
        <v>1</v>
      </c>
      <c r="AB34" s="3008">
        <f t="shared" si="4"/>
        <v>1</v>
      </c>
      <c r="AC34" s="3008">
        <f t="shared" si="5"/>
        <v>1</v>
      </c>
    </row>
    <row r="35" spans="1:29" ht="15">
      <c r="A35" s="417"/>
      <c r="B35" s="370" t="s">
        <v>2240</v>
      </c>
      <c r="C35" s="1890" t="s">
        <v>3211</v>
      </c>
      <c r="D35" s="382">
        <v>100</v>
      </c>
      <c r="E35" s="1890" t="s">
        <v>3211</v>
      </c>
      <c r="F35" s="3009">
        <f>SUMIF(107:107,E35,108:108)-SUMIF(107:107,C35,108:108)+100</f>
        <v>100</v>
      </c>
      <c r="G35" s="1890" t="s">
        <v>3211</v>
      </c>
      <c r="H35" s="382">
        <f>SUMIF(107:107,G35,108:108)-SUMIF(107:107,C35,108:108)+100</f>
        <v>100</v>
      </c>
      <c r="I35" s="1890" t="s">
        <v>3211</v>
      </c>
      <c r="J35" s="382">
        <f>SUMIF(107:107,I35,108:108)-SUMIF(107:107,C35,108:108)+100</f>
        <v>100</v>
      </c>
      <c r="K35" s="546"/>
      <c r="L35" s="2659"/>
      <c r="M35" s="2654"/>
      <c r="N35" s="2654"/>
      <c r="O35" s="2654"/>
      <c r="P35" s="3262"/>
      <c r="Q35" s="3007" t="str">
        <f t="shared" si="8"/>
        <v>公共部分装修</v>
      </c>
      <c r="R35" s="676" t="s">
        <v>17</v>
      </c>
      <c r="S35" s="677">
        <f t="shared" si="9"/>
        <v>100</v>
      </c>
      <c r="T35" s="676" t="s">
        <v>17</v>
      </c>
      <c r="U35" s="677">
        <f t="shared" si="10"/>
        <v>100</v>
      </c>
      <c r="V35" s="676" t="s">
        <v>17</v>
      </c>
      <c r="W35" s="677">
        <f t="shared" si="11"/>
        <v>100</v>
      </c>
      <c r="X35" s="3012"/>
      <c r="Y35" s="3264"/>
      <c r="Z35" s="3008" t="str">
        <f t="shared" si="12"/>
        <v>公共部分装修</v>
      </c>
      <c r="AA35" s="3008">
        <f t="shared" si="3"/>
        <v>1</v>
      </c>
      <c r="AB35" s="3008">
        <f t="shared" si="4"/>
        <v>1</v>
      </c>
      <c r="AC35" s="3008">
        <f t="shared" si="5"/>
        <v>1</v>
      </c>
    </row>
    <row r="36" spans="1:29" ht="15">
      <c r="A36" s="417"/>
      <c r="B36" s="370" t="s">
        <v>2241</v>
      </c>
      <c r="C36" s="419">
        <v>0.84</v>
      </c>
      <c r="D36" s="382">
        <v>100</v>
      </c>
      <c r="E36" s="419">
        <v>0.95</v>
      </c>
      <c r="F36" s="3009">
        <f>LOOKUP(E36,110:110,111:111)-LOOKUP(C36,110:110,111:111)+100</f>
        <v>106</v>
      </c>
      <c r="G36" s="419">
        <f>E36</f>
        <v>0.95</v>
      </c>
      <c r="H36" s="3009">
        <f>LOOKUP(G36,110:110,111:111)-LOOKUP(C36,110:110,111:111)+100</f>
        <v>106</v>
      </c>
      <c r="I36" s="419">
        <f>E36</f>
        <v>0.95</v>
      </c>
      <c r="J36" s="382">
        <f>LOOKUP(I36,110:110,111:111)-LOOKUP(C36,110:110,111:111)+100</f>
        <v>106</v>
      </c>
      <c r="K36" s="546">
        <v>6</v>
      </c>
      <c r="L36" s="2659"/>
      <c r="M36" s="2654"/>
      <c r="N36" s="2654"/>
      <c r="O36" s="2654"/>
      <c r="P36" s="3262"/>
      <c r="Q36" s="3007" t="str">
        <f t="shared" si="8"/>
        <v>成新度</v>
      </c>
      <c r="R36" s="676" t="s">
        <v>17</v>
      </c>
      <c r="S36" s="677">
        <f t="shared" si="9"/>
        <v>106</v>
      </c>
      <c r="T36" s="676" t="s">
        <v>17</v>
      </c>
      <c r="U36" s="677">
        <f t="shared" si="10"/>
        <v>106</v>
      </c>
      <c r="V36" s="676" t="s">
        <v>17</v>
      </c>
      <c r="W36" s="677">
        <f t="shared" si="11"/>
        <v>106</v>
      </c>
      <c r="X36" s="3012"/>
      <c r="Y36" s="3264"/>
      <c r="Z36" s="3008" t="str">
        <f t="shared" si="12"/>
        <v>成新度</v>
      </c>
      <c r="AA36" s="3008">
        <f t="shared" si="3"/>
        <v>0.94339622641509435</v>
      </c>
      <c r="AB36" s="3008">
        <f t="shared" si="4"/>
        <v>0.94339622641509435</v>
      </c>
      <c r="AC36" s="3008">
        <f t="shared" si="5"/>
        <v>0.94339622641509435</v>
      </c>
    </row>
    <row r="37" spans="1:29" s="107" customFormat="1" ht="15">
      <c r="A37" s="418"/>
      <c r="B37" s="370" t="s">
        <v>2242</v>
      </c>
      <c r="C37" s="1890" t="s">
        <v>3195</v>
      </c>
      <c r="D37" s="124">
        <v>100</v>
      </c>
      <c r="E37" s="1890" t="s">
        <v>3195</v>
      </c>
      <c r="F37" s="3009">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62"/>
      <c r="Q37" s="3005" t="str">
        <f t="shared" si="8"/>
        <v>市政基础设施</v>
      </c>
      <c r="R37" s="673" t="s">
        <v>17</v>
      </c>
      <c r="S37" s="674">
        <f t="shared" si="9"/>
        <v>100</v>
      </c>
      <c r="T37" s="673" t="s">
        <v>17</v>
      </c>
      <c r="U37" s="674">
        <f t="shared" si="10"/>
        <v>100</v>
      </c>
      <c r="V37" s="673" t="s">
        <v>17</v>
      </c>
      <c r="W37" s="674">
        <f t="shared" si="11"/>
        <v>100</v>
      </c>
      <c r="X37" s="675"/>
      <c r="Y37" s="3264"/>
      <c r="Z37" s="3004" t="str">
        <f t="shared" si="12"/>
        <v>市政基础设施</v>
      </c>
      <c r="AA37" s="3004">
        <f t="shared" si="3"/>
        <v>1</v>
      </c>
      <c r="AB37" s="3004">
        <f t="shared" si="4"/>
        <v>1</v>
      </c>
      <c r="AC37" s="3004">
        <f t="shared" si="5"/>
        <v>1</v>
      </c>
    </row>
    <row r="38" spans="1:29" ht="15" hidden="1">
      <c r="A38" s="417"/>
      <c r="B38" s="370" t="s">
        <v>2243</v>
      </c>
      <c r="C38" s="1890" t="s">
        <v>3302</v>
      </c>
      <c r="D38" s="382">
        <v>100</v>
      </c>
      <c r="E38" s="1890" t="s">
        <v>3302</v>
      </c>
      <c r="F38" s="3009">
        <f>SUMIF(114:114,E38,115:115)-SUMIF(114:114,C38,115:115)+100</f>
        <v>100</v>
      </c>
      <c r="G38" s="1890" t="s">
        <v>3300</v>
      </c>
      <c r="H38" s="382">
        <f>SUMIF(114:114,G38,115:115)-SUMIF(114:114,C38,115:115)+100</f>
        <v>100</v>
      </c>
      <c r="I38" s="1890" t="s">
        <v>3300</v>
      </c>
      <c r="J38" s="382">
        <f>SUMIF(114:114,I38,115:115)-SUMIF(114:114,C38,115:115)+100</f>
        <v>100</v>
      </c>
      <c r="K38" s="546">
        <v>0</v>
      </c>
      <c r="L38" s="2659"/>
      <c r="M38" s="2654"/>
      <c r="N38" s="2654"/>
      <c r="O38" s="2654"/>
      <c r="P38" s="3262" t="s">
        <v>2144</v>
      </c>
      <c r="Q38" s="3007" t="str">
        <f t="shared" si="8"/>
        <v>业态</v>
      </c>
      <c r="R38" s="676" t="s">
        <v>17</v>
      </c>
      <c r="S38" s="677">
        <f t="shared" si="9"/>
        <v>100</v>
      </c>
      <c r="T38" s="676" t="s">
        <v>17</v>
      </c>
      <c r="U38" s="677">
        <f t="shared" si="10"/>
        <v>100</v>
      </c>
      <c r="V38" s="676" t="s">
        <v>17</v>
      </c>
      <c r="W38" s="677">
        <f t="shared" si="11"/>
        <v>100</v>
      </c>
      <c r="X38" s="3012"/>
      <c r="Y38" s="3264" t="s">
        <v>2144</v>
      </c>
      <c r="Z38" s="3008" t="str">
        <f t="shared" si="12"/>
        <v>业态</v>
      </c>
      <c r="AA38" s="3008">
        <f t="shared" si="3"/>
        <v>1</v>
      </c>
      <c r="AB38" s="3008">
        <f t="shared" si="4"/>
        <v>1</v>
      </c>
      <c r="AC38" s="3008">
        <f t="shared" si="5"/>
        <v>1</v>
      </c>
    </row>
    <row r="39" spans="1:29" ht="15">
      <c r="A39" s="417"/>
      <c r="B39" s="370" t="s">
        <v>2244</v>
      </c>
      <c r="C39" s="1890" t="s">
        <v>3216</v>
      </c>
      <c r="D39" s="382">
        <v>100</v>
      </c>
      <c r="E39" s="1890" t="s">
        <v>3216</v>
      </c>
      <c r="F39" s="3009">
        <f>SUMIF(116:116,E39,117:117)-SUMIF(116:116,C39,117:117)+100</f>
        <v>100</v>
      </c>
      <c r="G39" s="1890" t="s">
        <v>3216</v>
      </c>
      <c r="H39" s="382">
        <f>SUMIF(116:116,G39,117:117)-SUMIF(116:116,C39,117:117)+100</f>
        <v>100</v>
      </c>
      <c r="I39" s="1890" t="s">
        <v>3216</v>
      </c>
      <c r="J39" s="382">
        <f>SUMIF(116:116,I39,117:117)-SUMIF(116:116,C39,117:117)+100</f>
        <v>100</v>
      </c>
      <c r="K39" s="546"/>
      <c r="L39" s="2659"/>
      <c r="M39" s="2654"/>
      <c r="N39" s="2654"/>
      <c r="O39" s="2654"/>
      <c r="P39" s="3262"/>
      <c r="Q39" s="3007" t="str">
        <f t="shared" si="8"/>
        <v>层高</v>
      </c>
      <c r="R39" s="676" t="s">
        <v>17</v>
      </c>
      <c r="S39" s="677">
        <f t="shared" si="9"/>
        <v>100</v>
      </c>
      <c r="T39" s="676" t="s">
        <v>17</v>
      </c>
      <c r="U39" s="677">
        <f t="shared" si="10"/>
        <v>100</v>
      </c>
      <c r="V39" s="676" t="s">
        <v>17</v>
      </c>
      <c r="W39" s="677">
        <f t="shared" si="11"/>
        <v>100</v>
      </c>
      <c r="X39" s="3012"/>
      <c r="Y39" s="3264"/>
      <c r="Z39" s="3008" t="str">
        <f t="shared" si="12"/>
        <v>层高</v>
      </c>
      <c r="AA39" s="3008">
        <f t="shared" si="3"/>
        <v>1</v>
      </c>
      <c r="AB39" s="3008">
        <f t="shared" si="4"/>
        <v>1</v>
      </c>
      <c r="AC39" s="3008">
        <f t="shared" si="5"/>
        <v>1</v>
      </c>
    </row>
    <row r="40" spans="1:29" ht="15" hidden="1">
      <c r="A40" s="417"/>
      <c r="B40" s="370" t="s">
        <v>2245</v>
      </c>
      <c r="C40" s="551"/>
      <c r="D40" s="382">
        <v>100</v>
      </c>
      <c r="E40" s="552"/>
      <c r="F40" s="3009">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62"/>
      <c r="Q40" s="3007" t="str">
        <f t="shared" si="8"/>
        <v>单套建筑面积</v>
      </c>
      <c r="R40" s="676" t="s">
        <v>17</v>
      </c>
      <c r="S40" s="677">
        <f t="shared" si="9"/>
        <v>100</v>
      </c>
      <c r="T40" s="676" t="s">
        <v>17</v>
      </c>
      <c r="U40" s="677">
        <f t="shared" si="10"/>
        <v>100</v>
      </c>
      <c r="V40" s="676" t="s">
        <v>17</v>
      </c>
      <c r="W40" s="677">
        <f t="shared" si="11"/>
        <v>100</v>
      </c>
      <c r="X40" s="3012"/>
      <c r="Y40" s="3264"/>
      <c r="Z40" s="3008" t="str">
        <f t="shared" si="12"/>
        <v>单套建筑面积</v>
      </c>
      <c r="AA40" s="3008">
        <f t="shared" si="3"/>
        <v>1</v>
      </c>
      <c r="AB40" s="3008">
        <f t="shared" si="4"/>
        <v>1</v>
      </c>
      <c r="AC40" s="3008">
        <f t="shared" si="5"/>
        <v>1</v>
      </c>
    </row>
    <row r="41" spans="1:29" s="416" customFormat="1" ht="15" hidden="1">
      <c r="A41" s="414"/>
      <c r="B41" s="3009" t="s">
        <v>2246</v>
      </c>
      <c r="C41" s="550"/>
      <c r="D41" s="382">
        <v>100</v>
      </c>
      <c r="E41" s="550"/>
      <c r="F41" s="3009">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62"/>
      <c r="Q41" s="539" t="str">
        <f t="shared" si="8"/>
        <v>进深比</v>
      </c>
      <c r="R41" s="678" t="s">
        <v>17</v>
      </c>
      <c r="S41" s="679">
        <f t="shared" si="9"/>
        <v>100</v>
      </c>
      <c r="T41" s="678" t="s">
        <v>17</v>
      </c>
      <c r="U41" s="679">
        <f t="shared" si="10"/>
        <v>100</v>
      </c>
      <c r="V41" s="678" t="s">
        <v>17</v>
      </c>
      <c r="W41" s="679">
        <f t="shared" si="11"/>
        <v>100</v>
      </c>
      <c r="X41" s="680"/>
      <c r="Y41" s="3264"/>
      <c r="Z41" s="681" t="str">
        <f t="shared" si="12"/>
        <v>进深比</v>
      </c>
      <c r="AA41" s="3008">
        <f t="shared" si="3"/>
        <v>1</v>
      </c>
      <c r="AB41" s="3008">
        <f t="shared" si="4"/>
        <v>1</v>
      </c>
      <c r="AC41" s="3008">
        <f t="shared" si="5"/>
        <v>1</v>
      </c>
    </row>
    <row r="42" spans="1:29" ht="15">
      <c r="A42" s="417"/>
      <c r="B42" s="370" t="s">
        <v>2247</v>
      </c>
      <c r="C42" s="1890" t="s">
        <v>3221</v>
      </c>
      <c r="D42" s="382">
        <v>100</v>
      </c>
      <c r="E42" s="1890" t="s">
        <v>3221</v>
      </c>
      <c r="F42" s="3009">
        <f>SUMIF(122:122,E42,123:123)-SUMIF(122:122,C42,123:123)+100</f>
        <v>100</v>
      </c>
      <c r="G42" s="2982" t="s">
        <v>3221</v>
      </c>
      <c r="H42" s="382">
        <f>SUMIF(122:122,G42,123:123)-SUMIF(122:122,C42,123:123)+100</f>
        <v>100</v>
      </c>
      <c r="I42" s="1890" t="s">
        <v>3221</v>
      </c>
      <c r="J42" s="382">
        <f>SUMIF(122:122,I42,123:123)-SUMIF(122:122,C42,123:123)+100</f>
        <v>100</v>
      </c>
      <c r="K42" s="2977">
        <v>2</v>
      </c>
      <c r="L42" s="2659"/>
      <c r="M42" s="2654"/>
      <c r="N42" s="2654"/>
      <c r="O42" s="2654"/>
      <c r="P42" s="3262"/>
      <c r="Q42" s="3007" t="str">
        <f t="shared" si="8"/>
        <v>内部装修</v>
      </c>
      <c r="R42" s="676" t="s">
        <v>17</v>
      </c>
      <c r="S42" s="677">
        <f t="shared" si="9"/>
        <v>100</v>
      </c>
      <c r="T42" s="676" t="s">
        <v>17</v>
      </c>
      <c r="U42" s="677">
        <f t="shared" si="10"/>
        <v>100</v>
      </c>
      <c r="V42" s="676" t="s">
        <v>17</v>
      </c>
      <c r="W42" s="677">
        <f t="shared" si="11"/>
        <v>100</v>
      </c>
      <c r="X42" s="3012"/>
      <c r="Y42" s="3264"/>
      <c r="Z42" s="3008" t="str">
        <f t="shared" si="12"/>
        <v>内部装修</v>
      </c>
      <c r="AA42" s="3008">
        <f t="shared" si="3"/>
        <v>1</v>
      </c>
      <c r="AB42" s="3008">
        <f t="shared" si="4"/>
        <v>1</v>
      </c>
      <c r="AC42" s="3008">
        <f t="shared" si="5"/>
        <v>1</v>
      </c>
    </row>
    <row r="43" spans="1:29" ht="15">
      <c r="A43" s="417"/>
      <c r="B43" s="370" t="s">
        <v>2155</v>
      </c>
      <c r="C43" s="1890"/>
      <c r="D43" s="382">
        <v>100</v>
      </c>
      <c r="E43" s="1890"/>
      <c r="F43" s="3009">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62"/>
      <c r="Q43" s="3007" t="str">
        <f t="shared" si="8"/>
        <v>内部装修维护情况</v>
      </c>
      <c r="R43" s="676" t="s">
        <v>17</v>
      </c>
      <c r="S43" s="677">
        <f t="shared" si="9"/>
        <v>100</v>
      </c>
      <c r="T43" s="676" t="s">
        <v>17</v>
      </c>
      <c r="U43" s="677">
        <f t="shared" si="10"/>
        <v>100</v>
      </c>
      <c r="V43" s="676" t="s">
        <v>17</v>
      </c>
      <c r="W43" s="677">
        <f t="shared" si="11"/>
        <v>100</v>
      </c>
      <c r="X43" s="3012"/>
      <c r="Y43" s="3264"/>
      <c r="Z43" s="3008" t="str">
        <f t="shared" si="12"/>
        <v>内部装修维护情况</v>
      </c>
      <c r="AA43" s="3008">
        <f t="shared" si="3"/>
        <v>1</v>
      </c>
      <c r="AB43" s="3008">
        <f t="shared" si="4"/>
        <v>1</v>
      </c>
      <c r="AC43" s="3008">
        <f t="shared" si="5"/>
        <v>1</v>
      </c>
    </row>
    <row r="44" spans="1:29" s="107" customFormat="1" ht="28.5">
      <c r="A44" s="418"/>
      <c r="B44" s="3018" t="s">
        <v>3293</v>
      </c>
      <c r="C44" s="3019" t="s">
        <v>3294</v>
      </c>
      <c r="D44" s="124">
        <v>100</v>
      </c>
      <c r="E44" s="2968" t="s">
        <v>3299</v>
      </c>
      <c r="F44" s="370">
        <f>SUMIF(126:126,E44,127:127)-SUMIF(126:126,C44,127:127)+100</f>
        <v>102</v>
      </c>
      <c r="G44" s="2968" t="str">
        <f>E44</f>
        <v>完备（中央空调、新风）</v>
      </c>
      <c r="H44" s="124">
        <f>SUMIF(126:126,G44,127:127)-SUMIF(126:126,C44,127:127)+100</f>
        <v>102</v>
      </c>
      <c r="I44" s="381" t="str">
        <f>E44</f>
        <v>完备（中央空调、新风）</v>
      </c>
      <c r="J44" s="124">
        <f>SUMIF(126:126,I44,127:127)-SUMIF(126:126,C44,127:127)+100</f>
        <v>102</v>
      </c>
      <c r="K44" s="547"/>
      <c r="L44" s="2655"/>
      <c r="M44" s="2604"/>
      <c r="N44" s="2604"/>
      <c r="O44" s="2604"/>
      <c r="P44" s="3262"/>
      <c r="Q44" s="3005" t="str">
        <f t="shared" si="8"/>
        <v>设备设施</v>
      </c>
      <c r="R44" s="673" t="s">
        <v>17</v>
      </c>
      <c r="S44" s="674">
        <f t="shared" si="9"/>
        <v>102</v>
      </c>
      <c r="T44" s="673" t="s">
        <v>17</v>
      </c>
      <c r="U44" s="674">
        <f t="shared" si="10"/>
        <v>102</v>
      </c>
      <c r="V44" s="673" t="s">
        <v>17</v>
      </c>
      <c r="W44" s="674">
        <f t="shared" si="11"/>
        <v>102</v>
      </c>
      <c r="X44" s="675"/>
      <c r="Y44" s="3264"/>
      <c r="Z44" s="3004" t="str">
        <f t="shared" si="12"/>
        <v>设备设施</v>
      </c>
      <c r="AA44" s="3004">
        <f t="shared" si="3"/>
        <v>0.98039215686274506</v>
      </c>
      <c r="AB44" s="3004">
        <f t="shared" si="4"/>
        <v>0.98039215686274506</v>
      </c>
      <c r="AC44" s="3004">
        <f t="shared" si="5"/>
        <v>0.98039215686274506</v>
      </c>
    </row>
    <row r="45" spans="1:29" ht="15">
      <c r="A45" s="417"/>
      <c r="B45" s="3018" t="s">
        <v>3298</v>
      </c>
      <c r="C45" s="381">
        <v>2012</v>
      </c>
      <c r="D45" s="382">
        <v>100</v>
      </c>
      <c r="E45" s="381"/>
      <c r="F45" s="3009">
        <f>SUMIF(128:128,E45,129:129)-SUMIF(128:128,C45,129:129)+100</f>
        <v>100</v>
      </c>
      <c r="G45" s="381">
        <v>2018</v>
      </c>
      <c r="H45" s="382">
        <f>SUMIF(128:128,G45,129:129)-SUMIF(128:128,C45,129:129)+100</f>
        <v>100</v>
      </c>
      <c r="I45" s="381">
        <f>G45</f>
        <v>2018</v>
      </c>
      <c r="J45" s="382">
        <f>SUMIF(128:128,I45,129:129)-SUMIF(128:128,C45,129:129)+100</f>
        <v>100</v>
      </c>
      <c r="K45" s="547"/>
      <c r="L45" s="2659"/>
      <c r="M45" s="2654"/>
      <c r="N45" s="2654"/>
      <c r="O45" s="2654"/>
      <c r="P45" s="3262"/>
      <c r="Q45" s="3007" t="str">
        <f t="shared" si="8"/>
        <v>竣工</v>
      </c>
      <c r="R45" s="676" t="s">
        <v>17</v>
      </c>
      <c r="S45" s="677">
        <f t="shared" si="9"/>
        <v>100</v>
      </c>
      <c r="T45" s="676" t="s">
        <v>17</v>
      </c>
      <c r="U45" s="677">
        <f t="shared" si="10"/>
        <v>100</v>
      </c>
      <c r="V45" s="676" t="s">
        <v>17</v>
      </c>
      <c r="W45" s="677">
        <f t="shared" si="11"/>
        <v>100</v>
      </c>
      <c r="X45" s="3012"/>
      <c r="Y45" s="3264"/>
      <c r="Z45" s="3008" t="str">
        <f t="shared" si="12"/>
        <v>竣工</v>
      </c>
      <c r="AA45" s="3008">
        <f t="shared" si="3"/>
        <v>1</v>
      </c>
      <c r="AB45" s="3008">
        <f t="shared" si="4"/>
        <v>1</v>
      </c>
      <c r="AC45" s="3008">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63"/>
      <c r="Q46" s="3007">
        <f t="shared" si="8"/>
        <v>111</v>
      </c>
      <c r="R46" s="676" t="s">
        <v>17</v>
      </c>
      <c r="S46" s="677">
        <f t="shared" si="9"/>
        <v>100</v>
      </c>
      <c r="T46" s="676" t="s">
        <v>17</v>
      </c>
      <c r="U46" s="677">
        <f t="shared" si="10"/>
        <v>100</v>
      </c>
      <c r="V46" s="676" t="s">
        <v>17</v>
      </c>
      <c r="W46" s="677">
        <f t="shared" si="11"/>
        <v>100</v>
      </c>
      <c r="X46" s="3012"/>
      <c r="Y46" s="3265"/>
      <c r="Z46" s="3008">
        <f t="shared" si="12"/>
        <v>111</v>
      </c>
      <c r="AA46" s="3008">
        <f t="shared" si="3"/>
        <v>1</v>
      </c>
      <c r="AB46" s="3008">
        <f t="shared" si="4"/>
        <v>1</v>
      </c>
      <c r="AC46" s="3008">
        <f t="shared" si="5"/>
        <v>1</v>
      </c>
    </row>
    <row r="47" spans="1:29" ht="15">
      <c r="A47" s="424" t="s">
        <v>2156</v>
      </c>
      <c r="B47" s="425"/>
      <c r="C47" s="1191" t="s">
        <v>1</v>
      </c>
      <c r="D47" s="426"/>
      <c r="E47" s="427">
        <v>78466</v>
      </c>
      <c r="F47" s="428"/>
      <c r="G47" s="429">
        <v>78984</v>
      </c>
      <c r="H47" s="430"/>
      <c r="I47" s="427">
        <v>68452</v>
      </c>
      <c r="J47" s="430"/>
      <c r="K47" s="683"/>
      <c r="L47" s="2661"/>
      <c r="M47" s="2654"/>
      <c r="N47" s="2654"/>
      <c r="O47" s="2654"/>
      <c r="P47" s="3266" t="str">
        <f>A47</f>
        <v>成交单价（元/平方米）</v>
      </c>
      <c r="Q47" s="3266"/>
      <c r="R47" s="3252">
        <f>E47</f>
        <v>78466</v>
      </c>
      <c r="S47" s="3252"/>
      <c r="T47" s="3252">
        <f>G47</f>
        <v>78984</v>
      </c>
      <c r="U47" s="3252"/>
      <c r="V47" s="3252">
        <f>I47</f>
        <v>68452</v>
      </c>
      <c r="W47" s="3252"/>
      <c r="X47" s="393"/>
      <c r="Y47" s="682"/>
      <c r="Z47" s="393"/>
      <c r="AA47" s="393"/>
      <c r="AB47" s="393"/>
      <c r="AC47" s="393"/>
    </row>
    <row r="48" spans="1:29" ht="15.75" thickBot="1">
      <c r="A48" s="431" t="s">
        <v>2157</v>
      </c>
      <c r="B48" s="432"/>
      <c r="C48" s="1192">
        <f>R49</f>
        <v>69944</v>
      </c>
      <c r="D48" s="2301" t="s">
        <v>2638</v>
      </c>
      <c r="E48" s="1193">
        <f>R48</f>
        <v>73456</v>
      </c>
      <c r="F48" s="2302"/>
      <c r="G48" s="1192">
        <f>T48</f>
        <v>72387</v>
      </c>
      <c r="H48" s="2302"/>
      <c r="I48" s="1193">
        <f>V48</f>
        <v>63989</v>
      </c>
      <c r="J48" s="2302"/>
      <c r="K48" s="2304">
        <f>F48+H48+J48</f>
        <v>0</v>
      </c>
      <c r="L48" s="2661"/>
      <c r="M48" s="2654"/>
      <c r="N48" s="2654"/>
      <c r="O48" s="2654"/>
      <c r="P48" s="3266" t="str">
        <f>A48</f>
        <v>比较价值（元/平方米）</v>
      </c>
      <c r="Q48" s="3266"/>
      <c r="R48" s="3252">
        <f>IF(F1="售价",ROUND(PRODUCT(R47,AA7:AA46),0),ROUND(PRODUCT(R47,AA7:AA46),1))</f>
        <v>73456</v>
      </c>
      <c r="S48" s="3252"/>
      <c r="T48" s="3252">
        <f>IF(F1="售价",ROUND(PRODUCT(T47,AB7:AB46),0),ROUND(PRODUCT(T47,AB7:AB46),1))</f>
        <v>72387</v>
      </c>
      <c r="U48" s="3252"/>
      <c r="V48" s="3252">
        <f>IF(F1="售价",ROUND(PRODUCT(V47,AC7:AC46),0),ROUND(PRODUCT(V47,AC7:AC46),1))</f>
        <v>63989</v>
      </c>
      <c r="W48" s="3252"/>
      <c r="X48" s="393"/>
      <c r="Y48" s="393"/>
      <c r="Z48" s="393"/>
      <c r="AA48" s="393"/>
      <c r="AB48" s="393"/>
      <c r="AC48" s="393"/>
    </row>
    <row r="49" spans="1:29" ht="15.75" thickBot="1">
      <c r="A49" s="435" t="s">
        <v>2158</v>
      </c>
      <c r="B49" s="436"/>
      <c r="C49" s="357">
        <f>R49</f>
        <v>69944</v>
      </c>
      <c r="D49" s="357"/>
      <c r="E49" s="357"/>
      <c r="F49" s="357"/>
      <c r="G49" s="357"/>
      <c r="H49" s="357"/>
      <c r="I49" s="357"/>
      <c r="J49" s="357"/>
      <c r="K49" s="684"/>
      <c r="L49" s="2661"/>
      <c r="M49" s="2654"/>
      <c r="N49" s="2654"/>
      <c r="O49" s="2654"/>
      <c r="P49" s="3267" t="str">
        <f>A49</f>
        <v>估价对象XX用房的比较价值（楼面单价，元/平方米）</v>
      </c>
      <c r="Q49" s="3268"/>
      <c r="R49" s="3269">
        <f>IF(F1="售价",ROUND(IF(D48="简单平均",AVERAGE(R48:V48),R48*F48+T48*H48+V48*J48),0),ROUND(IF(D48="简单平均",AVERAGE(R48:V48),R48*F48+T48*H48+V48*J48),1))</f>
        <v>69944</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6.8204094968416396E-2</v>
      </c>
      <c r="F52" s="443" t="str">
        <f>IF(OR(E52&gt;=0.3,E52&lt;=-0.3),"超过30%","")</f>
        <v/>
      </c>
      <c r="G52" s="442">
        <f>IF(G47&lt;G48,G48/G47-1,G47/G48-1)</f>
        <v>9.1135148576401814E-2</v>
      </c>
      <c r="H52" s="443" t="str">
        <f>IF(OR(G52&gt;=0.3,G52&lt;=-0.3),"超过30%","")</f>
        <v/>
      </c>
      <c r="I52" s="442">
        <f>IF(I47&lt;I48,I48/I47-1,I47/I48-1)</f>
        <v>6.9746362656081473E-2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1.4767845055051243E-2</v>
      </c>
      <c r="F53" s="443" t="str">
        <f>IF(OR(E53&gt;=0.2,E53&lt;=-0.2),"超过20%","")</f>
        <v/>
      </c>
      <c r="G53" s="442">
        <f>IF(G48&lt;I48,I48/G48-1,G48/I48-1)</f>
        <v>0.13124130709965764</v>
      </c>
      <c r="H53" s="443" t="str">
        <f>IF(OR(G53&gt;=0.2,G53&lt;=-0.2),"超过20%","")</f>
        <v/>
      </c>
      <c r="I53" s="442">
        <f>IF(I48&lt;E48,E48/I48-1,I48/E48-1)</f>
        <v>0.14794730344277918</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6.6015854000458507E-3</v>
      </c>
      <c r="F54" s="443" t="str">
        <f>IF(OR(E54&gt;=0.3,E54&lt;=-0.3),"超过30%","")</f>
        <v/>
      </c>
      <c r="G54" s="442">
        <f>IF(G47&lt;I47,I47/G47-1,G47/I47-1)</f>
        <v>0.15385963887103382</v>
      </c>
      <c r="H54" s="443" t="str">
        <f>IF(OR(G54&gt;=0.3,G54&lt;=-0.3),"超过30%","")</f>
        <v/>
      </c>
      <c r="I54" s="442">
        <f>IF(I47&lt;E47,E47/I47-1,I47/E47-1)</f>
        <v>0.14629229240927955</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2022-12</v>
      </c>
      <c r="D58" s="1214">
        <f>EDATE(C58,-1)</f>
        <v>44866</v>
      </c>
      <c r="E58" s="1214">
        <f t="shared" ref="E58:N58" si="13">EDATE(D58,-1)</f>
        <v>44835</v>
      </c>
      <c r="F58" s="1214">
        <f t="shared" si="13"/>
        <v>44805</v>
      </c>
      <c r="G58" s="1214">
        <f t="shared" si="13"/>
        <v>44774</v>
      </c>
      <c r="H58" s="1214">
        <f t="shared" si="13"/>
        <v>44743</v>
      </c>
      <c r="I58" s="1214">
        <f t="shared" si="13"/>
        <v>44713</v>
      </c>
      <c r="J58" s="1214">
        <f t="shared" si="13"/>
        <v>44682</v>
      </c>
      <c r="K58" s="1214">
        <f t="shared" si="13"/>
        <v>44652</v>
      </c>
      <c r="L58" s="1214">
        <f t="shared" si="13"/>
        <v>44621</v>
      </c>
      <c r="M58" s="1214">
        <f t="shared" si="13"/>
        <v>44593</v>
      </c>
      <c r="N58" s="1214">
        <f t="shared" si="13"/>
        <v>44562</v>
      </c>
      <c r="O58" s="1214">
        <f>EDATE(N58,-1)</f>
        <v>44531</v>
      </c>
      <c r="P58" s="2676" t="s">
        <v>3280</v>
      </c>
      <c r="Q58" s="2677" t="s">
        <v>3281</v>
      </c>
      <c r="R58" s="2677" t="s">
        <v>3282</v>
      </c>
      <c r="S58" s="2677" t="s">
        <v>3283</v>
      </c>
      <c r="T58" s="2677" t="s">
        <v>3284</v>
      </c>
      <c r="U58" s="2677" t="s">
        <v>3285</v>
      </c>
      <c r="V58" s="2677" t="s">
        <v>3286</v>
      </c>
      <c r="W58" s="2677" t="s">
        <v>3287</v>
      </c>
      <c r="X58" s="2677" t="s">
        <v>3288</v>
      </c>
      <c r="Y58" s="2677" t="s">
        <v>3289</v>
      </c>
      <c r="Z58" s="2677" t="s">
        <v>3290</v>
      </c>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f>O59</f>
        <v>100</v>
      </c>
      <c r="Q59" s="2604">
        <f>O59</f>
        <v>100</v>
      </c>
      <c r="R59" s="2604">
        <f t="shared" ref="R59:Z59" si="14">Q59</f>
        <v>100</v>
      </c>
      <c r="S59" s="2604">
        <f t="shared" si="14"/>
        <v>100</v>
      </c>
      <c r="T59" s="2604">
        <f t="shared" si="14"/>
        <v>100</v>
      </c>
      <c r="U59" s="2604">
        <f t="shared" si="14"/>
        <v>100</v>
      </c>
      <c r="V59" s="2604">
        <f t="shared" si="14"/>
        <v>100</v>
      </c>
      <c r="W59" s="2604">
        <f t="shared" si="14"/>
        <v>100</v>
      </c>
      <c r="X59" s="2604">
        <f t="shared" si="14"/>
        <v>100</v>
      </c>
      <c r="Y59" s="2604">
        <f t="shared" si="14"/>
        <v>100</v>
      </c>
      <c r="Z59" s="2604">
        <f t="shared" si="14"/>
        <v>100</v>
      </c>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3017"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5">D68&amp;"（含）"&amp;"-"&amp;E68</f>
        <v>6（含）-</v>
      </c>
      <c r="E67" s="486" t="str">
        <f t="shared" si="15"/>
        <v>（含）-</v>
      </c>
      <c r="F67" s="486" t="str">
        <f t="shared" si="15"/>
        <v>（含）-</v>
      </c>
      <c r="G67" s="486" t="str">
        <f t="shared" si="15"/>
        <v>（含）-</v>
      </c>
      <c r="H67" s="486" t="str">
        <f t="shared" si="15"/>
        <v>（含）-</v>
      </c>
      <c r="I67" s="486" t="str">
        <f t="shared" si="15"/>
        <v>（含）-</v>
      </c>
      <c r="J67" s="486" t="str">
        <f t="shared" si="15"/>
        <v>（含）-</v>
      </c>
      <c r="K67" s="486" t="str">
        <f t="shared" si="15"/>
        <v>（含）-</v>
      </c>
      <c r="L67" s="486" t="str">
        <f t="shared" si="15"/>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6">C69-$K11</f>
        <v>100</v>
      </c>
      <c r="E69" s="483">
        <f t="shared" si="16"/>
        <v>100</v>
      </c>
      <c r="F69" s="483">
        <f t="shared" si="16"/>
        <v>100</v>
      </c>
      <c r="G69" s="483">
        <f t="shared" si="16"/>
        <v>100</v>
      </c>
      <c r="H69" s="483">
        <f t="shared" si="16"/>
        <v>100</v>
      </c>
      <c r="I69" s="483">
        <f t="shared" si="16"/>
        <v>100</v>
      </c>
      <c r="J69" s="483">
        <f t="shared" si="16"/>
        <v>100</v>
      </c>
      <c r="K69" s="483">
        <f t="shared" si="16"/>
        <v>100</v>
      </c>
      <c r="L69" s="483">
        <f t="shared" si="16"/>
        <v>100</v>
      </c>
      <c r="M69" s="484">
        <f t="shared" si="16"/>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3017"/>
      <c r="I76" s="3017"/>
      <c r="J76" s="3017"/>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3011" t="s">
        <v>2254</v>
      </c>
      <c r="D82" s="3011" t="s">
        <v>2255</v>
      </c>
      <c r="E82" s="3011" t="s">
        <v>2256</v>
      </c>
      <c r="F82" s="3011" t="s">
        <v>2257</v>
      </c>
      <c r="G82" s="3011"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3011"/>
      <c r="I83" s="3011"/>
      <c r="J83" s="3011"/>
      <c r="K83" s="3011"/>
      <c r="L83" s="3011"/>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3224</v>
      </c>
      <c r="D86" s="2965" t="s">
        <v>3226</v>
      </c>
      <c r="E86" s="2965" t="s">
        <v>3230</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7">C87-$K25</f>
        <v>98</v>
      </c>
      <c r="E87" s="483">
        <f t="shared" si="17"/>
        <v>96</v>
      </c>
      <c r="F87" s="483">
        <f t="shared" si="17"/>
        <v>94</v>
      </c>
      <c r="G87" s="483">
        <f t="shared" si="17"/>
        <v>92</v>
      </c>
      <c r="H87" s="483">
        <f t="shared" si="17"/>
        <v>90</v>
      </c>
      <c r="I87" s="483">
        <f t="shared" si="17"/>
        <v>88</v>
      </c>
      <c r="J87" s="483">
        <f t="shared" si="17"/>
        <v>86</v>
      </c>
      <c r="K87" s="483">
        <f t="shared" si="17"/>
        <v>84</v>
      </c>
      <c r="L87" s="483">
        <f t="shared" si="17"/>
        <v>82</v>
      </c>
      <c r="M87" s="483">
        <f t="shared" si="17"/>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3231</v>
      </c>
      <c r="D88" s="2965" t="s">
        <v>3200</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97</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3198</v>
      </c>
      <c r="D90" s="2965" t="s">
        <v>3200</v>
      </c>
      <c r="E90" s="2965" t="s">
        <v>3201</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93</v>
      </c>
      <c r="E91" s="483">
        <f t="shared" ref="E91:M91" si="18">D91-$K27</f>
        <v>86</v>
      </c>
      <c r="F91" s="483">
        <f t="shared" si="18"/>
        <v>79</v>
      </c>
      <c r="G91" s="483">
        <f t="shared" si="18"/>
        <v>72</v>
      </c>
      <c r="H91" s="483">
        <f t="shared" si="18"/>
        <v>65</v>
      </c>
      <c r="I91" s="483">
        <f t="shared" si="18"/>
        <v>58</v>
      </c>
      <c r="J91" s="483">
        <f t="shared" si="18"/>
        <v>51</v>
      </c>
      <c r="K91" s="483">
        <f t="shared" si="18"/>
        <v>44</v>
      </c>
      <c r="L91" s="483">
        <f t="shared" si="18"/>
        <v>37</v>
      </c>
      <c r="M91" s="483">
        <f t="shared" si="18"/>
        <v>30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3202</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3206</v>
      </c>
      <c r="D100" s="2967" t="s">
        <v>3207</v>
      </c>
      <c r="E100" s="2967" t="s">
        <v>3204</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9">C101-$K32</f>
        <v>98</v>
      </c>
      <c r="E101" s="483">
        <f t="shared" si="19"/>
        <v>96</v>
      </c>
      <c r="F101" s="483">
        <f t="shared" si="19"/>
        <v>94</v>
      </c>
      <c r="G101" s="483">
        <f t="shared" si="19"/>
        <v>92</v>
      </c>
      <c r="H101" s="483">
        <f t="shared" si="19"/>
        <v>90</v>
      </c>
      <c r="I101" s="483">
        <f t="shared" si="19"/>
        <v>88</v>
      </c>
      <c r="J101" s="483">
        <f t="shared" si="19"/>
        <v>86</v>
      </c>
      <c r="K101" s="483">
        <f t="shared" si="19"/>
        <v>84</v>
      </c>
      <c r="L101" s="483">
        <f t="shared" si="19"/>
        <v>82</v>
      </c>
      <c r="M101" s="484">
        <f t="shared" si="19"/>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20">D103&amp;"(含)"&amp;"-"&amp;E103</f>
        <v>100(含)-500</v>
      </c>
      <c r="E102" s="517" t="str">
        <f t="shared" si="20"/>
        <v>500(含)-</v>
      </c>
      <c r="F102" s="517" t="str">
        <f t="shared" si="20"/>
        <v>(含)-</v>
      </c>
      <c r="G102" s="517" t="str">
        <f t="shared" si="20"/>
        <v>(含)-</v>
      </c>
      <c r="H102" s="517" t="str">
        <f t="shared" si="20"/>
        <v>(含)-</v>
      </c>
      <c r="I102" s="517" t="str">
        <f t="shared" si="20"/>
        <v>(含)-</v>
      </c>
      <c r="J102" s="517" t="str">
        <f t="shared" si="20"/>
        <v>(含)-</v>
      </c>
      <c r="K102" s="517" t="str">
        <f t="shared" si="20"/>
        <v>(含)-</v>
      </c>
      <c r="L102" s="517" t="str">
        <f t="shared" si="20"/>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500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v>92</v>
      </c>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3209</v>
      </c>
      <c r="D105" s="2965" t="s">
        <v>3210</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1">C106-$K34</f>
        <v>100</v>
      </c>
      <c r="E106" s="483">
        <f t="shared" si="21"/>
        <v>100</v>
      </c>
      <c r="F106" s="483">
        <f t="shared" si="21"/>
        <v>100</v>
      </c>
      <c r="G106" s="483">
        <f t="shared" si="21"/>
        <v>100</v>
      </c>
      <c r="H106" s="483">
        <f t="shared" si="21"/>
        <v>100</v>
      </c>
      <c r="I106" s="483">
        <f t="shared" si="21"/>
        <v>100</v>
      </c>
      <c r="J106" s="483">
        <f t="shared" si="21"/>
        <v>100</v>
      </c>
      <c r="K106" s="483">
        <f t="shared" si="21"/>
        <v>100</v>
      </c>
      <c r="L106" s="483">
        <f t="shared" si="21"/>
        <v>100</v>
      </c>
      <c r="M106" s="484">
        <f t="shared" si="21"/>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3212</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2">C108-$K35</f>
        <v>100</v>
      </c>
      <c r="E108" s="483">
        <f t="shared" si="22"/>
        <v>100</v>
      </c>
      <c r="F108" s="483">
        <f t="shared" si="22"/>
        <v>100</v>
      </c>
      <c r="G108" s="483">
        <f t="shared" si="22"/>
        <v>100</v>
      </c>
      <c r="H108" s="483">
        <f t="shared" si="22"/>
        <v>100</v>
      </c>
      <c r="I108" s="483">
        <f t="shared" si="22"/>
        <v>100</v>
      </c>
      <c r="J108" s="483">
        <f t="shared" si="22"/>
        <v>100</v>
      </c>
      <c r="K108" s="483">
        <f t="shared" si="22"/>
        <v>100</v>
      </c>
      <c r="L108" s="483">
        <f t="shared" si="22"/>
        <v>100</v>
      </c>
      <c r="M108" s="484">
        <f t="shared" si="22"/>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3005">
        <v>0.5</v>
      </c>
      <c r="D110" s="3005">
        <v>0.6</v>
      </c>
      <c r="E110" s="3005">
        <v>0.7</v>
      </c>
      <c r="F110" s="3005">
        <v>0.8</v>
      </c>
      <c r="G110" s="3005">
        <v>0.9</v>
      </c>
      <c r="H110" s="3005">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106</v>
      </c>
      <c r="E111" s="483">
        <f t="shared" ref="E111:M111" si="23">D111+$K36</f>
        <v>112</v>
      </c>
      <c r="F111" s="483">
        <f t="shared" si="23"/>
        <v>118</v>
      </c>
      <c r="G111" s="483">
        <f t="shared" si="23"/>
        <v>124</v>
      </c>
      <c r="H111" s="483">
        <f t="shared" si="23"/>
        <v>130</v>
      </c>
      <c r="I111" s="483">
        <f t="shared" si="23"/>
        <v>136</v>
      </c>
      <c r="J111" s="483">
        <f t="shared" si="23"/>
        <v>142</v>
      </c>
      <c r="K111" s="483">
        <f t="shared" si="23"/>
        <v>148</v>
      </c>
      <c r="L111" s="483">
        <f t="shared" si="23"/>
        <v>154</v>
      </c>
      <c r="M111" s="483">
        <f t="shared" si="23"/>
        <v>160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3213</v>
      </c>
      <c r="D112" s="2965" t="s">
        <v>3214</v>
      </c>
      <c r="E112" s="2965" t="s">
        <v>3215</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4">D113-$K37</f>
        <v>100</v>
      </c>
      <c r="F113" s="483">
        <f t="shared" si="24"/>
        <v>100</v>
      </c>
      <c r="G113" s="483">
        <f t="shared" si="24"/>
        <v>100</v>
      </c>
      <c r="H113" s="483">
        <f t="shared" si="24"/>
        <v>100</v>
      </c>
      <c r="I113" s="483">
        <f t="shared" si="24"/>
        <v>100</v>
      </c>
      <c r="J113" s="483">
        <f t="shared" si="24"/>
        <v>100</v>
      </c>
      <c r="K113" s="483">
        <f t="shared" si="24"/>
        <v>100</v>
      </c>
      <c r="L113" s="483">
        <f t="shared" si="24"/>
        <v>100</v>
      </c>
      <c r="M113" s="483">
        <f t="shared" si="24"/>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3301</v>
      </c>
      <c r="D114" s="2965" t="s">
        <v>3303</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5">C115-$K38</f>
        <v>100</v>
      </c>
      <c r="E115" s="483">
        <f t="shared" si="25"/>
        <v>100</v>
      </c>
      <c r="F115" s="483">
        <f t="shared" si="25"/>
        <v>100</v>
      </c>
      <c r="G115" s="483">
        <f t="shared" si="25"/>
        <v>100</v>
      </c>
      <c r="H115" s="483">
        <f t="shared" si="25"/>
        <v>100</v>
      </c>
      <c r="I115" s="483">
        <f t="shared" si="25"/>
        <v>100</v>
      </c>
      <c r="J115" s="483">
        <f t="shared" si="25"/>
        <v>100</v>
      </c>
      <c r="K115" s="483">
        <f t="shared" si="25"/>
        <v>100</v>
      </c>
      <c r="L115" s="483">
        <f t="shared" si="25"/>
        <v>100</v>
      </c>
      <c r="M115" s="484">
        <f t="shared" si="25"/>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3218</v>
      </c>
      <c r="D116" s="2965" t="s">
        <v>3217</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6">D121-$K41</f>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3212</v>
      </c>
      <c r="D122" s="2965" t="s">
        <v>3220</v>
      </c>
      <c r="E122" s="2965" t="s">
        <v>3222</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7">C123-$K42</f>
        <v>98</v>
      </c>
      <c r="E123" s="483">
        <f t="shared" si="27"/>
        <v>96</v>
      </c>
      <c r="F123" s="483">
        <f t="shared" si="27"/>
        <v>94</v>
      </c>
      <c r="G123" s="483">
        <f t="shared" si="27"/>
        <v>92</v>
      </c>
      <c r="H123" s="483">
        <f t="shared" si="27"/>
        <v>90</v>
      </c>
      <c r="I123" s="483">
        <f t="shared" si="27"/>
        <v>88</v>
      </c>
      <c r="J123" s="483">
        <f t="shared" si="27"/>
        <v>86</v>
      </c>
      <c r="K123" s="483">
        <f t="shared" si="27"/>
        <v>84</v>
      </c>
      <c r="L123" s="483">
        <f t="shared" si="27"/>
        <v>82</v>
      </c>
      <c r="M123" s="484">
        <f t="shared" si="27"/>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29.25" thickTop="1">
      <c r="A126" s="414"/>
      <c r="B126" s="477" t="str">
        <f>B44</f>
        <v>设备设施</v>
      </c>
      <c r="C126" s="493" t="str">
        <f>C44</f>
        <v>较完备</v>
      </c>
      <c r="D126" s="493" t="str">
        <f>E44</f>
        <v>完备（中央空调、新风）</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t="str">
        <f>B45</f>
        <v>竣工</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40" priority="20" stopIfTrue="1" operator="containsText" text="超过">
      <formula>NOT(ISERROR(SEARCH("超过",F52)))</formula>
    </cfRule>
  </conditionalFormatting>
  <conditionalFormatting sqref="H54">
    <cfRule type="containsText" dxfId="239" priority="19" stopIfTrue="1" operator="containsText" text="超过">
      <formula>NOT(ISERROR(SEARCH("超过",H54)))</formula>
    </cfRule>
  </conditionalFormatting>
  <conditionalFormatting sqref="F54">
    <cfRule type="containsText" dxfId="238" priority="18" stopIfTrue="1" operator="containsText" text="超过">
      <formula>NOT(ISERROR(SEARCH("超过",F54)))</formula>
    </cfRule>
  </conditionalFormatting>
  <conditionalFormatting sqref="F53 H53">
    <cfRule type="containsText" dxfId="237" priority="17" stopIfTrue="1" operator="containsText" text="超过">
      <formula>NOT(ISERROR(SEARCH("超过",F53)))</formula>
    </cfRule>
  </conditionalFormatting>
  <conditionalFormatting sqref="E52">
    <cfRule type="expression" dxfId="236" priority="16" stopIfTrue="1">
      <formula>$F$52="超过30%"</formula>
    </cfRule>
  </conditionalFormatting>
  <conditionalFormatting sqref="E53">
    <cfRule type="expression" dxfId="235" priority="15" stopIfTrue="1">
      <formula>$F$53="超过20%"</formula>
    </cfRule>
  </conditionalFormatting>
  <conditionalFormatting sqref="E54">
    <cfRule type="expression" dxfId="234" priority="14" stopIfTrue="1">
      <formula>$F$54="超过30%"</formula>
    </cfRule>
  </conditionalFormatting>
  <conditionalFormatting sqref="G54">
    <cfRule type="expression" dxfId="233" priority="13" stopIfTrue="1">
      <formula>$H$54="超过30%"</formula>
    </cfRule>
  </conditionalFormatting>
  <conditionalFormatting sqref="G52">
    <cfRule type="expression" dxfId="232" priority="12" stopIfTrue="1">
      <formula>$H$52="超过30%"</formula>
    </cfRule>
  </conditionalFormatting>
  <conditionalFormatting sqref="G53">
    <cfRule type="expression" dxfId="231" priority="11" stopIfTrue="1">
      <formula>$H$53="超过20%"</formula>
    </cfRule>
  </conditionalFormatting>
  <conditionalFormatting sqref="J52">
    <cfRule type="containsText" dxfId="230" priority="10" stopIfTrue="1" operator="containsText" text="超过">
      <formula>NOT(ISERROR(SEARCH("超过",J52)))</formula>
    </cfRule>
  </conditionalFormatting>
  <conditionalFormatting sqref="J54">
    <cfRule type="containsText" dxfId="229" priority="9" stopIfTrue="1" operator="containsText" text="超过">
      <formula>NOT(ISERROR(SEARCH("超过",J54)))</formula>
    </cfRule>
  </conditionalFormatting>
  <conditionalFormatting sqref="J53">
    <cfRule type="containsText" dxfId="228" priority="8" stopIfTrue="1" operator="containsText" text="超过">
      <formula>NOT(ISERROR(SEARCH("超过",J53)))</formula>
    </cfRule>
  </conditionalFormatting>
  <conditionalFormatting sqref="I52">
    <cfRule type="expression" dxfId="227" priority="7" stopIfTrue="1">
      <formula>$J$52="超过30%"</formula>
    </cfRule>
  </conditionalFormatting>
  <conditionalFormatting sqref="I53">
    <cfRule type="expression" dxfId="226" priority="6" stopIfTrue="1">
      <formula>$J$53="超过20%"</formula>
    </cfRule>
  </conditionalFormatting>
  <conditionalFormatting sqref="I54">
    <cfRule type="expression" dxfId="225" priority="5" stopIfTrue="1">
      <formula>$J$54="超过30%"</formula>
    </cfRule>
  </conditionalFormatting>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F7:F46 H7:H46 J7:J46">
    <cfRule type="cellIs" dxfId="221" priority="1" operator="notEqual">
      <formula>100</formula>
    </cfRule>
  </conditionalFormatting>
  <dataValidations count="25">
    <dataValidation type="list" allowBlank="1" showInputMessage="1" showErrorMessage="1" sqref="D48" xr:uid="{00000000-0002-0000-1700-000000000000}">
      <formula1>"简单平均,加权平均"</formula1>
    </dataValidation>
    <dataValidation type="list" allowBlank="1" showInputMessage="1" showErrorMessage="1" sqref="F2" xr:uid="{00000000-0002-0000-1700-000001000000}">
      <formula1>估价方法</formula1>
    </dataValidation>
    <dataValidation type="list" allowBlank="1" showInputMessage="1" showErrorMessage="1" sqref="C2" xr:uid="{00000000-0002-0000-1700-000002000000}">
      <formula1>"需扣减承租人权益,——"</formula1>
    </dataValidation>
    <dataValidation type="list" allowBlank="1" showInputMessage="1" showErrorMessage="1" sqref="F1" xr:uid="{00000000-0002-0000-1700-000003000000}">
      <formula1>"售价,租金"</formula1>
    </dataValidation>
    <dataValidation type="list" allowBlank="1" showInputMessage="1" showErrorMessage="1" sqref="C22 E22 G22 I22" xr:uid="{00000000-0002-0000-1700-000004000000}">
      <formula1>基础设施水平</formula1>
    </dataValidation>
    <dataValidation type="list" allowBlank="1" showInputMessage="1" showErrorMessage="1" sqref="C16 E16 G16 I16" xr:uid="{00000000-0002-0000-1700-000005000000}">
      <formula1>商业繁华度</formula1>
    </dataValidation>
    <dataValidation type="list" allowBlank="1" showInputMessage="1" showErrorMessage="1" sqref="C8 E8 G8 I8" xr:uid="{00000000-0002-0000-1700-000006000000}">
      <formula1>商业交易情况</formula1>
    </dataValidation>
    <dataValidation type="list" allowBlank="1" showInputMessage="1" showErrorMessage="1" sqref="C39 E39 G39 I39" xr:uid="{00000000-0002-0000-1700-000007000000}">
      <formula1>商业层高</formula1>
    </dataValidation>
    <dataValidation type="list" allowBlank="1" showInputMessage="1" showErrorMessage="1" sqref="C38 E38 G38 I38" xr:uid="{00000000-0002-0000-1700-000008000000}">
      <formula1>商业业态</formula1>
    </dataValidation>
    <dataValidation type="list" allowBlank="1" showInputMessage="1" showErrorMessage="1" sqref="E9 G9 I9" xr:uid="{00000000-0002-0000-1700-000009000000}">
      <formula1>商业用途</formula1>
    </dataValidation>
    <dataValidation type="list" allowBlank="1" showInputMessage="1" showErrorMessage="1" sqref="C42 E42 G42 I42" xr:uid="{00000000-0002-0000-1700-00000A000000}">
      <formula1>商业内部装修</formula1>
    </dataValidation>
    <dataValidation type="list" allowBlank="1" showInputMessage="1" showErrorMessage="1" sqref="C41 E41 G41 I41" xr:uid="{00000000-0002-0000-1700-00000B000000}">
      <formula1>商业进深比</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35 E35 G35 I35" xr:uid="{00000000-0002-0000-1700-00000D000000}">
      <formula1>商业公共部分装修</formula1>
    </dataValidation>
    <dataValidation type="list" allowBlank="1" showInputMessage="1" showErrorMessage="1" sqref="C34 E34 G34 I34" xr:uid="{00000000-0002-0000-1700-00000E000000}">
      <formula1>商业建筑结构</formula1>
    </dataValidation>
    <dataValidation type="list" allowBlank="1" showInputMessage="1" showErrorMessage="1" sqref="C32 E32 G32 I32" xr:uid="{00000000-0002-0000-1700-00000F000000}">
      <formula1>商业类型</formula1>
    </dataValidation>
    <dataValidation type="list" allowBlank="1" showInputMessage="1" showErrorMessage="1" sqref="C28 E28 G28 I28" xr:uid="{00000000-0002-0000-1700-000010000000}">
      <formula1>商业楼层</formula1>
    </dataValidation>
    <dataValidation type="list" allowBlank="1" showInputMessage="1" showErrorMessage="1" sqref="C27 E27 G27 I27" xr:uid="{00000000-0002-0000-1700-000011000000}">
      <formula1>商业人流量</formula1>
    </dataValidation>
    <dataValidation type="list" allowBlank="1" showInputMessage="1" showErrorMessage="1" sqref="C25 E25 G25 I25" xr:uid="{00000000-0002-0000-1700-000012000000}">
      <formula1>商业临街状况</formula1>
    </dataValidation>
    <dataValidation type="list" allowBlank="1" showInputMessage="1" showErrorMessage="1" sqref="E24 G24 I24 C24" xr:uid="{00000000-0002-0000-1700-000013000000}">
      <formula1>环境</formula1>
    </dataValidation>
    <dataValidation type="list" allowBlank="1" showInputMessage="1" showErrorMessage="1" sqref="E18 G18 I18 C18" xr:uid="{00000000-0002-0000-1700-000014000000}">
      <formula1>交通便捷度</formula1>
    </dataValidation>
    <dataValidation type="list" allowBlank="1" showInputMessage="1" showErrorMessage="1" sqref="E20 I20 G20 C20" xr:uid="{00000000-0002-0000-1700-000015000000}">
      <formula1>公共配套设施</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1" xr:uid="{00000000-0002-0000-1700-000017000000}">
      <formula1>项目类型</formula1>
    </dataValidation>
    <dataValidation type="list" allowBlank="1" showInputMessage="1" showErrorMessage="1" sqref="C10 E10 G10 I10" xr:uid="{00000000-0002-0000-17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1:M51"/>
  <sheetViews>
    <sheetView tabSelected="1" topLeftCell="B1" zoomScale="120" zoomScaleNormal="120" workbookViewId="0">
      <selection activeCell="E3" sqref="E3:E5"/>
    </sheetView>
  </sheetViews>
  <sheetFormatPr defaultRowHeight="13.5"/>
  <cols>
    <col min="1" max="1" width="19.875" style="757" customWidth="1"/>
    <col min="2" max="3" width="8.625" style="757" customWidth="1"/>
    <col min="4" max="4" width="9" style="757" customWidth="1"/>
    <col min="5" max="5" width="8.625" style="757" customWidth="1"/>
    <col min="6" max="6" width="9" style="757"/>
    <col min="7" max="7" width="9.5" style="757" customWidth="1"/>
    <col min="8" max="8" width="9" style="757"/>
  </cols>
  <sheetData>
    <row r="1" spans="1:13">
      <c r="A1" s="3271" t="s">
        <v>3239</v>
      </c>
      <c r="B1" s="3271"/>
      <c r="C1" s="3271"/>
      <c r="D1" s="3271"/>
      <c r="E1" s="3271"/>
      <c r="F1" s="3271"/>
      <c r="G1" s="3271"/>
    </row>
    <row r="2" spans="1:13">
      <c r="A2" s="2970" t="s">
        <v>3243</v>
      </c>
      <c r="B2" s="2970" t="s">
        <v>3240</v>
      </c>
      <c r="C2" s="2970" t="s">
        <v>3242</v>
      </c>
      <c r="D2" s="2970" t="s">
        <v>3241</v>
      </c>
      <c r="E2" s="2970" t="s">
        <v>3250</v>
      </c>
      <c r="F2" s="2970" t="s">
        <v>3244</v>
      </c>
      <c r="G2" s="2970" t="s">
        <v>3245</v>
      </c>
      <c r="H2" s="3002" t="s">
        <v>3271</v>
      </c>
    </row>
    <row r="3" spans="1:13">
      <c r="A3" s="3272" t="s">
        <v>3246</v>
      </c>
      <c r="B3" s="2970" t="s">
        <v>3247</v>
      </c>
      <c r="C3" s="3001">
        <f ca="1">成本法!B3</f>
        <v>60430</v>
      </c>
      <c r="D3" s="2971">
        <v>0.3</v>
      </c>
      <c r="E3" s="3273">
        <f ca="1">ROUND(C3*D3+C4*D4+C5*D5,0)</f>
        <v>64865</v>
      </c>
      <c r="F3" s="3274">
        <v>256</v>
      </c>
      <c r="G3" s="3275">
        <f ca="1">ROUND(E3*F3,0)</f>
        <v>16605440</v>
      </c>
      <c r="H3" s="3003">
        <v>0.2</v>
      </c>
      <c r="I3">
        <f ca="1">C3/C5</f>
        <v>1.2670091204528777</v>
      </c>
    </row>
    <row r="4" spans="1:13">
      <c r="A4" s="3272"/>
      <c r="B4" s="3006" t="s">
        <v>3291</v>
      </c>
      <c r="C4" s="3001">
        <f>'比较法-售价'!C49</f>
        <v>69944</v>
      </c>
      <c r="D4" s="2971">
        <v>0.6</v>
      </c>
      <c r="E4" s="3273"/>
      <c r="F4" s="3274"/>
      <c r="G4" s="3275"/>
      <c r="H4" s="3003"/>
    </row>
    <row r="5" spans="1:13">
      <c r="A5" s="3272"/>
      <c r="B5" s="2970" t="s">
        <v>3248</v>
      </c>
      <c r="C5" s="2970">
        <f ca="1">'收益法 (1层)'!B3</f>
        <v>47695</v>
      </c>
      <c r="D5" s="2971">
        <f>1-D3-D4</f>
        <v>9.9999999999999978E-2</v>
      </c>
      <c r="E5" s="3273"/>
      <c r="F5" s="3274"/>
      <c r="G5" s="3275"/>
      <c r="J5">
        <v>12.2</v>
      </c>
      <c r="K5">
        <v>47000</v>
      </c>
    </row>
    <row r="6" spans="1:13">
      <c r="A6" s="3272" t="s">
        <v>3249</v>
      </c>
      <c r="B6" s="2970" t="s">
        <v>3247</v>
      </c>
      <c r="C6" s="2970">
        <f ca="1">'成本法 (3层)'!B3</f>
        <v>39738</v>
      </c>
      <c r="D6" s="2971">
        <v>0.8</v>
      </c>
      <c r="E6" s="3275">
        <f ca="1">ROUND(C6*D6+C7*D7,0)</f>
        <v>37552</v>
      </c>
      <c r="F6" s="3275">
        <v>762</v>
      </c>
      <c r="G6" s="3275">
        <f ca="1">E6*F6</f>
        <v>28614624</v>
      </c>
      <c r="H6" s="3003">
        <v>0.1</v>
      </c>
      <c r="J6" s="2983">
        <v>8</v>
      </c>
      <c r="K6">
        <v>31000</v>
      </c>
      <c r="M6">
        <f>K6/K5</f>
        <v>0.65957446808510634</v>
      </c>
    </row>
    <row r="7" spans="1:13">
      <c r="A7" s="3272"/>
      <c r="B7" s="2970" t="s">
        <v>3248</v>
      </c>
      <c r="C7" s="2972">
        <f ca="1">'收益法 (3层)'!B3</f>
        <v>28806</v>
      </c>
      <c r="D7" s="2971">
        <f>1-D6</f>
        <v>0.19999999999999996</v>
      </c>
      <c r="E7" s="3275"/>
      <c r="F7" s="3275"/>
      <c r="G7" s="3275"/>
    </row>
    <row r="8" spans="1:13" ht="27" customHeight="1">
      <c r="A8" s="3272" t="s">
        <v>3256</v>
      </c>
      <c r="B8" s="3272"/>
      <c r="C8" s="3272"/>
      <c r="D8" s="3272"/>
      <c r="E8" s="3272"/>
      <c r="F8" s="3272"/>
      <c r="G8" s="2972">
        <f ca="1">G3+G6</f>
        <v>45220064</v>
      </c>
      <c r="J8" s="2983">
        <f>J6/J5</f>
        <v>0.65573770491803285</v>
      </c>
    </row>
    <row r="11" spans="1:13">
      <c r="D11" s="757">
        <v>0.6</v>
      </c>
      <c r="F11" s="757">
        <f ca="1">E6/E3</f>
        <v>0.57892546057195715</v>
      </c>
      <c r="H11" s="757">
        <v>58000</v>
      </c>
    </row>
    <row r="12" spans="1:13">
      <c r="C12" s="757">
        <f>'[2]基准地价修正（1层）'!$S$2</f>
        <v>1.5206</v>
      </c>
      <c r="D12" s="757">
        <f>ROUND(C13/C12,4)</f>
        <v>0.68600000000000005</v>
      </c>
    </row>
    <row r="13" spans="1:13">
      <c r="C13" s="757">
        <f>'[2]基准地价修正（1层）'!$S$4</f>
        <v>1.0430999999999999</v>
      </c>
    </row>
    <row r="15" spans="1:13">
      <c r="I15">
        <f>42000/59000</f>
        <v>0.71186440677966101</v>
      </c>
    </row>
    <row r="16" spans="1:13">
      <c r="B16" s="3025">
        <f>'比较法-租金2007'!C49</f>
        <v>7</v>
      </c>
      <c r="C16" s="3025">
        <f>'比较法-租金2012'!C49</f>
        <v>9</v>
      </c>
      <c r="D16" s="3025">
        <f>'比较法-租金2017'!C49</f>
        <v>11.7</v>
      </c>
      <c r="E16" s="3025">
        <f>'比较法-租金2022'!C49</f>
        <v>12.1</v>
      </c>
    </row>
    <row r="18" spans="1:5">
      <c r="A18" s="1578" t="s">
        <v>3270</v>
      </c>
      <c r="B18" s="757">
        <v>2007</v>
      </c>
      <c r="C18" s="757">
        <v>2012</v>
      </c>
      <c r="D18" s="757">
        <v>2017</v>
      </c>
      <c r="E18" s="757">
        <v>2022</v>
      </c>
    </row>
    <row r="19" spans="1:5">
      <c r="A19" s="757" t="str">
        <f>'比较法-租金2007'!B15</f>
        <v>商业繁华度</v>
      </c>
      <c r="B19" s="757">
        <f>'比较法-租金2007'!K15</f>
        <v>2</v>
      </c>
      <c r="C19" s="757">
        <f>'比较法-租金2012'!K15</f>
        <v>2</v>
      </c>
      <c r="D19" s="757">
        <f>'比较法-租金2017'!K15</f>
        <v>2</v>
      </c>
      <c r="E19" s="757">
        <f>'比较法-租金2022'!K15</f>
        <v>5</v>
      </c>
    </row>
    <row r="20" spans="1:5">
      <c r="A20" s="757" t="str">
        <f>'比较法-租金2007'!B17</f>
        <v>交通便捷度</v>
      </c>
      <c r="B20" s="757">
        <f>'比较法-租金2007'!K17</f>
        <v>0</v>
      </c>
      <c r="C20" s="757">
        <f>'比较法-租金2012'!K17</f>
        <v>5</v>
      </c>
      <c r="D20" s="757">
        <f>'比较法-租金2017'!K17</f>
        <v>0</v>
      </c>
      <c r="E20" s="757">
        <f>'比较法-租金2022'!K17</f>
        <v>0</v>
      </c>
    </row>
    <row r="21" spans="1:5">
      <c r="A21" s="757" t="str">
        <f>'比较法-租金2007'!B19</f>
        <v>公共配套设施</v>
      </c>
      <c r="B21" s="757">
        <f>'比较法-租金2007'!K19</f>
        <v>5</v>
      </c>
      <c r="C21" s="757">
        <f>'比较法-租金2012'!K19</f>
        <v>5</v>
      </c>
      <c r="D21" s="757">
        <f>'比较法-租金2017'!K19</f>
        <v>0</v>
      </c>
      <c r="E21" s="757">
        <f>'比较法-租金2022'!K19</f>
        <v>0</v>
      </c>
    </row>
    <row r="22" spans="1:5">
      <c r="A22" s="757" t="str">
        <f>'比较法-租金2007'!B21</f>
        <v>基础设施水平</v>
      </c>
      <c r="B22" s="757">
        <f>'比较法-租金2007'!K21</f>
        <v>0</v>
      </c>
      <c r="C22" s="757">
        <f>'比较法-租金2012'!K21</f>
        <v>0</v>
      </c>
      <c r="D22" s="757">
        <f>'比较法-租金2017'!K21</f>
        <v>0</v>
      </c>
      <c r="E22" s="757">
        <f>'比较法-租金2022'!K21</f>
        <v>0</v>
      </c>
    </row>
    <row r="23" spans="1:5">
      <c r="A23" s="757" t="str">
        <f>'比较法-租金2007'!B23</f>
        <v>自然及人文环境</v>
      </c>
      <c r="B23" s="757">
        <f>'比较法-租金2007'!K23</f>
        <v>5</v>
      </c>
      <c r="C23" s="757">
        <f>'比较法-租金2012'!K23</f>
        <v>5</v>
      </c>
      <c r="D23" s="757">
        <f>'比较法-租金2017'!K23</f>
        <v>5</v>
      </c>
      <c r="E23" s="757">
        <f>'比较法-租金2022'!K23</f>
        <v>0</v>
      </c>
    </row>
    <row r="24" spans="1:5">
      <c r="A24" s="757" t="str">
        <f>'比较法-租金2007'!B25</f>
        <v>临街状况</v>
      </c>
      <c r="B24" s="757">
        <f>'比较法-租金2007'!K25</f>
        <v>2</v>
      </c>
      <c r="C24" s="757">
        <f>'比较法-租金2012'!K25</f>
        <v>2</v>
      </c>
      <c r="D24" s="757">
        <f>'比较法-租金2017'!K25</f>
        <v>2</v>
      </c>
      <c r="E24" s="757">
        <f>'比较法-租金2022'!K25</f>
        <v>2</v>
      </c>
    </row>
    <row r="25" spans="1:5">
      <c r="A25" s="757" t="str">
        <f>'比较法-租金2007'!B26</f>
        <v>平面位置/可视性</v>
      </c>
      <c r="B25" s="757">
        <f>'比较法-租金2007'!K26</f>
        <v>0</v>
      </c>
      <c r="C25" s="757">
        <f>'比较法-租金2012'!K26</f>
        <v>0</v>
      </c>
      <c r="D25" s="757">
        <f>'比较法-租金2017'!K26</f>
        <v>0</v>
      </c>
      <c r="E25" s="757">
        <f>'比较法-租金2022'!K26</f>
        <v>0</v>
      </c>
    </row>
    <row r="26" spans="1:5">
      <c r="A26" s="757" t="str">
        <f>'比较法-租金2007'!B27</f>
        <v>人流量</v>
      </c>
      <c r="B26" s="757">
        <f>'比较法-租金2007'!K27</f>
        <v>5</v>
      </c>
      <c r="C26" s="757">
        <f>'比较法-租金2012'!K27</f>
        <v>2</v>
      </c>
      <c r="D26" s="757">
        <f>'比较法-租金2017'!K27</f>
        <v>2</v>
      </c>
      <c r="E26" s="757">
        <f>'比较法-租金2022'!K27</f>
        <v>2</v>
      </c>
    </row>
    <row r="27" spans="1:5">
      <c r="A27" s="757" t="str">
        <f>'比较法-租金2007'!B28</f>
        <v>楼层</v>
      </c>
      <c r="B27" s="757">
        <f>'比较法-租金2007'!K28</f>
        <v>0</v>
      </c>
      <c r="C27" s="757">
        <f>'比较法-租金2012'!K28</f>
        <v>0</v>
      </c>
      <c r="D27" s="757">
        <f>'比较法-租金2017'!K28</f>
        <v>0</v>
      </c>
      <c r="E27" s="757">
        <f>'比较法-租金2022'!K28</f>
        <v>0</v>
      </c>
    </row>
    <row r="28" spans="1:5">
      <c r="A28" s="757" t="str">
        <f>'比较法-租金2007'!B32</f>
        <v>商业类型</v>
      </c>
      <c r="B28" s="757">
        <f>'比较法-租金2007'!K32</f>
        <v>2</v>
      </c>
      <c r="C28" s="757">
        <f>'比较法-租金2012'!K32</f>
        <v>2</v>
      </c>
      <c r="D28" s="757">
        <f>'比较法-租金2017'!K32</f>
        <v>2</v>
      </c>
      <c r="E28" s="757">
        <f>'比较法-租金2022'!K32</f>
        <v>2</v>
      </c>
    </row>
    <row r="29" spans="1:5">
      <c r="A29" s="757" t="str">
        <f>'比较法-租金2007'!B33</f>
        <v>项目建筑规模</v>
      </c>
      <c r="B29" s="757">
        <f>'比较法-租金2007'!K33</f>
        <v>0</v>
      </c>
      <c r="C29" s="757">
        <f>'比较法-租金2012'!K33</f>
        <v>0</v>
      </c>
      <c r="D29" s="757">
        <f>'比较法-租金2017'!K33</f>
        <v>0</v>
      </c>
      <c r="E29" s="757">
        <f>'比较法-租金2022'!K33</f>
        <v>0</v>
      </c>
    </row>
    <row r="30" spans="1:5">
      <c r="A30" s="757" t="str">
        <f>'比较法-租金2007'!B34</f>
        <v>建筑结构</v>
      </c>
      <c r="B30" s="757">
        <f>'比较法-租金2007'!K34</f>
        <v>0</v>
      </c>
      <c r="C30" s="757">
        <f>'比较法-租金2012'!K34</f>
        <v>0</v>
      </c>
      <c r="D30" s="757">
        <f>'比较法-租金2017'!K34</f>
        <v>0</v>
      </c>
      <c r="E30" s="757">
        <f>'比较法-租金2022'!K34</f>
        <v>0</v>
      </c>
    </row>
    <row r="31" spans="1:5">
      <c r="A31" s="757" t="str">
        <f>'比较法-租金2007'!B35</f>
        <v>公共部分装修</v>
      </c>
      <c r="B31" s="757">
        <f>'比较法-租金2007'!K35</f>
        <v>0</v>
      </c>
      <c r="C31" s="757">
        <f>'比较法-租金2012'!K35</f>
        <v>0</v>
      </c>
      <c r="D31" s="757">
        <f>'比较法-租金2017'!K35</f>
        <v>0</v>
      </c>
      <c r="E31" s="757">
        <f>'比较法-租金2022'!K35</f>
        <v>0</v>
      </c>
    </row>
    <row r="32" spans="1:5">
      <c r="A32" s="757" t="str">
        <f>'比较法-租金2007'!B36</f>
        <v>成新度</v>
      </c>
      <c r="B32" s="757">
        <f>'比较法-租金2007'!K36</f>
        <v>0</v>
      </c>
      <c r="C32" s="757">
        <f>'比较法-租金2012'!K36</f>
        <v>0</v>
      </c>
      <c r="D32" s="757">
        <f>'比较法-租金2017'!K36</f>
        <v>0</v>
      </c>
      <c r="E32" s="757">
        <f>'比较法-租金2022'!K36</f>
        <v>0</v>
      </c>
    </row>
    <row r="33" spans="1:9">
      <c r="A33" s="757" t="str">
        <f>'比较法-租金2007'!B37</f>
        <v>市政基础设施</v>
      </c>
      <c r="B33" s="757">
        <f>'比较法-租金2007'!K37</f>
        <v>0</v>
      </c>
      <c r="C33" s="757">
        <f>'比较法-租金2012'!K37</f>
        <v>0</v>
      </c>
      <c r="D33" s="757">
        <f>'比较法-租金2017'!K37</f>
        <v>0</v>
      </c>
      <c r="E33" s="757">
        <f>'比较法-租金2022'!K37</f>
        <v>0</v>
      </c>
    </row>
    <row r="34" spans="1:9">
      <c r="A34" s="757" t="str">
        <f>'比较法-租金2007'!B38</f>
        <v>业态</v>
      </c>
      <c r="B34" s="757">
        <f>'比较法-租金2007'!K38</f>
        <v>0</v>
      </c>
      <c r="C34" s="757">
        <f>'比较法-租金2012'!K38</f>
        <v>5</v>
      </c>
      <c r="D34" s="757">
        <f>'比较法-租金2017'!K38</f>
        <v>0</v>
      </c>
      <c r="E34" s="757">
        <f>'比较法-租金2022'!K38</f>
        <v>5</v>
      </c>
    </row>
    <row r="35" spans="1:9">
      <c r="A35" s="757" t="str">
        <f>'比较法-租金2007'!B39</f>
        <v>层高</v>
      </c>
      <c r="B35" s="757">
        <f>'比较法-租金2007'!K39</f>
        <v>0</v>
      </c>
      <c r="C35" s="757">
        <f>'比较法-租金2012'!K39</f>
        <v>0</v>
      </c>
      <c r="D35" s="757">
        <f>'比较法-租金2017'!K39</f>
        <v>0</v>
      </c>
      <c r="E35" s="757">
        <f>'比较法-租金2022'!K39</f>
        <v>0</v>
      </c>
    </row>
    <row r="36" spans="1:9">
      <c r="A36" s="757" t="str">
        <f>'比较法-租金2007'!B42</f>
        <v>内部装修</v>
      </c>
      <c r="B36" s="757">
        <f>'比较法-租金2007'!K42</f>
        <v>2</v>
      </c>
      <c r="C36" s="757">
        <f>'比较法-租金2012'!K42</f>
        <v>2</v>
      </c>
      <c r="D36" s="757">
        <f>'比较法-租金2017'!K42</f>
        <v>2</v>
      </c>
      <c r="E36" s="757">
        <f>'比较法-租金2022'!K42</f>
        <v>2</v>
      </c>
    </row>
    <row r="37" spans="1:9">
      <c r="A37" s="757" t="str">
        <f>'比较法-租金2007'!B44</f>
        <v>其他</v>
      </c>
      <c r="B37" s="757">
        <f>'比较法-租金2007'!K43</f>
        <v>0</v>
      </c>
      <c r="C37" s="757">
        <f>'比较法-租金2012'!K43</f>
        <v>0</v>
      </c>
      <c r="D37" s="757">
        <f>'比较法-租金2017'!K43</f>
        <v>0</v>
      </c>
      <c r="E37" s="757">
        <f>'比较法-租金2022'!K43</f>
        <v>0</v>
      </c>
    </row>
    <row r="39" spans="1:9">
      <c r="A39" s="3023"/>
      <c r="B39" s="3270">
        <v>2007</v>
      </c>
      <c r="C39" s="3270"/>
      <c r="D39" s="3270">
        <v>2012</v>
      </c>
      <c r="E39" s="3270"/>
      <c r="F39" s="3270">
        <v>2017</v>
      </c>
      <c r="G39" s="3270"/>
      <c r="H39" s="3270">
        <v>2022</v>
      </c>
      <c r="I39" s="3270"/>
    </row>
    <row r="40" spans="1:9" s="765" customFormat="1" ht="13.5" customHeight="1">
      <c r="A40" s="3024"/>
      <c r="B40" s="3024" t="s">
        <v>3306</v>
      </c>
      <c r="C40" s="3024" t="s">
        <v>3305</v>
      </c>
      <c r="D40" s="3024" t="s">
        <v>3306</v>
      </c>
      <c r="E40" s="3024" t="s">
        <v>3305</v>
      </c>
      <c r="F40" s="3024" t="s">
        <v>3306</v>
      </c>
      <c r="G40" s="3024" t="s">
        <v>3305</v>
      </c>
      <c r="H40" s="3024" t="s">
        <v>3306</v>
      </c>
      <c r="I40" s="3024" t="s">
        <v>3305</v>
      </c>
    </row>
    <row r="41" spans="1:9" ht="27">
      <c r="A41" s="3021" t="s">
        <v>3314</v>
      </c>
      <c r="B41" s="3020">
        <f>'比较法-租金2007'!E47</f>
        <v>6.33</v>
      </c>
      <c r="C41" s="3020">
        <f>'比较法-租金2007'!E48</f>
        <v>7</v>
      </c>
      <c r="D41" s="3020"/>
      <c r="E41" s="3020"/>
      <c r="F41" s="3020"/>
      <c r="G41" s="3020"/>
      <c r="H41" s="3020"/>
      <c r="I41" s="3020"/>
    </row>
    <row r="42" spans="1:9" ht="27">
      <c r="A42" s="3021" t="s">
        <v>3339</v>
      </c>
      <c r="B42" s="3020"/>
      <c r="C42" s="3020"/>
      <c r="D42" s="3026">
        <f>'比较法-租金2012'!E47</f>
        <v>9.86</v>
      </c>
      <c r="E42" s="3026">
        <f>'比较法-租金2012'!E48</f>
        <v>9.3000000000000007</v>
      </c>
      <c r="F42" s="3020"/>
      <c r="G42" s="3020"/>
      <c r="H42" s="3020"/>
      <c r="I42" s="3020"/>
    </row>
    <row r="43" spans="1:9" ht="27">
      <c r="A43" s="3022" t="s">
        <v>3315</v>
      </c>
      <c r="B43" s="3020">
        <f>'比较法-租金2007'!G47</f>
        <v>7.35</v>
      </c>
      <c r="C43" s="3020">
        <f>'比较法-租金2007'!G48</f>
        <v>7.1</v>
      </c>
      <c r="D43" s="3020"/>
      <c r="E43" s="3020"/>
      <c r="F43" s="3020"/>
      <c r="G43" s="3020"/>
      <c r="H43" s="3020"/>
      <c r="I43" s="3020"/>
    </row>
    <row r="44" spans="1:9" ht="27">
      <c r="A44" s="3022" t="s">
        <v>3316</v>
      </c>
      <c r="B44" s="3020">
        <f>'比较法-租金2007'!I47</f>
        <v>5.99</v>
      </c>
      <c r="C44" s="3020">
        <f>'比较法-租金2007'!I48</f>
        <v>6.8</v>
      </c>
      <c r="D44" s="3020"/>
      <c r="E44" s="3020"/>
      <c r="F44" s="3020"/>
      <c r="G44" s="3020"/>
      <c r="H44" s="3020"/>
      <c r="I44" s="3020"/>
    </row>
    <row r="45" spans="1:9" ht="27">
      <c r="A45" s="3022" t="s">
        <v>3322</v>
      </c>
      <c r="B45" s="3020"/>
      <c r="C45" s="3020"/>
      <c r="D45" s="3026">
        <f>'比较法-租金2012'!G47</f>
        <v>8.5</v>
      </c>
      <c r="E45" s="3026">
        <f>'比较法-租金2012'!G48</f>
        <v>9.1</v>
      </c>
      <c r="F45" s="3020">
        <f>'比较法-租金2017'!E47</f>
        <v>10</v>
      </c>
      <c r="G45" s="3020">
        <f>'比较法-租金2017'!E48</f>
        <v>10.5</v>
      </c>
      <c r="H45" s="3020"/>
      <c r="I45" s="3020"/>
    </row>
    <row r="46" spans="1:9" ht="27">
      <c r="A46" s="3022" t="s">
        <v>3317</v>
      </c>
      <c r="B46" s="3020"/>
      <c r="C46" s="3020"/>
      <c r="D46" s="3020"/>
      <c r="E46" s="3020"/>
      <c r="F46" s="3020">
        <f>'比较法-租金2017'!G47</f>
        <v>12</v>
      </c>
      <c r="G46" s="3020">
        <f>'比较法-租金2017'!G48</f>
        <v>12.6</v>
      </c>
      <c r="H46" s="3020"/>
      <c r="I46" s="3020"/>
    </row>
    <row r="47" spans="1:9" ht="27">
      <c r="A47" s="3022" t="s">
        <v>3307</v>
      </c>
      <c r="B47" s="3020"/>
      <c r="C47" s="3020"/>
      <c r="D47" s="3020">
        <f>'比较法-租金2012'!I47</f>
        <v>8.6999999999999993</v>
      </c>
      <c r="E47" s="3020">
        <f>'比较法-租金2012'!I48</f>
        <v>8.6999999999999993</v>
      </c>
      <c r="F47" s="3020"/>
      <c r="G47" s="3020"/>
      <c r="H47" s="3020"/>
      <c r="I47" s="3020"/>
    </row>
    <row r="48" spans="1:9" ht="27">
      <c r="A48" s="3022" t="s">
        <v>3310</v>
      </c>
      <c r="B48" s="3020"/>
      <c r="C48" s="3020"/>
      <c r="D48" s="3020"/>
      <c r="E48" s="3020"/>
      <c r="F48" s="3020"/>
      <c r="G48" s="3020"/>
      <c r="H48" s="3020">
        <f>'比较法-租金2022'!E47</f>
        <v>14.61</v>
      </c>
      <c r="I48" s="3020">
        <f>'比较法-租金2022'!E48</f>
        <v>12.5</v>
      </c>
    </row>
    <row r="49" spans="1:9" ht="27">
      <c r="A49" s="3022" t="s">
        <v>3309</v>
      </c>
      <c r="B49" s="3020"/>
      <c r="C49" s="3020"/>
      <c r="D49" s="3020"/>
      <c r="E49" s="3020"/>
      <c r="F49" s="3020">
        <f>'比较法-租金2017'!I47</f>
        <v>12</v>
      </c>
      <c r="G49" s="3020">
        <f>'比较法-租金2017'!I48</f>
        <v>12</v>
      </c>
      <c r="H49" s="3020"/>
      <c r="I49" s="3020"/>
    </row>
    <row r="50" spans="1:9" ht="27">
      <c r="A50" s="3022" t="s">
        <v>3308</v>
      </c>
      <c r="B50" s="3020"/>
      <c r="C50" s="3020"/>
      <c r="D50" s="3020"/>
      <c r="E50" s="3020"/>
      <c r="F50" s="3020"/>
      <c r="G50" s="3020"/>
      <c r="H50" s="3020">
        <f>'比较法-租金2022'!G47</f>
        <v>12.11</v>
      </c>
      <c r="I50" s="3020">
        <f>'比较法-租金2022'!G48</f>
        <v>12.1</v>
      </c>
    </row>
    <row r="51" spans="1:9" ht="27">
      <c r="A51" s="3022" t="s">
        <v>3311</v>
      </c>
      <c r="B51" s="3020"/>
      <c r="C51" s="3020"/>
      <c r="D51" s="3020"/>
      <c r="E51" s="3020"/>
      <c r="F51" s="3020"/>
      <c r="G51" s="3020"/>
      <c r="H51" s="3020">
        <f>'比较法-租金2022'!I47</f>
        <v>11.99</v>
      </c>
      <c r="I51" s="3020">
        <f>'比较法-租金2022'!I48</f>
        <v>11.8</v>
      </c>
    </row>
  </sheetData>
  <mergeCells count="14">
    <mergeCell ref="B39:C39"/>
    <mergeCell ref="D39:E39"/>
    <mergeCell ref="F39:G39"/>
    <mergeCell ref="H39:I39"/>
    <mergeCell ref="A1:G1"/>
    <mergeCell ref="A3:A5"/>
    <mergeCell ref="E3:E5"/>
    <mergeCell ref="F3:F5"/>
    <mergeCell ref="G3:G5"/>
    <mergeCell ref="A8:F8"/>
    <mergeCell ref="E6:E7"/>
    <mergeCell ref="F6:F7"/>
    <mergeCell ref="G6:G7"/>
    <mergeCell ref="A6:A7"/>
  </mergeCells>
  <phoneticPr fontId="140" type="noConversion"/>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7" zoomScale="80" zoomScaleNormal="70" zoomScaleSheetLayoutView="80" workbookViewId="0">
      <selection activeCell="K16" sqref="K1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2222</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1906</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1908</v>
      </c>
      <c r="B3" s="544">
        <f>IF(C2="——",C49,ROUND(B2*10000/D3,0))</f>
        <v>12.1</v>
      </c>
      <c r="C3" s="350" t="s">
        <v>2223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230" t="s">
        <v>2230</v>
      </c>
      <c r="Q4" s="3231"/>
      <c r="R4" s="3236" t="s">
        <v>2226</v>
      </c>
      <c r="S4" s="3237"/>
      <c r="T4" s="3236" t="s">
        <v>2227</v>
      </c>
      <c r="U4" s="3237"/>
      <c r="V4" s="3252" t="s">
        <v>2228</v>
      </c>
      <c r="W4" s="3252"/>
      <c r="X4" s="1394"/>
      <c r="Y4" s="3236" t="s">
        <v>2230</v>
      </c>
      <c r="Z4" s="3237"/>
      <c r="AA4" s="3223" t="s">
        <v>2226</v>
      </c>
      <c r="AB4" s="3252" t="s">
        <v>2227</v>
      </c>
      <c r="AC4" s="3223" t="s">
        <v>2228</v>
      </c>
    </row>
    <row r="5" spans="1:29" ht="15">
      <c r="A5" s="354"/>
      <c r="B5" s="355"/>
      <c r="C5" s="3240" t="s">
        <v>2121</v>
      </c>
      <c r="D5" s="3241"/>
      <c r="E5" s="3242" t="s">
        <v>3228</v>
      </c>
      <c r="F5" s="3243"/>
      <c r="G5" s="3244" t="s">
        <v>3236</v>
      </c>
      <c r="H5" s="3241"/>
      <c r="I5" s="3244" t="s">
        <v>3227</v>
      </c>
      <c r="J5" s="3241"/>
      <c r="K5" s="545"/>
      <c r="L5" s="2653"/>
      <c r="M5" s="2654"/>
      <c r="N5" s="2654"/>
      <c r="O5" s="2654"/>
      <c r="P5" s="3232"/>
      <c r="Q5" s="3233"/>
      <c r="R5" s="3238"/>
      <c r="S5" s="3239"/>
      <c r="T5" s="3238"/>
      <c r="U5" s="3239"/>
      <c r="V5" s="3252"/>
      <c r="W5" s="3252"/>
      <c r="X5" s="1394"/>
      <c r="Y5" s="3238"/>
      <c r="Z5" s="3239"/>
      <c r="AA5" s="3224"/>
      <c r="AB5" s="3252"/>
      <c r="AC5" s="3224"/>
    </row>
    <row r="6" spans="1:29" ht="15.75" thickBot="1">
      <c r="A6" s="356"/>
      <c r="B6" s="357"/>
      <c r="C6" s="3245" t="s">
        <v>2125</v>
      </c>
      <c r="D6" s="3246"/>
      <c r="E6" s="3247" t="s">
        <v>2125</v>
      </c>
      <c r="F6" s="3248"/>
      <c r="G6" s="3245" t="s">
        <v>2125</v>
      </c>
      <c r="H6" s="3246"/>
      <c r="I6" s="3245" t="s">
        <v>2125</v>
      </c>
      <c r="J6" s="3246"/>
      <c r="K6" s="545" t="s">
        <v>2126</v>
      </c>
      <c r="L6" s="2653"/>
      <c r="M6" s="2654"/>
      <c r="N6" s="2654"/>
      <c r="O6" s="2654"/>
      <c r="P6" s="3234"/>
      <c r="Q6" s="3235"/>
      <c r="R6" s="3238"/>
      <c r="S6" s="3239"/>
      <c r="T6" s="3250"/>
      <c r="U6" s="3251"/>
      <c r="V6" s="3252"/>
      <c r="W6" s="3252"/>
      <c r="X6" s="1394"/>
      <c r="Y6" s="3250"/>
      <c r="Z6" s="3251"/>
      <c r="AA6" s="3225"/>
      <c r="AB6" s="3252"/>
      <c r="AC6" s="3225"/>
    </row>
    <row r="7" spans="1:29" s="107" customFormat="1" ht="15.75" thickBot="1">
      <c r="A7" s="358" t="s">
        <v>2127</v>
      </c>
      <c r="B7" s="359"/>
      <c r="C7" s="360">
        <v>44562</v>
      </c>
      <c r="D7" s="361">
        <v>100</v>
      </c>
      <c r="E7" s="362">
        <v>44439</v>
      </c>
      <c r="F7" s="363">
        <f>SUMIF(58:58,YEAR(E7)&amp;"-"&amp;MONTH(E7),59:59)</f>
        <v>100</v>
      </c>
      <c r="G7" s="362">
        <v>44562</v>
      </c>
      <c r="H7" s="361">
        <f>SUMIF(58:58,YEAR(G7)&amp;"-"&amp;MONTH(G7),59:59)</f>
        <v>100</v>
      </c>
      <c r="I7" s="362">
        <v>44538</v>
      </c>
      <c r="J7" s="361">
        <f>SUMIF(58:58,YEAR(I7)&amp;"-"&amp;MONTH(I7),59:59)</f>
        <v>100</v>
      </c>
      <c r="K7" s="41"/>
      <c r="L7" s="2655"/>
      <c r="M7" s="2604"/>
      <c r="N7" s="2604"/>
      <c r="O7" s="2604"/>
      <c r="P7" s="3253" t="s">
        <v>2128</v>
      </c>
      <c r="Q7" s="3254"/>
      <c r="R7" s="673" t="s">
        <v>17</v>
      </c>
      <c r="S7" s="674">
        <f t="shared" ref="S7:S15" si="0">F7</f>
        <v>100</v>
      </c>
      <c r="T7" s="673" t="s">
        <v>17</v>
      </c>
      <c r="U7" s="674">
        <f t="shared" ref="U7:U15" si="1">H7</f>
        <v>100</v>
      </c>
      <c r="V7" s="673" t="s">
        <v>17</v>
      </c>
      <c r="W7" s="674">
        <f t="shared" ref="W7:W15" si="2">J7</f>
        <v>100</v>
      </c>
      <c r="X7" s="675"/>
      <c r="Y7" s="3253" t="s">
        <v>2128</v>
      </c>
      <c r="Z7" s="3255"/>
      <c r="AA7" s="53">
        <f>D7/F7</f>
        <v>1</v>
      </c>
      <c r="AB7" s="53">
        <f>D7/H7</f>
        <v>1</v>
      </c>
      <c r="AC7" s="53">
        <f>D7/J7</f>
        <v>1</v>
      </c>
    </row>
    <row r="8" spans="1:29" s="107" customFormat="1" ht="15.75" thickBot="1">
      <c r="A8" s="358" t="s">
        <v>2129</v>
      </c>
      <c r="B8" s="359"/>
      <c r="C8" s="364" t="s">
        <v>2231</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53" t="s">
        <v>2131</v>
      </c>
      <c r="Q8" s="3255"/>
      <c r="R8" s="673" t="s">
        <v>17</v>
      </c>
      <c r="S8" s="674">
        <f t="shared" si="0"/>
        <v>100</v>
      </c>
      <c r="T8" s="673" t="s">
        <v>17</v>
      </c>
      <c r="U8" s="674">
        <f t="shared" si="1"/>
        <v>100</v>
      </c>
      <c r="V8" s="673" t="s">
        <v>17</v>
      </c>
      <c r="W8" s="674">
        <f t="shared" si="2"/>
        <v>100</v>
      </c>
      <c r="X8" s="675"/>
      <c r="Y8" s="3253" t="s">
        <v>2131</v>
      </c>
      <c r="Z8" s="325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 hidden="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 hidden="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56"/>
      <c r="Q11" s="538" t="str">
        <f t="shared" si="6"/>
        <v>容积率</v>
      </c>
      <c r="R11" s="673" t="s">
        <v>17</v>
      </c>
      <c r="S11" s="674">
        <f t="shared" si="0"/>
        <v>100</v>
      </c>
      <c r="T11" s="673" t="s">
        <v>17</v>
      </c>
      <c r="U11" s="674">
        <f t="shared" si="1"/>
        <v>100</v>
      </c>
      <c r="V11" s="673" t="s">
        <v>17</v>
      </c>
      <c r="W11" s="674">
        <f t="shared" si="2"/>
        <v>100</v>
      </c>
      <c r="X11" s="675"/>
      <c r="Y11" s="3191"/>
      <c r="Z11" s="53" t="str">
        <f t="shared" si="7"/>
        <v>容积率</v>
      </c>
      <c r="AA11" s="53">
        <f t="shared" si="3"/>
        <v>1</v>
      </c>
      <c r="AB11" s="53">
        <f t="shared" si="4"/>
        <v>1</v>
      </c>
      <c r="AC11" s="53">
        <f t="shared" si="5"/>
        <v>1</v>
      </c>
    </row>
    <row r="12" spans="1:29" s="107" customFormat="1" ht="15" hidden="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5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 hidden="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5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5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105</v>
      </c>
      <c r="G15" s="391"/>
      <c r="H15" s="388">
        <f>SUMIF(76:76,G16,77:77)-SUMIF(76:76,C16,77:77)+100</f>
        <v>100</v>
      </c>
      <c r="I15" s="389"/>
      <c r="J15" s="388">
        <f>SUMIF(76:76,I16,77:77)-SUMIF(76:76,C16,77:77)+100</f>
        <v>100</v>
      </c>
      <c r="K15" s="548">
        <v>5</v>
      </c>
      <c r="L15" s="2659"/>
      <c r="M15" s="2654"/>
      <c r="N15" s="2654"/>
      <c r="O15" s="2654"/>
      <c r="P15" s="3257" t="s">
        <v>2139</v>
      </c>
      <c r="Q15" s="1392" t="str">
        <f t="shared" si="6"/>
        <v>商业繁华度</v>
      </c>
      <c r="R15" s="676" t="s">
        <v>17</v>
      </c>
      <c r="S15" s="677">
        <f t="shared" si="0"/>
        <v>105</v>
      </c>
      <c r="T15" s="676" t="s">
        <v>17</v>
      </c>
      <c r="U15" s="677">
        <f t="shared" si="1"/>
        <v>100</v>
      </c>
      <c r="V15" s="676" t="s">
        <v>17</v>
      </c>
      <c r="W15" s="677">
        <f t="shared" si="2"/>
        <v>100</v>
      </c>
      <c r="X15" s="1394"/>
      <c r="Y15" s="3259" t="s">
        <v>2139</v>
      </c>
      <c r="Z15" s="1393" t="str">
        <f t="shared" si="7"/>
        <v>商业繁华度</v>
      </c>
      <c r="AA15" s="1393">
        <f t="shared" si="3"/>
        <v>0.95238095238095233</v>
      </c>
      <c r="AB15" s="1393">
        <f t="shared" si="4"/>
        <v>1</v>
      </c>
      <c r="AC15" s="1393">
        <f t="shared" si="5"/>
        <v>1</v>
      </c>
    </row>
    <row r="16" spans="1:29" ht="15">
      <c r="A16" s="375"/>
      <c r="B16" s="393"/>
      <c r="C16" s="394" t="s">
        <v>3199</v>
      </c>
      <c r="D16" s="395"/>
      <c r="E16" s="394" t="s">
        <v>3193</v>
      </c>
      <c r="F16" s="396"/>
      <c r="G16" s="394" t="s">
        <v>3199</v>
      </c>
      <c r="H16" s="397"/>
      <c r="I16" s="394" t="s">
        <v>3199</v>
      </c>
      <c r="J16" s="395"/>
      <c r="K16" s="549"/>
      <c r="L16" s="2659"/>
      <c r="M16" s="2654"/>
      <c r="N16" s="2654"/>
      <c r="O16" s="2654"/>
      <c r="P16" s="3258"/>
      <c r="Q16" s="1392"/>
      <c r="R16" s="676"/>
      <c r="S16" s="677"/>
      <c r="T16" s="676"/>
      <c r="U16" s="677"/>
      <c r="V16" s="676"/>
      <c r="W16" s="677"/>
      <c r="X16" s="1394"/>
      <c r="Y16" s="3260"/>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58"/>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58"/>
      <c r="Q18" s="1392"/>
      <c r="R18" s="676"/>
      <c r="S18" s="677"/>
      <c r="T18" s="676"/>
      <c r="U18" s="677"/>
      <c r="V18" s="676"/>
      <c r="W18" s="677"/>
      <c r="X18" s="1394"/>
      <c r="Y18" s="3260"/>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58"/>
      <c r="Q20" s="1392"/>
      <c r="R20" s="676"/>
      <c r="S20" s="677"/>
      <c r="T20" s="676"/>
      <c r="U20" s="677"/>
      <c r="V20" s="676"/>
      <c r="W20" s="677"/>
      <c r="X20" s="1394"/>
      <c r="Y20" s="3260"/>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58"/>
      <c r="Q22" s="1392"/>
      <c r="R22" s="676"/>
      <c r="S22" s="677"/>
      <c r="T22" s="676"/>
      <c r="U22" s="677"/>
      <c r="V22" s="676"/>
      <c r="W22" s="677"/>
      <c r="X22" s="1394"/>
      <c r="Y22" s="3260"/>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58"/>
      <c r="Q23" s="1392" t="str">
        <f>B23</f>
        <v>自然及人文环境</v>
      </c>
      <c r="R23" s="676" t="s">
        <v>17</v>
      </c>
      <c r="S23" s="677">
        <f>F23</f>
        <v>100</v>
      </c>
      <c r="T23" s="676" t="s">
        <v>17</v>
      </c>
      <c r="U23" s="677">
        <f>H23</f>
        <v>100</v>
      </c>
      <c r="V23" s="676" t="s">
        <v>17</v>
      </c>
      <c r="W23" s="677">
        <f>J23</f>
        <v>100</v>
      </c>
      <c r="X23" s="1394"/>
      <c r="Y23" s="3260"/>
      <c r="Z23" s="1393" t="str">
        <f>Q23</f>
        <v>自然及人文环境</v>
      </c>
      <c r="AA23" s="1393">
        <f t="shared" si="3"/>
        <v>1</v>
      </c>
      <c r="AB23" s="1393">
        <f t="shared" si="4"/>
        <v>1</v>
      </c>
      <c r="AC23" s="1393">
        <f t="shared" si="5"/>
        <v>1</v>
      </c>
    </row>
    <row r="24" spans="1:29" ht="15">
      <c r="A24" s="375"/>
      <c r="B24" s="403"/>
      <c r="C24" s="394" t="s">
        <v>3194</v>
      </c>
      <c r="D24" s="395"/>
      <c r="E24" s="1882" t="s">
        <v>3194</v>
      </c>
      <c r="F24" s="396"/>
      <c r="G24" s="1881" t="s">
        <v>3194</v>
      </c>
      <c r="H24" s="395"/>
      <c r="I24" s="1882" t="s">
        <v>3194</v>
      </c>
      <c r="J24" s="395"/>
      <c r="K24" s="549"/>
      <c r="L24" s="2659"/>
      <c r="M24" s="2654"/>
      <c r="N24" s="2654"/>
      <c r="O24" s="2654"/>
      <c r="P24" s="3258"/>
      <c r="Q24" s="1392"/>
      <c r="R24" s="676"/>
      <c r="S24" s="677"/>
      <c r="T24" s="676"/>
      <c r="U24" s="677"/>
      <c r="V24" s="676"/>
      <c r="W24" s="677"/>
      <c r="X24" s="1394"/>
      <c r="Y24" s="3260"/>
      <c r="Z24" s="1393"/>
      <c r="AA24" s="1393">
        <v>1</v>
      </c>
      <c r="AB24" s="1393">
        <v>1</v>
      </c>
      <c r="AC24" s="1393">
        <v>1</v>
      </c>
    </row>
    <row r="25" spans="1:29" ht="15">
      <c r="A25" s="375"/>
      <c r="B25" s="370" t="s">
        <v>2235</v>
      </c>
      <c r="C25" s="550" t="s">
        <v>3225</v>
      </c>
      <c r="D25" s="382">
        <v>100</v>
      </c>
      <c r="E25" s="550" t="s">
        <v>3229</v>
      </c>
      <c r="F25" s="408">
        <f>SUMIF(86:86,E25,87:87)-SUMIF(86:86,C25,87:87)+100</f>
        <v>98</v>
      </c>
      <c r="G25" s="550" t="s">
        <v>3229</v>
      </c>
      <c r="H25" s="382">
        <f>SUMIF(86:86,G25,87:87)-SUMIF(86:86,C25,87:87)+100</f>
        <v>98</v>
      </c>
      <c r="I25" s="550" t="s">
        <v>3225</v>
      </c>
      <c r="J25" s="382">
        <f>SUMIF(86:86,I25,87:87)-SUMIF(86:86,C25,87:87)+100</f>
        <v>100</v>
      </c>
      <c r="K25" s="546">
        <v>2</v>
      </c>
      <c r="L25" s="2659"/>
      <c r="M25" s="2654"/>
      <c r="N25" s="2654"/>
      <c r="O25" s="2654"/>
      <c r="P25" s="3258"/>
      <c r="Q25" s="1392" t="str">
        <f t="shared" ref="Q25:Q46" si="8">B25</f>
        <v>临街状况</v>
      </c>
      <c r="R25" s="676" t="s">
        <v>17</v>
      </c>
      <c r="S25" s="677">
        <f>F25</f>
        <v>98</v>
      </c>
      <c r="T25" s="676" t="s">
        <v>17</v>
      </c>
      <c r="U25" s="677">
        <f>H25</f>
        <v>98</v>
      </c>
      <c r="V25" s="676" t="s">
        <v>17</v>
      </c>
      <c r="W25" s="677">
        <f>J25</f>
        <v>100</v>
      </c>
      <c r="X25" s="1394"/>
      <c r="Y25" s="3260"/>
      <c r="Z25" s="1393" t="str">
        <f>Q25</f>
        <v>临街状况</v>
      </c>
      <c r="AA25" s="1393">
        <f t="shared" si="3"/>
        <v>1.0204081632653061</v>
      </c>
      <c r="AB25" s="1393">
        <f t="shared" si="4"/>
        <v>1.0204081632653061</v>
      </c>
      <c r="AC25" s="1393">
        <f t="shared" si="5"/>
        <v>1</v>
      </c>
    </row>
    <row r="26" spans="1:29" ht="15">
      <c r="A26" s="375"/>
      <c r="B26" s="1176" t="s">
        <v>2236</v>
      </c>
      <c r="C26" s="2968" t="s">
        <v>3231</v>
      </c>
      <c r="D26" s="382">
        <v>100</v>
      </c>
      <c r="E26" s="2968" t="s">
        <v>3231</v>
      </c>
      <c r="F26" s="408">
        <f>SUMIF(88:88,E26,89:89)-SUMIF(88:88,C26,89:89)+100</f>
        <v>100</v>
      </c>
      <c r="G26" s="2968" t="s">
        <v>3231</v>
      </c>
      <c r="H26" s="382">
        <f>SUMIF(88:88,G26,89:89)-SUMIF(88:88,C26,89:89)+100</f>
        <v>100</v>
      </c>
      <c r="I26" s="2968" t="s">
        <v>3231</v>
      </c>
      <c r="J26" s="382">
        <f>SUMIF(88:88,I26,89:89)-SUMIF(88:88,C26,89:89)+100</f>
        <v>100</v>
      </c>
      <c r="K26" s="547"/>
      <c r="L26" s="2659"/>
      <c r="M26" s="2654"/>
      <c r="N26" s="2654"/>
      <c r="O26" s="2654"/>
      <c r="P26" s="3258"/>
      <c r="Q26" s="1392" t="str">
        <f t="shared" si="8"/>
        <v>平面位置/可视性</v>
      </c>
      <c r="R26" s="676" t="s">
        <v>17</v>
      </c>
      <c r="S26" s="677">
        <f>F26</f>
        <v>100</v>
      </c>
      <c r="T26" s="676" t="s">
        <v>17</v>
      </c>
      <c r="U26" s="677">
        <f>H26</f>
        <v>100</v>
      </c>
      <c r="V26" s="676" t="s">
        <v>17</v>
      </c>
      <c r="W26" s="677">
        <f>J26</f>
        <v>100</v>
      </c>
      <c r="X26" s="1394"/>
      <c r="Y26" s="3260"/>
      <c r="Z26" s="1393" t="str">
        <f>Q26</f>
        <v>平面位置/可视性</v>
      </c>
      <c r="AA26" s="1393">
        <f t="shared" si="3"/>
        <v>1</v>
      </c>
      <c r="AB26" s="1393">
        <f t="shared" si="4"/>
        <v>1</v>
      </c>
      <c r="AC26" s="1393">
        <f t="shared" si="5"/>
        <v>1</v>
      </c>
    </row>
    <row r="27" spans="1:29" s="107" customFormat="1" ht="15">
      <c r="A27" s="378"/>
      <c r="B27" s="398" t="s">
        <v>2237</v>
      </c>
      <c r="C27" s="1937" t="s">
        <v>3199</v>
      </c>
      <c r="D27" s="409">
        <v>100</v>
      </c>
      <c r="E27" s="1937" t="s">
        <v>3197</v>
      </c>
      <c r="F27" s="403">
        <f>SUMIF(90:90,E27,91:91)-SUMIF(90:90,C27,91:91)+100</f>
        <v>102</v>
      </c>
      <c r="G27" s="1937" t="s">
        <v>3199</v>
      </c>
      <c r="H27" s="409">
        <f>SUMIF(90:90,G27,91:91)-SUMIF(90:90,C27,91:91)+100</f>
        <v>100</v>
      </c>
      <c r="I27" s="1937" t="s">
        <v>3199</v>
      </c>
      <c r="J27" s="409">
        <f>SUMIF(90:90,I27,91:91)-SUMIF(90:90,C27,91:91)+100</f>
        <v>100</v>
      </c>
      <c r="K27" s="546">
        <v>2</v>
      </c>
      <c r="L27" s="2655"/>
      <c r="M27" s="2604"/>
      <c r="N27" s="2604"/>
      <c r="O27" s="2604"/>
      <c r="P27" s="3258"/>
      <c r="Q27" s="538" t="str">
        <f t="shared" si="8"/>
        <v>人流量</v>
      </c>
      <c r="R27" s="673" t="s">
        <v>17</v>
      </c>
      <c r="S27" s="674">
        <f>F27</f>
        <v>102</v>
      </c>
      <c r="T27" s="673" t="s">
        <v>17</v>
      </c>
      <c r="U27" s="674">
        <f>H27</f>
        <v>100</v>
      </c>
      <c r="V27" s="673" t="s">
        <v>17</v>
      </c>
      <c r="W27" s="674">
        <f>J27</f>
        <v>100</v>
      </c>
      <c r="X27" s="675"/>
      <c r="Y27" s="3260"/>
      <c r="Z27" s="53" t="str">
        <f>Q27</f>
        <v>人流量</v>
      </c>
      <c r="AA27" s="1393">
        <f>D27/F27</f>
        <v>0.98039215686274506</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58"/>
      <c r="Q28" s="1392" t="str">
        <f t="shared" si="8"/>
        <v>楼层</v>
      </c>
      <c r="R28" s="676" t="s">
        <v>17</v>
      </c>
      <c r="S28" s="677">
        <f t="shared" ref="S28:S46" si="9">F28</f>
        <v>100</v>
      </c>
      <c r="T28" s="676" t="s">
        <v>17</v>
      </c>
      <c r="U28" s="677">
        <f t="shared" ref="U28:U46" si="10">H28</f>
        <v>100</v>
      </c>
      <c r="V28" s="676" t="s">
        <v>17</v>
      </c>
      <c r="W28" s="677">
        <f t="shared" ref="W28:W46" si="11">J28</f>
        <v>100</v>
      </c>
      <c r="X28" s="1394"/>
      <c r="Y28" s="3260"/>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8"/>
      <c r="Q29" s="1392">
        <f t="shared" si="8"/>
        <v>111</v>
      </c>
      <c r="R29" s="676" t="s">
        <v>17</v>
      </c>
      <c r="S29" s="677">
        <f t="shared" si="9"/>
        <v>100</v>
      </c>
      <c r="T29" s="676" t="s">
        <v>17</v>
      </c>
      <c r="U29" s="677">
        <f t="shared" si="10"/>
        <v>100</v>
      </c>
      <c r="V29" s="676" t="s">
        <v>17</v>
      </c>
      <c r="W29" s="677">
        <f t="shared" si="11"/>
        <v>100</v>
      </c>
      <c r="X29" s="1394"/>
      <c r="Y29" s="3260"/>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8"/>
      <c r="Q30" s="1392">
        <f t="shared" si="8"/>
        <v>111</v>
      </c>
      <c r="R30" s="676" t="s">
        <v>17</v>
      </c>
      <c r="S30" s="677">
        <f t="shared" si="9"/>
        <v>100</v>
      </c>
      <c r="T30" s="676" t="s">
        <v>17</v>
      </c>
      <c r="U30" s="677">
        <f t="shared" si="10"/>
        <v>100</v>
      </c>
      <c r="V30" s="676" t="s">
        <v>17</v>
      </c>
      <c r="W30" s="677">
        <f t="shared" si="11"/>
        <v>100</v>
      </c>
      <c r="X30" s="1394"/>
      <c r="Y30" s="3260"/>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393">
        <f t="shared" si="5"/>
        <v>1</v>
      </c>
    </row>
    <row r="32" spans="1:29" ht="15">
      <c r="A32" s="387" t="s">
        <v>2142</v>
      </c>
      <c r="B32" s="64" t="s">
        <v>2239</v>
      </c>
      <c r="C32" s="1894" t="s">
        <v>3272</v>
      </c>
      <c r="D32" s="413">
        <v>100</v>
      </c>
      <c r="E32" s="1894" t="s">
        <v>3205</v>
      </c>
      <c r="F32" s="408">
        <f>SUMIF(100:100,E32,101:101)-SUMIF(100:100,C32,101:101)+100</f>
        <v>104</v>
      </c>
      <c r="G32" s="1894" t="s">
        <v>3272</v>
      </c>
      <c r="H32" s="382">
        <f>SUMIF(100:100,G32,101:101)-SUMIF(100:100,C32,101:101)+100</f>
        <v>100</v>
      </c>
      <c r="I32" s="1894" t="s">
        <v>3272</v>
      </c>
      <c r="J32" s="413">
        <f>SUMIF(100:100,I32,101:101)-SUMIF(100:100,C32,101:101)+100</f>
        <v>100</v>
      </c>
      <c r="K32" s="546">
        <v>2</v>
      </c>
      <c r="L32" s="2659"/>
      <c r="M32" s="2654"/>
      <c r="N32" s="2654"/>
      <c r="O32" s="2654"/>
      <c r="P32" s="3261" t="s">
        <v>2144</v>
      </c>
      <c r="Q32" s="1392" t="str">
        <f t="shared" si="8"/>
        <v>商业类型</v>
      </c>
      <c r="R32" s="676" t="s">
        <v>17</v>
      </c>
      <c r="S32" s="677">
        <f t="shared" si="9"/>
        <v>104</v>
      </c>
      <c r="T32" s="676" t="s">
        <v>17</v>
      </c>
      <c r="U32" s="677">
        <f t="shared" si="10"/>
        <v>100</v>
      </c>
      <c r="V32" s="676" t="s">
        <v>17</v>
      </c>
      <c r="W32" s="677">
        <f t="shared" si="11"/>
        <v>100</v>
      </c>
      <c r="X32" s="1394"/>
      <c r="Y32" s="3264" t="s">
        <v>2144</v>
      </c>
      <c r="Z32" s="1393" t="str">
        <f t="shared" si="12"/>
        <v>商业类型</v>
      </c>
      <c r="AA32" s="1393">
        <f t="shared" si="3"/>
        <v>0.96153846153846156</v>
      </c>
      <c r="AB32" s="1393">
        <f t="shared" si="4"/>
        <v>1</v>
      </c>
      <c r="AC32" s="1393">
        <f t="shared" si="5"/>
        <v>1</v>
      </c>
    </row>
    <row r="33" spans="1:29" s="416" customFormat="1" ht="15">
      <c r="A33" s="414"/>
      <c r="B33" s="370" t="s">
        <v>2145</v>
      </c>
      <c r="C33" s="415">
        <f>'数据-基础表'!I13</f>
        <v>256</v>
      </c>
      <c r="D33" s="124">
        <v>100</v>
      </c>
      <c r="E33" s="377">
        <v>127.5</v>
      </c>
      <c r="F33" s="370">
        <f>LOOKUP(E33,103:103,104:104)-LOOKUP(C33,103:103,104:104)+100</f>
        <v>100</v>
      </c>
      <c r="G33" s="376">
        <v>125.8</v>
      </c>
      <c r="H33" s="124">
        <f>LOOKUP(G33,103:103,104:104)-LOOKUP(C33,103:103,104:104)+100</f>
        <v>100</v>
      </c>
      <c r="I33" s="376">
        <v>93</v>
      </c>
      <c r="J33" s="124">
        <f>LOOKUP(I33,103:103,104:104)-LOOKUP(C33,103:103,104:104)+100</f>
        <v>100</v>
      </c>
      <c r="K33" s="547"/>
      <c r="L33" s="2658"/>
      <c r="M33" s="2660"/>
      <c r="N33" s="2660"/>
      <c r="O33" s="2660"/>
      <c r="P33" s="3262"/>
      <c r="Q33" s="539" t="str">
        <f t="shared" si="8"/>
        <v>项目建筑规模</v>
      </c>
      <c r="R33" s="678" t="s">
        <v>17</v>
      </c>
      <c r="S33" s="679">
        <f t="shared" si="9"/>
        <v>100</v>
      </c>
      <c r="T33" s="678" t="s">
        <v>17</v>
      </c>
      <c r="U33" s="679">
        <f t="shared" si="10"/>
        <v>100</v>
      </c>
      <c r="V33" s="678" t="s">
        <v>17</v>
      </c>
      <c r="W33" s="679">
        <f t="shared" si="11"/>
        <v>100</v>
      </c>
      <c r="X33" s="680"/>
      <c r="Y33" s="3264"/>
      <c r="Z33" s="681" t="str">
        <f t="shared" si="12"/>
        <v>项目建筑规模</v>
      </c>
      <c r="AA33" s="1393">
        <f t="shared" si="3"/>
        <v>1</v>
      </c>
      <c r="AB33" s="1393">
        <f t="shared" si="4"/>
        <v>1</v>
      </c>
      <c r="AC33" s="1393">
        <f t="shared" si="5"/>
        <v>1</v>
      </c>
    </row>
    <row r="34" spans="1:29" ht="15">
      <c r="A34" s="417"/>
      <c r="B34" s="370" t="s">
        <v>2146</v>
      </c>
      <c r="C34" s="407" t="s">
        <v>3208</v>
      </c>
      <c r="D34" s="382">
        <v>100</v>
      </c>
      <c r="E34" s="407" t="s">
        <v>3208</v>
      </c>
      <c r="F34" s="408">
        <f>SUMIF(105:105,E34,106:106)-SUMIF(105:105,C34,106:106)+100</f>
        <v>100</v>
      </c>
      <c r="G34" s="407" t="s">
        <v>3208</v>
      </c>
      <c r="H34" s="382">
        <f>SUMIF(105:105,G34,106:106)-SUMIF(105:105,C34,106:106)+100</f>
        <v>100</v>
      </c>
      <c r="I34" s="407" t="s">
        <v>3208</v>
      </c>
      <c r="J34" s="382">
        <f>SUMIF(105:105,I34,106:106)-SUMIF(105:105,C34,106:106)+100</f>
        <v>100</v>
      </c>
      <c r="K34" s="546"/>
      <c r="L34" s="2659"/>
      <c r="M34" s="2654"/>
      <c r="N34" s="2654"/>
      <c r="O34" s="2654"/>
      <c r="P34" s="3262"/>
      <c r="Q34" s="1392" t="str">
        <f t="shared" si="8"/>
        <v>建筑结构</v>
      </c>
      <c r="R34" s="676" t="s">
        <v>17</v>
      </c>
      <c r="S34" s="677">
        <f t="shared" si="9"/>
        <v>100</v>
      </c>
      <c r="T34" s="676" t="s">
        <v>17</v>
      </c>
      <c r="U34" s="677">
        <f t="shared" si="10"/>
        <v>100</v>
      </c>
      <c r="V34" s="676" t="s">
        <v>17</v>
      </c>
      <c r="W34" s="677">
        <f t="shared" si="11"/>
        <v>100</v>
      </c>
      <c r="X34" s="1394"/>
      <c r="Y34" s="3264"/>
      <c r="Z34" s="1393" t="str">
        <f t="shared" si="12"/>
        <v>建筑结构</v>
      </c>
      <c r="AA34" s="1393">
        <f t="shared" si="3"/>
        <v>1</v>
      </c>
      <c r="AB34" s="1393">
        <f t="shared" si="4"/>
        <v>1</v>
      </c>
      <c r="AC34" s="1393">
        <f t="shared" si="5"/>
        <v>1</v>
      </c>
    </row>
    <row r="35" spans="1:29" ht="15">
      <c r="A35" s="417"/>
      <c r="B35" s="370" t="s">
        <v>2240</v>
      </c>
      <c r="C35" s="1890" t="s">
        <v>3211</v>
      </c>
      <c r="D35" s="382">
        <v>100</v>
      </c>
      <c r="E35" s="1890" t="s">
        <v>3211</v>
      </c>
      <c r="F35" s="408">
        <f>SUMIF(107:107,E35,108:108)-SUMIF(107:107,C35,108:108)+100</f>
        <v>100</v>
      </c>
      <c r="G35" s="1890" t="s">
        <v>3211</v>
      </c>
      <c r="H35" s="382">
        <f>SUMIF(107:107,G35,108:108)-SUMIF(107:107,C35,108:108)+100</f>
        <v>100</v>
      </c>
      <c r="I35" s="1890" t="s">
        <v>3211</v>
      </c>
      <c r="J35" s="382">
        <f>SUMIF(107:107,I35,108:108)-SUMIF(107:107,C35,108:108)+100</f>
        <v>100</v>
      </c>
      <c r="K35" s="546"/>
      <c r="L35" s="2659"/>
      <c r="M35" s="2654"/>
      <c r="N35" s="2654"/>
      <c r="O35" s="2654"/>
      <c r="P35" s="3262"/>
      <c r="Q35" s="1392" t="str">
        <f t="shared" si="8"/>
        <v>公共部分装修</v>
      </c>
      <c r="R35" s="676" t="s">
        <v>17</v>
      </c>
      <c r="S35" s="677">
        <f t="shared" si="9"/>
        <v>100</v>
      </c>
      <c r="T35" s="676" t="s">
        <v>17</v>
      </c>
      <c r="U35" s="677">
        <f t="shared" si="10"/>
        <v>100</v>
      </c>
      <c r="V35" s="676" t="s">
        <v>17</v>
      </c>
      <c r="W35" s="677">
        <f t="shared" si="11"/>
        <v>100</v>
      </c>
      <c r="X35" s="1394"/>
      <c r="Y35" s="3264"/>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62"/>
      <c r="Q36" s="1392" t="str">
        <f t="shared" si="8"/>
        <v>成新度</v>
      </c>
      <c r="R36" s="676" t="s">
        <v>17</v>
      </c>
      <c r="S36" s="677">
        <f t="shared" si="9"/>
        <v>100</v>
      </c>
      <c r="T36" s="676" t="s">
        <v>17</v>
      </c>
      <c r="U36" s="677">
        <f t="shared" si="10"/>
        <v>100</v>
      </c>
      <c r="V36" s="676" t="s">
        <v>17</v>
      </c>
      <c r="W36" s="677">
        <f t="shared" si="11"/>
        <v>100</v>
      </c>
      <c r="X36" s="1394"/>
      <c r="Y36" s="3264"/>
      <c r="Z36" s="1393" t="str">
        <f t="shared" si="12"/>
        <v>成新度</v>
      </c>
      <c r="AA36" s="1393">
        <f t="shared" si="3"/>
        <v>1</v>
      </c>
      <c r="AB36" s="1393">
        <f t="shared" si="4"/>
        <v>1</v>
      </c>
      <c r="AC36" s="1393">
        <f t="shared" si="5"/>
        <v>1</v>
      </c>
    </row>
    <row r="37" spans="1:29" s="107" customFormat="1" ht="15">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62"/>
      <c r="Q37" s="538" t="str">
        <f t="shared" si="8"/>
        <v>市政基础设施</v>
      </c>
      <c r="R37" s="673" t="s">
        <v>17</v>
      </c>
      <c r="S37" s="674">
        <f t="shared" si="9"/>
        <v>100</v>
      </c>
      <c r="T37" s="673" t="s">
        <v>17</v>
      </c>
      <c r="U37" s="674">
        <f t="shared" si="10"/>
        <v>100</v>
      </c>
      <c r="V37" s="673" t="s">
        <v>17</v>
      </c>
      <c r="W37" s="674">
        <f t="shared" si="11"/>
        <v>100</v>
      </c>
      <c r="X37" s="675"/>
      <c r="Y37" s="3264"/>
      <c r="Z37" s="53" t="str">
        <f t="shared" si="12"/>
        <v>市政基础设施</v>
      </c>
      <c r="AA37" s="53">
        <f t="shared" si="3"/>
        <v>1</v>
      </c>
      <c r="AB37" s="53">
        <f t="shared" si="4"/>
        <v>1</v>
      </c>
      <c r="AC37" s="53">
        <f t="shared" si="5"/>
        <v>1</v>
      </c>
    </row>
    <row r="38" spans="1:29" ht="15">
      <c r="A38" s="417"/>
      <c r="B38" s="370" t="s">
        <v>2243</v>
      </c>
      <c r="C38" s="1890" t="s">
        <v>3296</v>
      </c>
      <c r="D38" s="382">
        <v>100</v>
      </c>
      <c r="E38" s="1890" t="s">
        <v>3329</v>
      </c>
      <c r="F38" s="408">
        <f>SUMIF(114:114,E38,115:115)-SUMIF(114:114,C38,115:115)+100</f>
        <v>105</v>
      </c>
      <c r="G38" s="1890" t="s">
        <v>3296</v>
      </c>
      <c r="H38" s="382">
        <f>SUMIF(114:114,G38,115:115)-SUMIF(114:114,C38,115:115)+100</f>
        <v>100</v>
      </c>
      <c r="I38" s="1890" t="s">
        <v>3296</v>
      </c>
      <c r="J38" s="382">
        <f>SUMIF(114:114,I38,115:115)-SUMIF(114:114,C38,115:115)+100</f>
        <v>100</v>
      </c>
      <c r="K38" s="546">
        <v>5</v>
      </c>
      <c r="L38" s="2659"/>
      <c r="M38" s="2654"/>
      <c r="N38" s="2654"/>
      <c r="O38" s="2654"/>
      <c r="P38" s="3262" t="s">
        <v>2144</v>
      </c>
      <c r="Q38" s="1392" t="str">
        <f t="shared" si="8"/>
        <v>业态</v>
      </c>
      <c r="R38" s="676" t="s">
        <v>17</v>
      </c>
      <c r="S38" s="677">
        <f t="shared" si="9"/>
        <v>105</v>
      </c>
      <c r="T38" s="676" t="s">
        <v>17</v>
      </c>
      <c r="U38" s="677">
        <f t="shared" si="10"/>
        <v>100</v>
      </c>
      <c r="V38" s="676" t="s">
        <v>17</v>
      </c>
      <c r="W38" s="677">
        <f t="shared" si="11"/>
        <v>100</v>
      </c>
      <c r="X38" s="1394"/>
      <c r="Y38" s="3264" t="s">
        <v>2144</v>
      </c>
      <c r="Z38" s="1393" t="str">
        <f t="shared" si="12"/>
        <v>业态</v>
      </c>
      <c r="AA38" s="1393">
        <f t="shared" si="3"/>
        <v>0.95238095238095233</v>
      </c>
      <c r="AB38" s="1393">
        <f t="shared" si="4"/>
        <v>1</v>
      </c>
      <c r="AC38" s="1393">
        <f t="shared" si="5"/>
        <v>1</v>
      </c>
    </row>
    <row r="39" spans="1:29" ht="15">
      <c r="A39" s="417"/>
      <c r="B39" s="370" t="s">
        <v>2244</v>
      </c>
      <c r="C39" s="1890" t="s">
        <v>3216</v>
      </c>
      <c r="D39" s="382">
        <v>100</v>
      </c>
      <c r="E39" s="1890" t="s">
        <v>3216</v>
      </c>
      <c r="F39" s="408">
        <f>SUMIF(116:116,E39,117:117)-SUMIF(116:116,C39,117:117)+100</f>
        <v>100</v>
      </c>
      <c r="G39" s="1890" t="s">
        <v>3216</v>
      </c>
      <c r="H39" s="382">
        <f>SUMIF(116:116,G39,117:117)-SUMIF(116:116,C39,117:117)+100</f>
        <v>100</v>
      </c>
      <c r="I39" s="1890" t="s">
        <v>3216</v>
      </c>
      <c r="J39" s="382">
        <f>SUMIF(116:116,I39,117:117)-SUMIF(116:116,C39,117:117)+100</f>
        <v>100</v>
      </c>
      <c r="K39" s="546"/>
      <c r="L39" s="2659"/>
      <c r="M39" s="2654"/>
      <c r="N39" s="2654"/>
      <c r="O39" s="2654"/>
      <c r="P39" s="3262"/>
      <c r="Q39" s="1392" t="str">
        <f t="shared" si="8"/>
        <v>层高</v>
      </c>
      <c r="R39" s="676" t="s">
        <v>17</v>
      </c>
      <c r="S39" s="677">
        <f t="shared" si="9"/>
        <v>100</v>
      </c>
      <c r="T39" s="676" t="s">
        <v>17</v>
      </c>
      <c r="U39" s="677">
        <f t="shared" si="10"/>
        <v>100</v>
      </c>
      <c r="V39" s="676" t="s">
        <v>17</v>
      </c>
      <c r="W39" s="677">
        <f t="shared" si="11"/>
        <v>100</v>
      </c>
      <c r="X39" s="1394"/>
      <c r="Y39" s="3264"/>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62"/>
      <c r="Q40" s="1392" t="str">
        <f t="shared" si="8"/>
        <v>单套建筑面积</v>
      </c>
      <c r="R40" s="676" t="s">
        <v>17</v>
      </c>
      <c r="S40" s="677">
        <f t="shared" si="9"/>
        <v>100</v>
      </c>
      <c r="T40" s="676" t="s">
        <v>17</v>
      </c>
      <c r="U40" s="677">
        <f t="shared" si="10"/>
        <v>100</v>
      </c>
      <c r="V40" s="676" t="s">
        <v>17</v>
      </c>
      <c r="W40" s="677">
        <f t="shared" si="11"/>
        <v>100</v>
      </c>
      <c r="X40" s="1394"/>
      <c r="Y40" s="3264"/>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62"/>
      <c r="Q41" s="539" t="str">
        <f t="shared" si="8"/>
        <v>进深比</v>
      </c>
      <c r="R41" s="678" t="s">
        <v>17</v>
      </c>
      <c r="S41" s="679">
        <f t="shared" si="9"/>
        <v>100</v>
      </c>
      <c r="T41" s="678" t="s">
        <v>17</v>
      </c>
      <c r="U41" s="679">
        <f t="shared" si="10"/>
        <v>100</v>
      </c>
      <c r="V41" s="678" t="s">
        <v>17</v>
      </c>
      <c r="W41" s="679">
        <f t="shared" si="11"/>
        <v>100</v>
      </c>
      <c r="X41" s="680"/>
      <c r="Y41" s="3264"/>
      <c r="Z41" s="681" t="str">
        <f t="shared" si="12"/>
        <v>进深比</v>
      </c>
      <c r="AA41" s="1393">
        <f t="shared" si="3"/>
        <v>1</v>
      </c>
      <c r="AB41" s="1393">
        <f t="shared" si="4"/>
        <v>1</v>
      </c>
      <c r="AC41" s="1393">
        <f t="shared" si="5"/>
        <v>1</v>
      </c>
    </row>
    <row r="42" spans="1:29" ht="15">
      <c r="A42" s="417"/>
      <c r="B42" s="370" t="s">
        <v>2247</v>
      </c>
      <c r="C42" s="1890" t="s">
        <v>3221</v>
      </c>
      <c r="D42" s="382">
        <v>100</v>
      </c>
      <c r="E42" s="1890" t="s">
        <v>3219</v>
      </c>
      <c r="F42" s="408">
        <f>SUMIF(122:122,E42,123:123)-SUMIF(122:122,C42,123:123)+100</f>
        <v>102</v>
      </c>
      <c r="G42" s="2982" t="s">
        <v>3258</v>
      </c>
      <c r="H42" s="382">
        <f>SUMIF(122:122,G42,123:123)-SUMIF(122:122,C42,123:123)+100</f>
        <v>102</v>
      </c>
      <c r="I42" s="1890" t="s">
        <v>3219</v>
      </c>
      <c r="J42" s="382">
        <f>SUMIF(122:122,I42,123:123)-SUMIF(122:122,C42,123:123)+100</f>
        <v>102</v>
      </c>
      <c r="K42" s="2977">
        <v>2</v>
      </c>
      <c r="L42" s="2659"/>
      <c r="M42" s="2654"/>
      <c r="N42" s="2654"/>
      <c r="O42" s="2654"/>
      <c r="P42" s="3262"/>
      <c r="Q42" s="1392" t="str">
        <f t="shared" si="8"/>
        <v>内部装修</v>
      </c>
      <c r="R42" s="676" t="s">
        <v>17</v>
      </c>
      <c r="S42" s="677">
        <f t="shared" si="9"/>
        <v>102</v>
      </c>
      <c r="T42" s="676" t="s">
        <v>17</v>
      </c>
      <c r="U42" s="677">
        <f t="shared" si="10"/>
        <v>102</v>
      </c>
      <c r="V42" s="676" t="s">
        <v>17</v>
      </c>
      <c r="W42" s="677">
        <f t="shared" si="11"/>
        <v>102</v>
      </c>
      <c r="X42" s="1394"/>
      <c r="Y42" s="3264"/>
      <c r="Z42" s="1393" t="str">
        <f t="shared" si="12"/>
        <v>内部装修</v>
      </c>
      <c r="AA42" s="1393">
        <f t="shared" si="3"/>
        <v>0.98039215686274506</v>
      </c>
      <c r="AB42" s="1393">
        <f t="shared" si="4"/>
        <v>0.98039215686274506</v>
      </c>
      <c r="AC42" s="1393">
        <f t="shared" si="5"/>
        <v>0.98039215686274506</v>
      </c>
    </row>
    <row r="43" spans="1:29" ht="15">
      <c r="A43" s="417"/>
      <c r="B43" s="370" t="s">
        <v>2155</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62"/>
      <c r="Q43" s="1392" t="str">
        <f t="shared" si="8"/>
        <v>内部装修维护情况</v>
      </c>
      <c r="R43" s="676" t="s">
        <v>17</v>
      </c>
      <c r="S43" s="677">
        <f t="shared" si="9"/>
        <v>100</v>
      </c>
      <c r="T43" s="676" t="s">
        <v>17</v>
      </c>
      <c r="U43" s="677">
        <f t="shared" si="10"/>
        <v>100</v>
      </c>
      <c r="V43" s="676" t="s">
        <v>17</v>
      </c>
      <c r="W43" s="677">
        <f t="shared" si="11"/>
        <v>100</v>
      </c>
      <c r="X43" s="1394"/>
      <c r="Y43" s="3264"/>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62"/>
      <c r="Q44" s="538">
        <f t="shared" si="8"/>
        <v>111</v>
      </c>
      <c r="R44" s="673" t="s">
        <v>17</v>
      </c>
      <c r="S44" s="674">
        <f t="shared" si="9"/>
        <v>100</v>
      </c>
      <c r="T44" s="673" t="s">
        <v>17</v>
      </c>
      <c r="U44" s="674">
        <f t="shared" si="10"/>
        <v>100</v>
      </c>
      <c r="V44" s="673" t="s">
        <v>17</v>
      </c>
      <c r="W44" s="674">
        <f t="shared" si="11"/>
        <v>100</v>
      </c>
      <c r="X44" s="675"/>
      <c r="Y44" s="3264"/>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62"/>
      <c r="Q45" s="1392">
        <f t="shared" si="8"/>
        <v>111</v>
      </c>
      <c r="R45" s="676" t="s">
        <v>17</v>
      </c>
      <c r="S45" s="677">
        <f t="shared" si="9"/>
        <v>100</v>
      </c>
      <c r="T45" s="676" t="s">
        <v>17</v>
      </c>
      <c r="U45" s="677">
        <f t="shared" si="10"/>
        <v>100</v>
      </c>
      <c r="V45" s="676" t="s">
        <v>17</v>
      </c>
      <c r="W45" s="677">
        <f t="shared" si="11"/>
        <v>100</v>
      </c>
      <c r="X45" s="1394"/>
      <c r="Y45" s="3264"/>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63"/>
      <c r="Q46" s="1392">
        <f t="shared" si="8"/>
        <v>111</v>
      </c>
      <c r="R46" s="676" t="s">
        <v>17</v>
      </c>
      <c r="S46" s="677">
        <f t="shared" si="9"/>
        <v>100</v>
      </c>
      <c r="T46" s="676" t="s">
        <v>17</v>
      </c>
      <c r="U46" s="677">
        <f t="shared" si="10"/>
        <v>100</v>
      </c>
      <c r="V46" s="676" t="s">
        <v>17</v>
      </c>
      <c r="W46" s="677">
        <f t="shared" si="11"/>
        <v>100</v>
      </c>
      <c r="X46" s="1394"/>
      <c r="Y46" s="3265"/>
      <c r="Z46" s="1393">
        <f t="shared" si="12"/>
        <v>111</v>
      </c>
      <c r="AA46" s="1393">
        <f t="shared" si="3"/>
        <v>1</v>
      </c>
      <c r="AB46" s="1393">
        <f t="shared" si="4"/>
        <v>1</v>
      </c>
      <c r="AC46" s="1393">
        <f t="shared" si="5"/>
        <v>1</v>
      </c>
    </row>
    <row r="47" spans="1:29" ht="15">
      <c r="A47" s="424" t="s">
        <v>2156</v>
      </c>
      <c r="B47" s="425"/>
      <c r="C47" s="1191" t="s">
        <v>1</v>
      </c>
      <c r="D47" s="426"/>
      <c r="E47" s="427">
        <v>14.61</v>
      </c>
      <c r="F47" s="428"/>
      <c r="G47" s="429">
        <v>12.11</v>
      </c>
      <c r="H47" s="430"/>
      <c r="I47" s="427">
        <f>ROUND(407000/I33/365,2)</f>
        <v>11.99</v>
      </c>
      <c r="J47" s="430"/>
      <c r="K47" s="683"/>
      <c r="L47" s="2661"/>
      <c r="M47" s="2654"/>
      <c r="N47" s="2654"/>
      <c r="O47" s="2654"/>
      <c r="P47" s="3266" t="str">
        <f>A47</f>
        <v>成交单价（元/平方米）</v>
      </c>
      <c r="Q47" s="3266"/>
      <c r="R47" s="3252">
        <f>E47</f>
        <v>14.61</v>
      </c>
      <c r="S47" s="3252"/>
      <c r="T47" s="3252">
        <f>G47</f>
        <v>12.11</v>
      </c>
      <c r="U47" s="3252"/>
      <c r="V47" s="3252">
        <f>I47</f>
        <v>11.99</v>
      </c>
      <c r="W47" s="3252"/>
      <c r="X47" s="393"/>
      <c r="Y47" s="682"/>
      <c r="Z47" s="393"/>
      <c r="AA47" s="393"/>
      <c r="AB47" s="393"/>
      <c r="AC47" s="393"/>
    </row>
    <row r="48" spans="1:29" ht="15.75" thickBot="1">
      <c r="A48" s="431" t="s">
        <v>2248</v>
      </c>
      <c r="B48" s="432"/>
      <c r="C48" s="1192">
        <f>R49</f>
        <v>12.1</v>
      </c>
      <c r="D48" s="2301" t="s">
        <v>2638</v>
      </c>
      <c r="E48" s="1193">
        <f>R48</f>
        <v>12.5</v>
      </c>
      <c r="F48" s="2302"/>
      <c r="G48" s="1192">
        <f>T48</f>
        <v>12.1</v>
      </c>
      <c r="H48" s="2302"/>
      <c r="I48" s="1193">
        <f>V48</f>
        <v>11.8</v>
      </c>
      <c r="J48" s="2302"/>
      <c r="K48" s="2304">
        <f>F48+H48+J48</f>
        <v>0</v>
      </c>
      <c r="L48" s="2661"/>
      <c r="M48" s="2654"/>
      <c r="N48" s="2654"/>
      <c r="O48" s="2654"/>
      <c r="P48" s="3266" t="str">
        <f>A48</f>
        <v>比较价值（元/平方米）</v>
      </c>
      <c r="Q48" s="3266"/>
      <c r="R48" s="3252">
        <f>IF(F1="售价",ROUND(PRODUCT(R47,AA7:AA46),0),ROUND(PRODUCT(R47,AA7:AA46),1))</f>
        <v>12.5</v>
      </c>
      <c r="S48" s="3252"/>
      <c r="T48" s="3252">
        <f>IF(F1="售价",ROUND(PRODUCT(T47,AB7:AB46),0),ROUND(PRODUCT(T47,AB7:AB46),1))</f>
        <v>12.1</v>
      </c>
      <c r="U48" s="3252"/>
      <c r="V48" s="3252">
        <f>IF(F1="售价",ROUND(PRODUCT(V47,AC7:AC46),0),ROUND(PRODUCT(V47,AC7:AC46),1))</f>
        <v>11.8</v>
      </c>
      <c r="W48" s="3252"/>
      <c r="X48" s="393"/>
      <c r="Y48" s="393"/>
      <c r="Z48" s="393"/>
      <c r="AA48" s="393"/>
      <c r="AB48" s="393"/>
      <c r="AC48" s="393"/>
    </row>
    <row r="49" spans="1:29" ht="15.75" thickBot="1">
      <c r="A49" s="435" t="s">
        <v>2249</v>
      </c>
      <c r="B49" s="436"/>
      <c r="C49" s="357">
        <f>R49</f>
        <v>12.1</v>
      </c>
      <c r="D49" s="357"/>
      <c r="E49" s="357"/>
      <c r="F49" s="357"/>
      <c r="G49" s="357"/>
      <c r="H49" s="357"/>
      <c r="I49" s="357"/>
      <c r="J49" s="357"/>
      <c r="K49" s="684"/>
      <c r="L49" s="2661"/>
      <c r="M49" s="2654"/>
      <c r="N49" s="2654"/>
      <c r="O49" s="2654"/>
      <c r="P49" s="3267" t="str">
        <f>A49</f>
        <v>估价对象XX用房的比较价值（楼面单价，元/平方米）</v>
      </c>
      <c r="Q49" s="3268"/>
      <c r="R49" s="3269">
        <f>IF(F1="售价",ROUND(IF(D48="简单平均",AVERAGE(R48:V48),R48*F48+T48*H48+V48*J48),0),ROUND(IF(D48="简单平均",AVERAGE(R48:V48),R48*F48+T48*H48+V48*J48),1))</f>
        <v>12.1</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2250</v>
      </c>
      <c r="D52" s="441"/>
      <c r="E52" s="442">
        <f>IF(E47&lt;E48,E48/E47-1,E47/E48-1)</f>
        <v>0.16880000000000006</v>
      </c>
      <c r="F52" s="443" t="str">
        <f>IF(OR(E52&gt;=0.3,E52&lt;=-0.3),"超过30%","")</f>
        <v/>
      </c>
      <c r="G52" s="442">
        <f>IF(G47&lt;G48,G48/G47-1,G47/G48-1)</f>
        <v>8.2644628099171058E-4</v>
      </c>
      <c r="H52" s="443" t="str">
        <f>IF(OR(G52&gt;=0.3,G52&lt;=-0.3),"超过30%","")</f>
        <v/>
      </c>
      <c r="I52" s="442">
        <f>IF(I47&lt;I48,I48/I47-1,I47/I48-1)</f>
        <v>1.610169491525415E-2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2251</v>
      </c>
      <c r="D53" s="444"/>
      <c r="E53" s="442">
        <f>IF(E48&lt;G48,G48/E48-1,E48/G48-1)</f>
        <v>3.3057851239669533E-2</v>
      </c>
      <c r="F53" s="443" t="str">
        <f>IF(OR(E53&gt;=0.2,E53&lt;=-0.2),"超过20%","")</f>
        <v/>
      </c>
      <c r="G53" s="442">
        <f>IF(G48&lt;I48,I48/G48-1,G48/I48-1)</f>
        <v>2.5423728813559254E-2</v>
      </c>
      <c r="H53" s="443" t="str">
        <f>IF(OR(G53&gt;=0.2,G53&lt;=-0.2),"超过20%","")</f>
        <v/>
      </c>
      <c r="I53" s="442">
        <f>IF(I48&lt;E48,E48/I48-1,I48/E48-1)</f>
        <v>5.9322033898304927E-2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2252</v>
      </c>
      <c r="D54" s="444"/>
      <c r="E54" s="442">
        <f>IF(E47&lt;G47,G47/E47-1,E47/G47-1)</f>
        <v>0.20644095788604466</v>
      </c>
      <c r="F54" s="443" t="str">
        <f>IF(OR(E54&gt;=0.3,E54&lt;=-0.3),"超过30%","")</f>
        <v/>
      </c>
      <c r="G54" s="442">
        <f>IF(G47&lt;I47,I47/G47-1,G47/I47-1)</f>
        <v>1.0008340283569561E-2</v>
      </c>
      <c r="H54" s="443" t="str">
        <f>IF(OR(G54&gt;=0.3,G54&lt;=-0.3),"超过30%","")</f>
        <v/>
      </c>
      <c r="I54" s="442">
        <f>IF(I47&lt;E47,E47/I47-1,I47/E47-1)</f>
        <v>0.21851542952460368</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2253</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v>
      </c>
      <c r="D58" s="1214">
        <f>EDATE(C58,-1)</f>
        <v>44531</v>
      </c>
      <c r="E58" s="1214">
        <f t="shared" ref="E58:N58" si="13">EDATE(D58,-1)</f>
        <v>44501</v>
      </c>
      <c r="F58" s="1214">
        <f t="shared" si="13"/>
        <v>44470</v>
      </c>
      <c r="G58" s="1214">
        <f t="shared" si="13"/>
        <v>44440</v>
      </c>
      <c r="H58" s="1214">
        <f t="shared" si="13"/>
        <v>44409</v>
      </c>
      <c r="I58" s="1214">
        <f t="shared" si="13"/>
        <v>44378</v>
      </c>
      <c r="J58" s="1214">
        <f t="shared" si="13"/>
        <v>44348</v>
      </c>
      <c r="K58" s="1214">
        <f t="shared" si="13"/>
        <v>44317</v>
      </c>
      <c r="L58" s="1214">
        <f t="shared" si="13"/>
        <v>44287</v>
      </c>
      <c r="M58" s="1214">
        <f t="shared" si="13"/>
        <v>44256</v>
      </c>
      <c r="N58" s="1214">
        <f t="shared" si="13"/>
        <v>44228</v>
      </c>
      <c r="O58" s="1214">
        <f>EDATE(N58,-1)</f>
        <v>44197</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2231</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95</v>
      </c>
      <c r="E77" s="483">
        <f>D77-$K15</f>
        <v>90</v>
      </c>
      <c r="F77" s="483">
        <f>E77-$K15</f>
        <v>85</v>
      </c>
      <c r="G77" s="483">
        <f>F77-$K15</f>
        <v>80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3224</v>
      </c>
      <c r="D86" s="2965" t="s">
        <v>3226</v>
      </c>
      <c r="E86" s="2965" t="s">
        <v>3230</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3231</v>
      </c>
      <c r="D88" s="2965" t="s">
        <v>3200</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97</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3198</v>
      </c>
      <c r="D90" s="2965" t="s">
        <v>3200</v>
      </c>
      <c r="E90" s="2965" t="s">
        <v>3201</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98</v>
      </c>
      <c r="E91" s="483">
        <f t="shared" ref="E91:M91" si="17">D91-$K27</f>
        <v>96</v>
      </c>
      <c r="F91" s="483">
        <f t="shared" si="17"/>
        <v>94</v>
      </c>
      <c r="G91" s="483">
        <f t="shared" si="17"/>
        <v>92</v>
      </c>
      <c r="H91" s="483">
        <f t="shared" si="17"/>
        <v>90</v>
      </c>
      <c r="I91" s="483">
        <f t="shared" si="17"/>
        <v>88</v>
      </c>
      <c r="J91" s="483">
        <f t="shared" si="17"/>
        <v>86</v>
      </c>
      <c r="K91" s="483">
        <f t="shared" si="17"/>
        <v>84</v>
      </c>
      <c r="L91" s="483">
        <f t="shared" si="17"/>
        <v>82</v>
      </c>
      <c r="M91" s="483">
        <f t="shared" si="17"/>
        <v>80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3202</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3206</v>
      </c>
      <c r="D100" s="2967" t="s">
        <v>3313</v>
      </c>
      <c r="E100" s="2967" t="s">
        <v>3273</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98</v>
      </c>
      <c r="E101" s="483">
        <f t="shared" si="18"/>
        <v>96</v>
      </c>
      <c r="F101" s="483">
        <f t="shared" si="18"/>
        <v>94</v>
      </c>
      <c r="G101" s="483">
        <f t="shared" si="18"/>
        <v>92</v>
      </c>
      <c r="H101" s="483">
        <f t="shared" si="18"/>
        <v>90</v>
      </c>
      <c r="I101" s="483">
        <f t="shared" si="18"/>
        <v>88</v>
      </c>
      <c r="J101" s="483">
        <f t="shared" si="18"/>
        <v>86</v>
      </c>
      <c r="K101" s="483">
        <f t="shared" si="18"/>
        <v>84</v>
      </c>
      <c r="L101" s="483">
        <f t="shared" si="18"/>
        <v>82</v>
      </c>
      <c r="M101" s="484">
        <f t="shared" si="18"/>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0(含)-300</v>
      </c>
      <c r="D102" s="517" t="str">
        <f t="shared" ref="D102:L102" si="19">D103&amp;"(含)"&amp;"-"&amp;E103</f>
        <v>300(含)-600</v>
      </c>
      <c r="E102" s="517" t="str">
        <f t="shared" si="19"/>
        <v>600(含)-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300</v>
      </c>
      <c r="E103" s="9">
        <v>600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3209</v>
      </c>
      <c r="D105" s="2965" t="s">
        <v>3210</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3212</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3213</v>
      </c>
      <c r="D112" s="2965" t="s">
        <v>3214</v>
      </c>
      <c r="E112" s="2965" t="s">
        <v>3215</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3335</v>
      </c>
      <c r="D114" s="2965" t="s">
        <v>3336</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95</v>
      </c>
      <c r="E115" s="483">
        <f t="shared" si="24"/>
        <v>90</v>
      </c>
      <c r="F115" s="483">
        <f t="shared" si="24"/>
        <v>85</v>
      </c>
      <c r="G115" s="483">
        <f t="shared" si="24"/>
        <v>80</v>
      </c>
      <c r="H115" s="483">
        <f t="shared" si="24"/>
        <v>75</v>
      </c>
      <c r="I115" s="483">
        <f t="shared" si="24"/>
        <v>70</v>
      </c>
      <c r="J115" s="483">
        <f t="shared" si="24"/>
        <v>65</v>
      </c>
      <c r="K115" s="483">
        <f t="shared" si="24"/>
        <v>60</v>
      </c>
      <c r="L115" s="483">
        <f t="shared" si="24"/>
        <v>55</v>
      </c>
      <c r="M115" s="484">
        <f t="shared" si="24"/>
        <v>50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3218</v>
      </c>
      <c r="D116" s="2965" t="s">
        <v>3217</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3212</v>
      </c>
      <c r="D122" s="2965" t="s">
        <v>3220</v>
      </c>
      <c r="E122" s="2965" t="s">
        <v>3222</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01KGydaFIkVA/eRyNkPxC2MZDirwRqpBOTHcRI10eqbJNhZRxPuj+zDUjdtrooTmCVqj0dVmya2T5ATHCyCCjA==" saltValue="O726LWDie2bAEK4eNHNXAA=="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20" priority="21" stopIfTrue="1" operator="containsText" text="超过">
      <formula>NOT(ISERROR(SEARCH("超过",F52)))</formula>
    </cfRule>
  </conditionalFormatting>
  <conditionalFormatting sqref="H54">
    <cfRule type="containsText" dxfId="219" priority="19" stopIfTrue="1" operator="containsText" text="超过">
      <formula>NOT(ISERROR(SEARCH("超过",H54)))</formula>
    </cfRule>
  </conditionalFormatting>
  <conditionalFormatting sqref="F54">
    <cfRule type="containsText" dxfId="218" priority="18" stopIfTrue="1" operator="containsText" text="超过">
      <formula>NOT(ISERROR(SEARCH("超过",F54)))</formula>
    </cfRule>
  </conditionalFormatting>
  <conditionalFormatting sqref="F53 H53">
    <cfRule type="containsText" dxfId="217" priority="17" stopIfTrue="1" operator="containsText" text="超过">
      <formula>NOT(ISERROR(SEARCH("超过",F53)))</formula>
    </cfRule>
  </conditionalFormatting>
  <conditionalFormatting sqref="E52">
    <cfRule type="expression" dxfId="216" priority="16" stopIfTrue="1">
      <formula>$F$52="超过30%"</formula>
    </cfRule>
  </conditionalFormatting>
  <conditionalFormatting sqref="E53">
    <cfRule type="expression" dxfId="215" priority="15" stopIfTrue="1">
      <formula>$F$53="超过20%"</formula>
    </cfRule>
  </conditionalFormatting>
  <conditionalFormatting sqref="E54">
    <cfRule type="expression" dxfId="214" priority="14" stopIfTrue="1">
      <formula>$F$54="超过30%"</formula>
    </cfRule>
  </conditionalFormatting>
  <conditionalFormatting sqref="G54">
    <cfRule type="expression" dxfId="213" priority="13" stopIfTrue="1">
      <formula>$H$54="超过30%"</formula>
    </cfRule>
  </conditionalFormatting>
  <conditionalFormatting sqref="G52">
    <cfRule type="expression" dxfId="212" priority="12" stopIfTrue="1">
      <formula>$H$52="超过30%"</formula>
    </cfRule>
  </conditionalFormatting>
  <conditionalFormatting sqref="G53">
    <cfRule type="expression" dxfId="211" priority="11" stopIfTrue="1">
      <formula>$H$53="超过20%"</formula>
    </cfRule>
  </conditionalFormatting>
  <conditionalFormatting sqref="J52">
    <cfRule type="containsText" dxfId="210" priority="10" stopIfTrue="1" operator="containsText" text="超过">
      <formula>NOT(ISERROR(SEARCH("超过",J52)))</formula>
    </cfRule>
  </conditionalFormatting>
  <conditionalFormatting sqref="J54">
    <cfRule type="containsText" dxfId="209" priority="9" stopIfTrue="1" operator="containsText" text="超过">
      <formula>NOT(ISERROR(SEARCH("超过",J54)))</formula>
    </cfRule>
  </conditionalFormatting>
  <conditionalFormatting sqref="J53">
    <cfRule type="containsText" dxfId="208" priority="8" stopIfTrue="1" operator="containsText" text="超过">
      <formula>NOT(ISERROR(SEARCH("超过",J53)))</formula>
    </cfRule>
  </conditionalFormatting>
  <conditionalFormatting sqref="I52">
    <cfRule type="expression" dxfId="207" priority="7" stopIfTrue="1">
      <formula>$J$52="超过30%"</formula>
    </cfRule>
  </conditionalFormatting>
  <conditionalFormatting sqref="I53">
    <cfRule type="expression" dxfId="206" priority="6" stopIfTrue="1">
      <formula>$J$53="超过20%"</formula>
    </cfRule>
  </conditionalFormatting>
  <conditionalFormatting sqref="I54">
    <cfRule type="expression" dxfId="205" priority="5" stopIfTrue="1">
      <formula>$J$54="超过30%"</formula>
    </cfRule>
  </conditionalFormatting>
  <conditionalFormatting sqref="F48">
    <cfRule type="expression" dxfId="204" priority="4">
      <formula>$D$48="简单平均"</formula>
    </cfRule>
  </conditionalFormatting>
  <conditionalFormatting sqref="H48">
    <cfRule type="expression" dxfId="203" priority="3">
      <formula>$D$48="简单平均"</formula>
    </cfRule>
  </conditionalFormatting>
  <conditionalFormatting sqref="J48">
    <cfRule type="expression" dxfId="202" priority="2">
      <formula>$D$48="简单平均"</formula>
    </cfRule>
  </conditionalFormatting>
  <conditionalFormatting sqref="F7:F46 H7:H46 J7:J46">
    <cfRule type="cellIs" dxfId="201"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3178</v>
      </c>
      <c r="C1" s="1847" t="s">
        <v>2007</v>
      </c>
      <c r="D1" s="196"/>
      <c r="E1" s="196"/>
      <c r="F1" s="196"/>
      <c r="G1" s="1172">
        <f>MATCH(B1,'数据-取费表'!A6:A16,0)+5</f>
        <v>6</v>
      </c>
      <c r="H1" s="1105" t="str">
        <f>IF(ISERROR(FIND("住宅",B1)),"非住宅","住宅")</f>
        <v>非住宅</v>
      </c>
    </row>
    <row r="2" spans="1:8" s="198" customFormat="1" ht="18" customHeight="1">
      <c r="A2" s="199" t="s">
        <v>1906</v>
      </c>
      <c r="B2" s="200">
        <f ca="1">ROUND(IF(D2="——",C52/10000,C52/10000-E2),0)</f>
        <v>1548</v>
      </c>
      <c r="C2" s="197" t="s">
        <v>1907</v>
      </c>
      <c r="D2" s="1841" t="s">
        <v>70</v>
      </c>
      <c r="E2" s="1199" t="e">
        <f ca="1">SUMIF(INDIRECT("'"&amp;G2&amp;"'"&amp;"!A:A"),"承租人权益价值",INDIRECT("'"&amp;G2&amp;"'"&amp;"!c:c"))</f>
        <v>#REF!</v>
      </c>
      <c r="F2" s="1842" t="s">
        <v>1907</v>
      </c>
      <c r="G2" s="1843"/>
    </row>
    <row r="3" spans="1:8" s="198" customFormat="1" ht="18" customHeight="1" thickBot="1">
      <c r="A3" s="201" t="s">
        <v>1908</v>
      </c>
      <c r="B3" s="2979">
        <f ca="1">ROUND(B2*10000/(IF(B1="",'数据-汇总表'!E3,INDIRECT("'数据-取费表'!k"&amp;$G$1))),0)</f>
        <v>60469</v>
      </c>
      <c r="C3" s="197" t="s">
        <v>1909</v>
      </c>
      <c r="D3" s="197"/>
      <c r="E3" s="197"/>
      <c r="F3" s="197"/>
      <c r="G3" s="197"/>
    </row>
    <row r="4" spans="1:8" s="206" customFormat="1" ht="15.75">
      <c r="A4" s="203" t="s">
        <v>1910</v>
      </c>
      <c r="B4" s="204"/>
      <c r="C4" s="204"/>
      <c r="D4" s="204"/>
      <c r="E4" s="204"/>
      <c r="F4" s="204"/>
      <c r="G4" s="205"/>
    </row>
    <row r="5" spans="1:8" s="212" customFormat="1" ht="13.5" customHeight="1">
      <c r="A5" s="253" t="s">
        <v>1911</v>
      </c>
      <c r="B5" s="208" t="s">
        <v>1912</v>
      </c>
      <c r="C5" s="209">
        <f ca="1">C6+C7+C8</f>
        <v>9718444</v>
      </c>
      <c r="D5" s="209" t="s">
        <v>1913</v>
      </c>
      <c r="E5" s="210" t="s">
        <v>1914</v>
      </c>
      <c r="F5" s="210" t="s">
        <v>1915</v>
      </c>
      <c r="G5" s="211"/>
    </row>
    <row r="6" spans="1:8" s="212" customFormat="1" ht="13.5" customHeight="1">
      <c r="A6" s="816" t="s">
        <v>1916</v>
      </c>
      <c r="B6" s="213" t="s">
        <v>1917</v>
      </c>
      <c r="C6" s="214">
        <f>'[2]基准地价修正（1层）'!$T$2*'数据-汇总表'!F19</f>
        <v>9381120</v>
      </c>
      <c r="D6" s="215"/>
      <c r="E6" s="216"/>
      <c r="F6" s="216"/>
      <c r="G6" s="217"/>
    </row>
    <row r="7" spans="1:8" s="212" customFormat="1" ht="13.5" customHeight="1">
      <c r="A7" s="816" t="s">
        <v>1918</v>
      </c>
      <c r="B7" s="213" t="s">
        <v>1919</v>
      </c>
      <c r="C7" s="218">
        <f>ROUND(C6*F7,0)</f>
        <v>286124</v>
      </c>
      <c r="D7" s="218"/>
      <c r="E7" s="216"/>
      <c r="F7" s="219">
        <f>IF(项目基本情况!B8="出让",0,'数据-取费表'!B48+'数据-取费表'!B49)</f>
        <v>3.0499999999999999E-2</v>
      </c>
      <c r="G7" s="217"/>
    </row>
    <row r="8" spans="1:8" s="221" customFormat="1">
      <c r="A8" s="816" t="s">
        <v>1920</v>
      </c>
      <c r="B8" s="213" t="s">
        <v>1921</v>
      </c>
      <c r="C8" s="218">
        <f ca="1">IF(G8="已包含在土地购买价格中",0,C9+C10)</f>
        <v>51200</v>
      </c>
      <c r="D8" s="220"/>
      <c r="E8" s="218"/>
      <c r="F8" s="219"/>
      <c r="G8" s="1844" t="s">
        <v>3253</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51200</v>
      </c>
      <c r="D10" s="880">
        <f ca="1">IF(B1="",'数据-汇总表'!E6,IF(INDIRECT("'数据-取费表'!c"&amp;$G$1)="住宅",INDIRECT("'数据-取费表'!s"&amp;$G$1),INDIRECT("'数据-取费表'!k"&amp;$G$1)+INDIRECT("'数据-取费表'!s"&amp;$G$1)))</f>
        <v>256</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2008</v>
      </c>
      <c r="C12" s="209">
        <v>0</v>
      </c>
      <c r="D12" s="216"/>
      <c r="E12" s="226"/>
      <c r="F12" s="219">
        <v>3.0499999999999999E-2</v>
      </c>
      <c r="G12" s="217"/>
    </row>
    <row r="13" spans="1:8" s="212" customFormat="1" ht="13.5" hidden="1" customHeight="1">
      <c r="A13" s="225" t="s">
        <v>9</v>
      </c>
      <c r="B13" s="213" t="s">
        <v>2009</v>
      </c>
      <c r="C13" s="209"/>
      <c r="D13" s="216"/>
      <c r="E13" s="216"/>
      <c r="F13" s="216"/>
      <c r="G13" s="217"/>
    </row>
    <row r="14" spans="1:8" s="212" customFormat="1" ht="13.5" hidden="1" customHeight="1">
      <c r="A14" s="225" t="s">
        <v>10</v>
      </c>
      <c r="B14" s="213" t="s">
        <v>1921</v>
      </c>
      <c r="C14" s="209"/>
      <c r="D14" s="216"/>
      <c r="E14" s="216"/>
      <c r="F14" s="216"/>
      <c r="G14" s="217" t="s">
        <v>2010</v>
      </c>
    </row>
    <row r="15" spans="1:8" s="212" customFormat="1" ht="13.5" hidden="1" customHeight="1">
      <c r="A15" s="225" t="s">
        <v>11</v>
      </c>
      <c r="B15" s="213" t="s">
        <v>2011</v>
      </c>
      <c r="C15" s="218"/>
      <c r="D15" s="216"/>
      <c r="E15" s="216"/>
      <c r="F15" s="216"/>
      <c r="G15" s="217" t="s">
        <v>2012</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2013</v>
      </c>
      <c r="C17" s="227"/>
      <c r="D17" s="227"/>
      <c r="E17" s="227"/>
      <c r="F17" s="227"/>
      <c r="G17" s="217" t="s">
        <v>2012</v>
      </c>
    </row>
    <row r="18" spans="1:7" s="212" customFormat="1" ht="13.5" hidden="1" customHeight="1">
      <c r="A18" s="225" t="s">
        <v>14</v>
      </c>
      <c r="B18" s="213" t="s">
        <v>2014</v>
      </c>
      <c r="C18" s="218">
        <v>0</v>
      </c>
      <c r="D18" s="216"/>
      <c r="E18" s="216"/>
      <c r="F18" s="219">
        <v>3.0499999999999999E-2</v>
      </c>
      <c r="G18" s="217" t="s">
        <v>2015</v>
      </c>
    </row>
    <row r="19" spans="1:7" s="221" customFormat="1" ht="13.5" customHeight="1">
      <c r="A19" s="253" t="s">
        <v>2016</v>
      </c>
      <c r="B19" s="208" t="s">
        <v>2017</v>
      </c>
      <c r="C19" s="209" t="str">
        <f>IF(G19="已包含在土地取得成本中","0",ROUND(D19*E19,0))</f>
        <v>0</v>
      </c>
      <c r="D19" s="210">
        <f ca="1">D9+D10</f>
        <v>256</v>
      </c>
      <c r="E19" s="209">
        <f>'数据-取费表'!B31</f>
        <v>200</v>
      </c>
      <c r="F19" s="229"/>
      <c r="G19" s="1844" t="s">
        <v>3186</v>
      </c>
    </row>
    <row r="20" spans="1:7" s="212" customFormat="1" ht="13.5" customHeight="1">
      <c r="A20" s="253" t="s">
        <v>2018</v>
      </c>
      <c r="B20" s="208" t="s">
        <v>2019</v>
      </c>
      <c r="C20" s="230">
        <f ca="1">ROUND((C5+C19)*F20,0)</f>
        <v>194369</v>
      </c>
      <c r="D20" s="230"/>
      <c r="E20" s="230"/>
      <c r="F20" s="231">
        <f>'数据-取费表'!B37</f>
        <v>0.02</v>
      </c>
      <c r="G20" s="232" t="s">
        <v>2020</v>
      </c>
    </row>
    <row r="21" spans="1:7" s="212" customFormat="1" ht="13.5" customHeight="1">
      <c r="A21" s="253" t="s">
        <v>2021</v>
      </c>
      <c r="B21" s="208" t="s">
        <v>2022</v>
      </c>
      <c r="C21" s="233">
        <f>F21</f>
        <v>0.03</v>
      </c>
      <c r="D21" s="234" t="s">
        <v>2023</v>
      </c>
      <c r="E21" s="230"/>
      <c r="F21" s="231">
        <f>'数据-取费表'!B38</f>
        <v>0.03</v>
      </c>
      <c r="G21" s="232" t="s">
        <v>2024</v>
      </c>
    </row>
    <row r="22" spans="1:7" s="212" customFormat="1" ht="13.5" customHeight="1">
      <c r="A22" s="253" t="s">
        <v>2025</v>
      </c>
      <c r="B22" s="208" t="s">
        <v>2026</v>
      </c>
      <c r="C22" s="230">
        <f ca="1">ROUND(SUM(C23:C25),0)</f>
        <v>954412</v>
      </c>
      <c r="D22" s="233">
        <f ca="1">C26</f>
        <v>1.4E-3</v>
      </c>
      <c r="E22" s="234" t="s">
        <v>2023</v>
      </c>
      <c r="F22" s="235">
        <f ca="1">'数据-取费表'!B40</f>
        <v>4.7500000000000001E-2</v>
      </c>
      <c r="G22" s="232" t="str">
        <f>IF('数据-取费表'!B22&lt;=1,"单利计息","复利计息")</f>
        <v>复利计息</v>
      </c>
    </row>
    <row r="23" spans="1:7" s="212" customFormat="1" ht="13.5" customHeight="1">
      <c r="A23" s="818" t="s">
        <v>1916</v>
      </c>
      <c r="B23" s="213" t="s">
        <v>2027</v>
      </c>
      <c r="C23" s="236">
        <f ca="1">ROUND(IF('数据-取费表'!B22&lt;=1,C5*F22*'数据-取费表'!B22,C5*(POWER((1+F22),'数据-取费表'!B22)-1)),0)</f>
        <v>945179</v>
      </c>
      <c r="D23" s="236"/>
      <c r="E23" s="236"/>
      <c r="F23" s="237"/>
      <c r="G23" s="238" t="s">
        <v>2028</v>
      </c>
    </row>
    <row r="24" spans="1:7" s="212" customFormat="1" ht="13.5" customHeight="1">
      <c r="A24" s="818" t="s">
        <v>1918</v>
      </c>
      <c r="B24" s="213" t="s">
        <v>2029</v>
      </c>
      <c r="C24" s="236">
        <f ca="1">ROUND(IF('数据-取费表'!B22&lt;=1,C19*F22*('数据-取费表'!B19/2+'数据-取费表'!B20),C19*(POWER((1+F22),('数据-取费表'!B19/2+'数据-取费表'!B20))-1)),0)</f>
        <v>0</v>
      </c>
      <c r="D24" s="236"/>
      <c r="E24" s="236"/>
      <c r="F24" s="237"/>
      <c r="G24" s="238" t="s">
        <v>2030</v>
      </c>
    </row>
    <row r="25" spans="1:7" s="212" customFormat="1" ht="24">
      <c r="A25" s="818" t="s">
        <v>1920</v>
      </c>
      <c r="B25" s="213" t="s">
        <v>2031</v>
      </c>
      <c r="C25" s="236">
        <f ca="1">ROUND(IF('数据-取费表'!B22&lt;=1,C20*F22*'数据-取费表'!B22/2,C20*(POWER((1+F22),'数据-取费表'!B22/2)-1)),0)</f>
        <v>9233</v>
      </c>
      <c r="D25" s="236"/>
      <c r="E25" s="239"/>
      <c r="F25" s="237"/>
      <c r="G25" s="240" t="s">
        <v>2032</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1982563</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ROUND((C5+C19+C20)*F27,0)</f>
        <v>1982563</v>
      </c>
      <c r="D28" s="233"/>
      <c r="E28" s="234"/>
      <c r="F28" s="244"/>
      <c r="G28" s="245"/>
    </row>
    <row r="29" spans="1:7" s="212" customFormat="1" ht="13.5" customHeight="1">
      <c r="A29" s="818" t="s">
        <v>611</v>
      </c>
      <c r="B29" s="246" t="s">
        <v>1961</v>
      </c>
      <c r="C29" s="236">
        <f ca="1">ROUND(C21*F27,4)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14131517</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1146880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1024000</v>
      </c>
      <c r="D34" s="215"/>
      <c r="E34" s="218"/>
      <c r="F34" s="255"/>
      <c r="G34" s="217"/>
    </row>
    <row r="35" spans="1:7" ht="13.5" customHeight="1">
      <c r="A35" s="818" t="s">
        <v>615</v>
      </c>
      <c r="B35" s="213" t="s">
        <v>1971</v>
      </c>
      <c r="C35" s="218">
        <f ca="1">ROUND(C34*F35,0)</f>
        <v>30720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76800</v>
      </c>
      <c r="D37" s="215">
        <f ca="1">D19</f>
        <v>256</v>
      </c>
      <c r="E37" s="247">
        <f>'数据-取费表'!B35</f>
        <v>300</v>
      </c>
      <c r="F37" s="257"/>
      <c r="G37" s="259"/>
    </row>
    <row r="38" spans="1:7" ht="13.5" customHeight="1">
      <c r="A38" s="818" t="s">
        <v>618</v>
      </c>
      <c r="B38" s="213" t="s">
        <v>1977</v>
      </c>
      <c r="C38" s="218">
        <f ca="1">ROUND(C34*F38,0)</f>
        <v>15360</v>
      </c>
      <c r="D38" s="218"/>
      <c r="E38" s="218"/>
      <c r="F38" s="257">
        <f>'数据-取费表'!B36</f>
        <v>1.4999999999999999E-2</v>
      </c>
      <c r="G38" s="217" t="s">
        <v>1972</v>
      </c>
    </row>
    <row r="39" spans="1:7" s="212" customFormat="1" ht="13.5" customHeight="1">
      <c r="A39" s="253" t="s">
        <v>1978</v>
      </c>
      <c r="B39" s="208" t="s">
        <v>1979</v>
      </c>
      <c r="C39" s="230">
        <f ca="1">ROUND(C33*F20,0)</f>
        <v>22938</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55567</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ROUND(IF('数据-取费表'!B22&lt;=1,C33*F22*'数据-取费表'!B20/2,C33*(POWER((1+F22),'数据-取费表'!B20/2)-1)),0)</f>
        <v>54477</v>
      </c>
      <c r="D42" s="236"/>
      <c r="E42" s="236"/>
      <c r="F42" s="237"/>
      <c r="G42" s="3220" t="s">
        <v>2035</v>
      </c>
    </row>
    <row r="43" spans="1:7" ht="13.5" customHeight="1">
      <c r="A43" s="818" t="s">
        <v>611</v>
      </c>
      <c r="B43" s="213" t="s">
        <v>1989</v>
      </c>
      <c r="C43" s="236">
        <f ca="1">ROUND(IF('数据-取费表'!B22&lt;=1,C39*F22*'数据-取费表'!B20/2,C39*(POWER((1+F22),'数据-取费表'!B20/2)-1)),0)</f>
        <v>1090</v>
      </c>
      <c r="D43" s="236"/>
      <c r="E43" s="236"/>
      <c r="F43" s="237"/>
      <c r="G43" s="3221"/>
    </row>
    <row r="44" spans="1:7" ht="13.5" customHeight="1">
      <c r="A44" s="818" t="s">
        <v>612</v>
      </c>
      <c r="B44" s="213" t="s">
        <v>1990</v>
      </c>
      <c r="C44" s="236">
        <f ca="1">ROUND(IF('数据-取费表'!B22&lt;=1,C40*F22*'数据-取费表'!B20/2,C40*(POWER((1+F22),'数据-取费表'!B20/2)-1)),4)</f>
        <v>1.4E-3</v>
      </c>
      <c r="D44" s="236"/>
      <c r="E44" s="236"/>
      <c r="F44" s="237"/>
      <c r="G44" s="3222"/>
    </row>
    <row r="45" spans="1:7" s="212" customFormat="1" ht="13.5" customHeight="1">
      <c r="A45" s="253" t="s">
        <v>1991</v>
      </c>
      <c r="B45" s="242" t="s">
        <v>1957</v>
      </c>
      <c r="C45" s="243">
        <f ca="1">C46</f>
        <v>233964</v>
      </c>
      <c r="D45" s="233">
        <f ca="1">C47</f>
        <v>6.0000000000000001E-3</v>
      </c>
      <c r="E45" s="234" t="s">
        <v>1983</v>
      </c>
      <c r="F45" s="2300">
        <f ca="1">F27</f>
        <v>0.2</v>
      </c>
      <c r="G45" s="245" t="s">
        <v>1992</v>
      </c>
    </row>
    <row r="46" spans="1:7" s="212" customFormat="1" ht="13.5" customHeight="1">
      <c r="A46" s="818" t="s">
        <v>610</v>
      </c>
      <c r="B46" s="246" t="s">
        <v>1993</v>
      </c>
      <c r="C46" s="247">
        <f ca="1">ROUND((C33+C39)*F27,0)</f>
        <v>233964</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1604915</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1348129</v>
      </c>
      <c r="D51" s="230"/>
      <c r="E51" s="230"/>
      <c r="F51" s="262"/>
      <c r="G51" s="232" t="s">
        <v>2004</v>
      </c>
    </row>
    <row r="52" spans="1:7" s="206" customFormat="1" ht="16.5" thickBot="1">
      <c r="A52" s="263" t="s">
        <v>2005</v>
      </c>
      <c r="B52" s="264"/>
      <c r="C52" s="265">
        <f ca="1">C31+C51</f>
        <v>15479646</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2038</v>
      </c>
      <c r="B1" s="126"/>
      <c r="C1" s="1220"/>
      <c r="D1" s="1219"/>
      <c r="E1" s="2736"/>
      <c r="F1" s="2736"/>
      <c r="G1" s="2615"/>
      <c r="H1" s="2736"/>
      <c r="I1" s="2736"/>
      <c r="J1" s="2736"/>
      <c r="K1" s="2737">
        <f>MATCH(C1,'数据-取费表'!A6:A16,0)+5</f>
        <v>8</v>
      </c>
    </row>
    <row r="2" spans="1:33" ht="18" customHeight="1">
      <c r="A2" s="199" t="s">
        <v>1906</v>
      </c>
      <c r="B2" s="202">
        <f ca="1">C32</f>
        <v>-22</v>
      </c>
      <c r="C2" s="274" t="s">
        <v>2039</v>
      </c>
      <c r="D2" s="274"/>
      <c r="E2" s="2736"/>
      <c r="F2" s="2736"/>
      <c r="G2" s="2736"/>
      <c r="H2" s="2736"/>
      <c r="I2" s="2736"/>
      <c r="J2" s="2736"/>
      <c r="K2" s="2736"/>
    </row>
    <row r="3" spans="1:33" ht="18" customHeight="1" thickBot="1">
      <c r="A3" s="201" t="s">
        <v>1908</v>
      </c>
      <c r="B3" s="202">
        <f ca="1">ROUND(B2*10000/IF(C1="",'数据-汇总表'!E3,INDIRECT("'数据-取费表'!K"&amp;$K$1)),0)</f>
        <v>-216</v>
      </c>
      <c r="C3" s="274" t="s">
        <v>2040</v>
      </c>
      <c r="D3" s="274"/>
      <c r="E3" s="2736"/>
      <c r="F3" s="2736"/>
      <c r="G3" s="2736"/>
      <c r="H3" s="2736"/>
      <c r="I3" s="2736"/>
      <c r="J3" s="2736"/>
      <c r="K3" s="2736"/>
    </row>
    <row r="4" spans="1:33" s="823" customFormat="1" ht="16.5" customHeight="1">
      <c r="A4" s="820" t="s">
        <v>2041</v>
      </c>
      <c r="B4" s="821"/>
      <c r="C4" s="860">
        <f>SUM(C8:K8)</f>
        <v>0</v>
      </c>
      <c r="D4" s="821"/>
      <c r="E4" s="821"/>
      <c r="F4" s="821"/>
      <c r="G4" s="821"/>
      <c r="H4" s="821"/>
      <c r="I4" s="821"/>
      <c r="J4" s="821"/>
      <c r="K4" s="822"/>
    </row>
    <row r="5" spans="1:33" s="827" customFormat="1" ht="24.75">
      <c r="A5" s="824" t="s">
        <v>2042</v>
      </c>
      <c r="B5" s="825" t="s">
        <v>2043</v>
      </c>
      <c r="C5" s="1848" t="s">
        <v>2044</v>
      </c>
      <c r="D5" s="1848" t="s">
        <v>2045</v>
      </c>
      <c r="E5" s="1848" t="s">
        <v>2046</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2047</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2048</v>
      </c>
      <c r="B7" s="128" t="s">
        <v>2049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2050</v>
      </c>
      <c r="B8" s="161" t="s">
        <v>2051</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2052</v>
      </c>
      <c r="B9" s="821"/>
      <c r="C9" s="821"/>
      <c r="D9" s="821"/>
      <c r="E9" s="821"/>
      <c r="F9" s="821"/>
      <c r="G9" s="821"/>
      <c r="H9" s="821"/>
      <c r="I9" s="821"/>
      <c r="J9" s="821"/>
      <c r="K9" s="822"/>
    </row>
    <row r="10" spans="1:33" s="835" customFormat="1" ht="13.5" customHeight="1">
      <c r="A10" s="824" t="s">
        <v>2053</v>
      </c>
      <c r="B10" s="8" t="s">
        <v>2054</v>
      </c>
      <c r="C10" s="831" t="s">
        <v>2055</v>
      </c>
      <c r="D10" s="832" t="s">
        <v>2056</v>
      </c>
      <c r="E10" s="832" t="s">
        <v>2057</v>
      </c>
      <c r="F10" s="832" t="s">
        <v>2058</v>
      </c>
      <c r="G10" s="8"/>
      <c r="H10" s="833"/>
      <c r="I10" s="833"/>
      <c r="J10" s="833"/>
      <c r="K10" s="834"/>
    </row>
    <row r="11" spans="1:33" s="840" customFormat="1" ht="13.5" customHeight="1">
      <c r="A11" s="836" t="s">
        <v>1059</v>
      </c>
      <c r="B11" s="837" t="s">
        <v>2059</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1060</v>
      </c>
      <c r="B12" s="837" t="s">
        <v>2060</v>
      </c>
      <c r="C12" s="24">
        <f ca="1">ROUND(C11*F12,0)</f>
        <v>0</v>
      </c>
      <c r="D12" s="838"/>
      <c r="E12" s="143"/>
      <c r="F12" s="841">
        <f>'数据-取费表'!B33</f>
        <v>0.03</v>
      </c>
      <c r="G12" s="8" t="s">
        <v>2061</v>
      </c>
      <c r="H12" s="833"/>
      <c r="I12" s="833"/>
      <c r="J12" s="833"/>
      <c r="K12" s="834"/>
    </row>
    <row r="13" spans="1:33" s="840" customFormat="1" ht="13.5" customHeight="1">
      <c r="A13" s="836" t="s">
        <v>1061</v>
      </c>
      <c r="B13" s="837" t="s">
        <v>2062</v>
      </c>
      <c r="C13" s="24">
        <f ca="1">ROUND(IF(C1="",SUMIF('数据-取费表'!C:C,"住宅",'数据-取费表'!P:P)*F13,IF(INDIRECT("'数据-取费表'!c"&amp;$K$1)="住宅",INDIRECT("'数据-取费表'!P"&amp;$K$1)*F13,0)),0)</f>
        <v>0</v>
      </c>
      <c r="D13" s="881"/>
      <c r="E13" s="143"/>
      <c r="F13" s="841">
        <f>'数据-取费表'!B34</f>
        <v>0</v>
      </c>
      <c r="G13" s="8" t="s">
        <v>2063</v>
      </c>
      <c r="H13" s="833"/>
      <c r="I13" s="833"/>
      <c r="J13" s="833"/>
      <c r="K13" s="834"/>
    </row>
    <row r="14" spans="1:33" s="842" customFormat="1" ht="13.5" customHeight="1">
      <c r="A14" s="836" t="s">
        <v>1062</v>
      </c>
      <c r="B14" s="837" t="s">
        <v>2064</v>
      </c>
      <c r="C14" s="24">
        <f ca="1">ROUND(D14*E14*F11/10000,0)</f>
        <v>0</v>
      </c>
      <c r="D14" s="881">
        <f ca="1">IF(C1="",'数据-汇总表'!E3,INDIRECT("'数据-取费表'!K"&amp;$K$1)+INDIRECT("'数据-取费表'!S"&amp;$K$1))</f>
        <v>1018</v>
      </c>
      <c r="E14" s="24">
        <f>'数据-取费表'!B35</f>
        <v>300</v>
      </c>
      <c r="F14" s="841"/>
      <c r="G14" s="8" t="s">
        <v>2065</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1063</v>
      </c>
      <c r="B15" s="837" t="s">
        <v>2066</v>
      </c>
      <c r="C15" s="848">
        <f ca="1">ROUND(C11*F15,0)</f>
        <v>0</v>
      </c>
      <c r="D15" s="843"/>
      <c r="E15" s="848"/>
      <c r="F15" s="849">
        <f>'数据-取费表'!B36</f>
        <v>1.4999999999999999E-2</v>
      </c>
      <c r="G15" s="128" t="s">
        <v>2067</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2068</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2069</v>
      </c>
      <c r="C17" s="24">
        <f ca="1">ROUND(D17*E17/10000,0)</f>
        <v>0</v>
      </c>
      <c r="D17" s="881">
        <f ca="1">D14</f>
        <v>1018</v>
      </c>
      <c r="E17" s="24">
        <f>'数据-取费表'!B32</f>
        <v>0</v>
      </c>
      <c r="F17" s="843"/>
      <c r="G17" s="128" t="s">
        <v>2070</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1064</v>
      </c>
      <c r="B18" s="837" t="s">
        <v>2071</v>
      </c>
      <c r="C18" s="24">
        <f ca="1">C19+C20-IF(C1="",'数据-取费表'!B29,IF(G18="已全部缴纳",C19+C20,H18))</f>
        <v>20</v>
      </c>
      <c r="D18" s="881"/>
      <c r="E18" s="24"/>
      <c r="F18" s="841"/>
      <c r="G18" s="1850"/>
      <c r="H18" s="1216"/>
      <c r="I18" s="1851" t="s">
        <v>2072</v>
      </c>
      <c r="J18" s="844"/>
      <c r="K18" s="845"/>
    </row>
    <row r="19" spans="1:33" s="840" customFormat="1" ht="13.5" customHeight="1">
      <c r="A19" s="836" t="s">
        <v>624</v>
      </c>
      <c r="B19" s="837" t="s">
        <v>2073</v>
      </c>
      <c r="C19" s="24">
        <f ca="1">ROUND(D19*E19/10000,0)</f>
        <v>0</v>
      </c>
      <c r="D19" s="881">
        <f ca="1">IF(C1="",'数据-汇总表'!E5,IF(INDIRECT("'数据-取费表'!c"&amp;$K$1)="住宅",INDIRECT("'数据-取费表'!k"&amp;$K$1),0))</f>
        <v>0</v>
      </c>
      <c r="E19" s="24">
        <f>'数据-取费表'!B27</f>
        <v>160</v>
      </c>
      <c r="F19" s="841"/>
      <c r="G19" s="15"/>
      <c r="H19" s="1218"/>
      <c r="I19" s="846"/>
      <c r="J19" s="846"/>
      <c r="K19" s="847"/>
    </row>
    <row r="20" spans="1:33" s="840" customFormat="1" ht="13.5" customHeight="1">
      <c r="A20" s="836" t="s">
        <v>625</v>
      </c>
      <c r="B20" s="837" t="s">
        <v>2074</v>
      </c>
      <c r="C20" s="24">
        <f ca="1">ROUND(D20*E20/10000,0)</f>
        <v>20</v>
      </c>
      <c r="D20" s="881">
        <f ca="1">IF(C1="",'数据-汇总表'!E6,IF(INDIRECT("'数据-取费表'!c"&amp;$K$1)="住宅",INDIRECT("'数据-取费表'!s"&amp;$K$1),INDIRECT("'数据-取费表'!k"&amp;$K$1)+INDIRECT("'数据-取费表'!s"&amp;$K$1)))</f>
        <v>1018</v>
      </c>
      <c r="E20" s="24">
        <f>'数据-取费表'!B28</f>
        <v>200</v>
      </c>
      <c r="F20" s="841"/>
      <c r="G20" s="15"/>
      <c r="H20" s="846"/>
      <c r="I20" s="846"/>
      <c r="J20" s="846"/>
      <c r="K20" s="847"/>
    </row>
    <row r="21" spans="1:33" s="840" customFormat="1" ht="13.5" customHeight="1">
      <c r="A21" s="828" t="s">
        <v>621</v>
      </c>
      <c r="B21" s="850" t="s">
        <v>2075</v>
      </c>
      <c r="C21" s="851">
        <f ca="1">C16+C17+C18</f>
        <v>20</v>
      </c>
      <c r="D21" s="852"/>
      <c r="E21" s="279"/>
      <c r="F21" s="279"/>
      <c r="G21" s="128" t="s">
        <v>2076</v>
      </c>
      <c r="H21" s="844"/>
      <c r="I21" s="844"/>
      <c r="J21" s="844"/>
      <c r="K21" s="845"/>
    </row>
    <row r="22" spans="1:33" s="840" customFormat="1" ht="13.5" customHeight="1">
      <c r="A22" s="828" t="s">
        <v>2048</v>
      </c>
      <c r="B22" s="850" t="s">
        <v>2077</v>
      </c>
      <c r="C22" s="851">
        <f ca="1">ROUND(C21*F22,0)</f>
        <v>0</v>
      </c>
      <c r="D22" s="279"/>
      <c r="E22" s="279"/>
      <c r="F22" s="853">
        <f>'数据-取费表'!B37</f>
        <v>0.02</v>
      </c>
      <c r="G22" s="8" t="s">
        <v>2078</v>
      </c>
      <c r="H22" s="833"/>
      <c r="I22" s="833"/>
      <c r="J22" s="833"/>
      <c r="K22" s="834"/>
    </row>
    <row r="23" spans="1:33" s="840" customFormat="1" ht="13.5" customHeight="1">
      <c r="A23" s="828" t="s">
        <v>2050</v>
      </c>
      <c r="B23" s="850" t="s">
        <v>2079</v>
      </c>
      <c r="C23" s="851">
        <f ca="1">ROUND(C4*F23*F11,0)</f>
        <v>0</v>
      </c>
      <c r="D23" s="279"/>
      <c r="E23" s="279"/>
      <c r="F23" s="853">
        <f>'数据-取费表'!B38</f>
        <v>0.03</v>
      </c>
      <c r="G23" s="8" t="s">
        <v>2080</v>
      </c>
      <c r="H23" s="833"/>
      <c r="I23" s="833"/>
      <c r="J23" s="833"/>
      <c r="K23" s="834"/>
    </row>
    <row r="24" spans="1:33" s="840" customFormat="1" ht="13.5" customHeight="1">
      <c r="A24" s="828" t="s">
        <v>2081</v>
      </c>
      <c r="B24" s="850" t="s">
        <v>2082</v>
      </c>
      <c r="C24" s="278">
        <f>ROUND(F24/(1+'数据-取费表'!C42),4)</f>
        <v>2.9000000000000001E-2</v>
      </c>
      <c r="D24" s="279" t="s">
        <v>15</v>
      </c>
      <c r="E24" s="279"/>
      <c r="F24" s="853">
        <f>IF(项目基本情况!B8="出让",0,'数据-取费表'!B48+'数据-取费表'!B49)</f>
        <v>3.0499999999999999E-2</v>
      </c>
      <c r="G24" s="8" t="s">
        <v>2083</v>
      </c>
      <c r="H24" s="855"/>
      <c r="I24" s="855"/>
      <c r="J24" s="855"/>
      <c r="K24" s="59"/>
    </row>
    <row r="25" spans="1:33" s="840" customFormat="1" ht="13.5" customHeight="1">
      <c r="A25" s="828" t="s">
        <v>2084</v>
      </c>
      <c r="B25" s="852" t="s">
        <v>2085</v>
      </c>
      <c r="C25" s="1151">
        <f ca="1">C27</f>
        <v>0</v>
      </c>
      <c r="D25" s="278">
        <f ca="1">C26</f>
        <v>0</v>
      </c>
      <c r="E25" s="280" t="s">
        <v>15</v>
      </c>
      <c r="F25" s="281">
        <f ca="1">'数据-取费表'!B40</f>
        <v>4.7500000000000001E-2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2086</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2087</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2088</v>
      </c>
      <c r="B28" s="1853" t="s">
        <v>2089</v>
      </c>
      <c r="C28" s="285">
        <f ca="1">C30</f>
        <v>3</v>
      </c>
      <c r="D28" s="278">
        <f ca="1">C29</f>
        <v>0</v>
      </c>
      <c r="E28" s="280" t="s">
        <v>15</v>
      </c>
      <c r="F28" s="286">
        <f ca="1">IF(C1="",'数据-取费表'!Q16,INDIRECT("'数据-取费表'!q"&amp;$K$1))</f>
        <v>0.13</v>
      </c>
      <c r="G28" s="854"/>
      <c r="H28" s="855"/>
      <c r="I28" s="855"/>
      <c r="J28" s="855"/>
      <c r="K28" s="59"/>
    </row>
    <row r="29" spans="1:33" s="289" customFormat="1" ht="13.5" customHeight="1">
      <c r="A29" s="836" t="s">
        <v>622</v>
      </c>
      <c r="B29" s="858" t="s">
        <v>2090</v>
      </c>
      <c r="C29" s="282">
        <f ca="1">ROUND((1+C24)*F28*'数据-取费表'!B24/'数据-取费表'!B20,4)</f>
        <v>0</v>
      </c>
      <c r="D29" s="282"/>
      <c r="E29" s="283"/>
      <c r="F29" s="288"/>
      <c r="G29" s="128" t="s">
        <v>2091</v>
      </c>
      <c r="H29" s="844"/>
      <c r="I29" s="844"/>
      <c r="J29" s="844"/>
      <c r="K29" s="845"/>
    </row>
    <row r="30" spans="1:33" s="289" customFormat="1" ht="13.5" customHeight="1">
      <c r="A30" s="836" t="s">
        <v>623</v>
      </c>
      <c r="B30" s="858" t="s">
        <v>2092</v>
      </c>
      <c r="C30" s="290">
        <f ca="1">ROUND((C21+C22+C23)*F28,0)</f>
        <v>3</v>
      </c>
      <c r="D30" s="282"/>
      <c r="E30" s="283"/>
      <c r="F30" s="288"/>
      <c r="G30" s="128"/>
      <c r="H30" s="844"/>
      <c r="I30" s="844"/>
      <c r="J30" s="844"/>
      <c r="K30" s="845"/>
    </row>
    <row r="31" spans="1:33" s="840" customFormat="1" ht="13.5" customHeight="1" thickBot="1">
      <c r="A31" s="1854" t="s">
        <v>2093</v>
      </c>
      <c r="B31" s="868" t="s">
        <v>2094</v>
      </c>
      <c r="C31" s="869">
        <f>ROUND(C4*F31/(1+'数据-取费表'!C42),0)</f>
        <v>0</v>
      </c>
      <c r="D31" s="870"/>
      <c r="E31" s="871"/>
      <c r="F31" s="872">
        <f>'数据-取费表'!B41</f>
        <v>5.6000000000000001E-2</v>
      </c>
      <c r="G31" s="873" t="s">
        <v>2095</v>
      </c>
      <c r="H31" s="874"/>
      <c r="I31" s="874"/>
      <c r="J31" s="874"/>
      <c r="K31" s="875"/>
    </row>
    <row r="32" spans="1:33" s="835" customFormat="1" ht="13.5" customHeight="1" thickBot="1">
      <c r="A32" s="457" t="s">
        <v>2096</v>
      </c>
      <c r="B32" s="864"/>
      <c r="C32" s="865">
        <f ca="1">ROUND((C4-C21-C22-C23-C25-C28-C31)/(1+C24+D25+D28),0)</f>
        <v>-22</v>
      </c>
      <c r="D32" s="864"/>
      <c r="E32" s="864"/>
      <c r="F32" s="864"/>
      <c r="G32" s="866" t="s">
        <v>2097</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rgb="FF92D050"/>
    <pageSetUpPr fitToPage="1"/>
  </sheetPr>
  <dimension ref="A1:AC131"/>
  <sheetViews>
    <sheetView view="pageBreakPreview" topLeftCell="A24" zoomScale="90" zoomScaleNormal="70" zoomScaleSheetLayoutView="90" workbookViewId="0">
      <selection activeCell="H26" sqref="H2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11.7</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26" t="s">
        <v>2115</v>
      </c>
      <c r="D4" s="3227"/>
      <c r="E4" s="3228" t="s">
        <v>2116</v>
      </c>
      <c r="F4" s="3229"/>
      <c r="G4" s="3226" t="s">
        <v>2117</v>
      </c>
      <c r="H4" s="3227"/>
      <c r="I4" s="3226" t="s">
        <v>2118</v>
      </c>
      <c r="J4" s="3227"/>
      <c r="K4" s="545" t="s">
        <v>2119</v>
      </c>
      <c r="L4" s="2653"/>
      <c r="M4" s="2654"/>
      <c r="N4" s="2654"/>
      <c r="O4" s="2654"/>
      <c r="P4" s="3230" t="s">
        <v>2120</v>
      </c>
      <c r="Q4" s="3231"/>
      <c r="R4" s="3236" t="s">
        <v>2116</v>
      </c>
      <c r="S4" s="3237"/>
      <c r="T4" s="3236" t="s">
        <v>2117</v>
      </c>
      <c r="U4" s="3237"/>
      <c r="V4" s="3252" t="s">
        <v>2118</v>
      </c>
      <c r="W4" s="3252"/>
      <c r="X4" s="1394"/>
      <c r="Y4" s="3236" t="s">
        <v>2120</v>
      </c>
      <c r="Z4" s="3237"/>
      <c r="AA4" s="3223" t="s">
        <v>2116</v>
      </c>
      <c r="AB4" s="3252" t="s">
        <v>2117</v>
      </c>
      <c r="AC4" s="3223" t="s">
        <v>2118</v>
      </c>
    </row>
    <row r="5" spans="1:29" ht="15">
      <c r="A5" s="354"/>
      <c r="B5" s="355"/>
      <c r="C5" s="3240" t="s">
        <v>2121</v>
      </c>
      <c r="D5" s="3241"/>
      <c r="E5" s="3242" t="s">
        <v>3333</v>
      </c>
      <c r="F5" s="3243"/>
      <c r="G5" s="3244" t="s">
        <v>3332</v>
      </c>
      <c r="H5" s="3241"/>
      <c r="I5" s="3244" t="s">
        <v>3267</v>
      </c>
      <c r="J5" s="3241"/>
      <c r="K5" s="545"/>
      <c r="L5" s="2653"/>
      <c r="M5" s="2654"/>
      <c r="N5" s="2654"/>
      <c r="O5" s="2654"/>
      <c r="P5" s="3232"/>
      <c r="Q5" s="3233"/>
      <c r="R5" s="3238"/>
      <c r="S5" s="3239"/>
      <c r="T5" s="3238"/>
      <c r="U5" s="3239"/>
      <c r="V5" s="3252"/>
      <c r="W5" s="3252"/>
      <c r="X5" s="1394"/>
      <c r="Y5" s="3238"/>
      <c r="Z5" s="3239"/>
      <c r="AA5" s="3224"/>
      <c r="AB5" s="3252"/>
      <c r="AC5" s="3224"/>
    </row>
    <row r="6" spans="1:29" ht="15.75" thickBot="1">
      <c r="A6" s="356"/>
      <c r="B6" s="357"/>
      <c r="C6" s="3245" t="s">
        <v>2125</v>
      </c>
      <c r="D6" s="3246"/>
      <c r="E6" s="3276" t="s">
        <v>3334</v>
      </c>
      <c r="F6" s="3248"/>
      <c r="G6" s="3277" t="s">
        <v>3323</v>
      </c>
      <c r="H6" s="3246"/>
      <c r="I6" s="3249" t="s">
        <v>3304</v>
      </c>
      <c r="J6" s="3246"/>
      <c r="K6" s="545" t="s">
        <v>2126</v>
      </c>
      <c r="L6" s="2653"/>
      <c r="M6" s="2654"/>
      <c r="N6" s="2654"/>
      <c r="O6" s="2654"/>
      <c r="P6" s="3234"/>
      <c r="Q6" s="3235"/>
      <c r="R6" s="3238"/>
      <c r="S6" s="3239"/>
      <c r="T6" s="3250"/>
      <c r="U6" s="3251"/>
      <c r="V6" s="3252"/>
      <c r="W6" s="3252"/>
      <c r="X6" s="1394"/>
      <c r="Y6" s="3250"/>
      <c r="Z6" s="3251"/>
      <c r="AA6" s="3225"/>
      <c r="AB6" s="3252"/>
      <c r="AC6" s="3225"/>
    </row>
    <row r="7" spans="1:29" s="107" customFormat="1" ht="15.75" thickBot="1">
      <c r="A7" s="358" t="s">
        <v>2127</v>
      </c>
      <c r="B7" s="359"/>
      <c r="C7" s="360">
        <v>42736</v>
      </c>
      <c r="D7" s="361">
        <v>100</v>
      </c>
      <c r="E7" s="362">
        <f>C7</f>
        <v>42736</v>
      </c>
      <c r="F7" s="363">
        <f>SUMIF(58:58,YEAR(E7)&amp;"-"&amp;MONTH(E7),59:59)</f>
        <v>100</v>
      </c>
      <c r="G7" s="362">
        <f>E7</f>
        <v>42736</v>
      </c>
      <c r="H7" s="361">
        <f>SUMIF(58:58,YEAR(G7)&amp;"-"&amp;MONTH(G7),59:59)</f>
        <v>100</v>
      </c>
      <c r="I7" s="362">
        <f>E7</f>
        <v>42736</v>
      </c>
      <c r="J7" s="361">
        <f>SUMIF(58:58,YEAR(I7)&amp;"-"&amp;MONTH(I7),59:59)</f>
        <v>100</v>
      </c>
      <c r="K7" s="41"/>
      <c r="L7" s="2655"/>
      <c r="M7" s="2604"/>
      <c r="N7" s="2604"/>
      <c r="O7" s="2604"/>
      <c r="P7" s="3253" t="s">
        <v>2128</v>
      </c>
      <c r="Q7" s="3254"/>
      <c r="R7" s="673" t="s">
        <v>17</v>
      </c>
      <c r="S7" s="674">
        <f t="shared" ref="S7:S15" si="0">F7</f>
        <v>100</v>
      </c>
      <c r="T7" s="673" t="s">
        <v>17</v>
      </c>
      <c r="U7" s="674">
        <f t="shared" ref="U7:U15" si="1">H7</f>
        <v>100</v>
      </c>
      <c r="V7" s="673" t="s">
        <v>17</v>
      </c>
      <c r="W7" s="674">
        <f t="shared" ref="W7:W15" si="2">J7</f>
        <v>100</v>
      </c>
      <c r="X7" s="675"/>
      <c r="Y7" s="3253" t="s">
        <v>2128</v>
      </c>
      <c r="Z7" s="325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53" t="s">
        <v>2131</v>
      </c>
      <c r="Q8" s="3255"/>
      <c r="R8" s="673" t="s">
        <v>17</v>
      </c>
      <c r="S8" s="674">
        <f t="shared" si="0"/>
        <v>100</v>
      </c>
      <c r="T8" s="673" t="s">
        <v>17</v>
      </c>
      <c r="U8" s="674">
        <f t="shared" si="1"/>
        <v>100</v>
      </c>
      <c r="V8" s="673" t="s">
        <v>17</v>
      </c>
      <c r="W8" s="674">
        <f t="shared" si="2"/>
        <v>100</v>
      </c>
      <c r="X8" s="675"/>
      <c r="Y8" s="3253" t="s">
        <v>2131</v>
      </c>
      <c r="Z8" s="325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56"/>
      <c r="Q11" s="538" t="str">
        <f t="shared" si="6"/>
        <v>容积率</v>
      </c>
      <c r="R11" s="673" t="s">
        <v>17</v>
      </c>
      <c r="S11" s="674">
        <f t="shared" si="0"/>
        <v>100</v>
      </c>
      <c r="T11" s="673" t="s">
        <v>17</v>
      </c>
      <c r="U11" s="674">
        <f t="shared" si="1"/>
        <v>100</v>
      </c>
      <c r="V11" s="673" t="s">
        <v>17</v>
      </c>
      <c r="W11" s="674">
        <f t="shared" si="2"/>
        <v>100</v>
      </c>
      <c r="X11" s="675"/>
      <c r="Y11" s="3191"/>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5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5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5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2</v>
      </c>
      <c r="L15" s="2659"/>
      <c r="M15" s="2654"/>
      <c r="N15" s="2654"/>
      <c r="O15" s="2654"/>
      <c r="P15" s="3257" t="s">
        <v>2139</v>
      </c>
      <c r="Q15" s="1392" t="str">
        <f t="shared" si="6"/>
        <v>商业繁华度</v>
      </c>
      <c r="R15" s="676" t="s">
        <v>17</v>
      </c>
      <c r="S15" s="677">
        <f t="shared" si="0"/>
        <v>100</v>
      </c>
      <c r="T15" s="676" t="s">
        <v>17</v>
      </c>
      <c r="U15" s="677">
        <f t="shared" si="1"/>
        <v>100</v>
      </c>
      <c r="V15" s="676" t="s">
        <v>17</v>
      </c>
      <c r="W15" s="677">
        <f t="shared" si="2"/>
        <v>100</v>
      </c>
      <c r="X15" s="1394"/>
      <c r="Y15" s="3259" t="s">
        <v>2139</v>
      </c>
      <c r="Z15" s="1393" t="str">
        <f t="shared" si="7"/>
        <v>商业繁华度</v>
      </c>
      <c r="AA15" s="1393">
        <f t="shared" si="3"/>
        <v>1</v>
      </c>
      <c r="AB15" s="1393">
        <f t="shared" si="4"/>
        <v>1</v>
      </c>
      <c r="AC15" s="1393">
        <f t="shared" si="5"/>
        <v>1</v>
      </c>
    </row>
    <row r="16" spans="1:29" ht="15">
      <c r="A16" s="375"/>
      <c r="B16" s="393"/>
      <c r="C16" s="394" t="s">
        <v>3199</v>
      </c>
      <c r="D16" s="395"/>
      <c r="E16" s="394" t="s">
        <v>3199</v>
      </c>
      <c r="F16" s="396"/>
      <c r="G16" s="394" t="s">
        <v>3199</v>
      </c>
      <c r="H16" s="397"/>
      <c r="I16" s="394" t="s">
        <v>3199</v>
      </c>
      <c r="J16" s="395"/>
      <c r="K16" s="549"/>
      <c r="L16" s="2659"/>
      <c r="M16" s="2654"/>
      <c r="N16" s="2654"/>
      <c r="O16" s="2654"/>
      <c r="P16" s="3258"/>
      <c r="Q16" s="1392"/>
      <c r="R16" s="676"/>
      <c r="S16" s="677"/>
      <c r="T16" s="676"/>
      <c r="U16" s="677"/>
      <c r="V16" s="676"/>
      <c r="W16" s="677"/>
      <c r="X16" s="1394"/>
      <c r="Y16" s="3260"/>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58"/>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58"/>
      <c r="Q18" s="1392"/>
      <c r="R18" s="676"/>
      <c r="S18" s="677"/>
      <c r="T18" s="676"/>
      <c r="U18" s="677"/>
      <c r="V18" s="676"/>
      <c r="W18" s="677"/>
      <c r="X18" s="1394"/>
      <c r="Y18" s="3260"/>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58"/>
      <c r="Q20" s="1392"/>
      <c r="R20" s="676"/>
      <c r="S20" s="677"/>
      <c r="T20" s="676"/>
      <c r="U20" s="677"/>
      <c r="V20" s="676"/>
      <c r="W20" s="677"/>
      <c r="X20" s="1394"/>
      <c r="Y20" s="3260"/>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58"/>
      <c r="Q22" s="1392"/>
      <c r="R22" s="676"/>
      <c r="S22" s="677"/>
      <c r="T22" s="676"/>
      <c r="U22" s="677"/>
      <c r="V22" s="676"/>
      <c r="W22" s="677"/>
      <c r="X22" s="1394"/>
      <c r="Y22" s="3260"/>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95</v>
      </c>
      <c r="G23" s="401"/>
      <c r="H23" s="397">
        <f>SUMIF(84:84,G24,85:85)-SUMIF(84:84,C24,85:85)+100</f>
        <v>95</v>
      </c>
      <c r="I23" s="399"/>
      <c r="J23" s="397">
        <f>SUMIF(84:84,I24,85:85)-SUMIF(84:84,C24,85:85)+100</f>
        <v>100</v>
      </c>
      <c r="K23" s="548">
        <v>5</v>
      </c>
      <c r="L23" s="2659"/>
      <c r="M23" s="2654"/>
      <c r="N23" s="2654"/>
      <c r="O23" s="2654"/>
      <c r="P23" s="3258"/>
      <c r="Q23" s="1392" t="str">
        <f>B23</f>
        <v>自然及人文环境</v>
      </c>
      <c r="R23" s="676" t="s">
        <v>17</v>
      </c>
      <c r="S23" s="677">
        <f>F23</f>
        <v>95</v>
      </c>
      <c r="T23" s="676" t="s">
        <v>17</v>
      </c>
      <c r="U23" s="677">
        <f>H23</f>
        <v>95</v>
      </c>
      <c r="V23" s="676" t="s">
        <v>17</v>
      </c>
      <c r="W23" s="677">
        <f>J23</f>
        <v>100</v>
      </c>
      <c r="X23" s="1394"/>
      <c r="Y23" s="3260"/>
      <c r="Z23" s="1393" t="str">
        <f>Q23</f>
        <v>自然及人文环境</v>
      </c>
      <c r="AA23" s="1393">
        <f t="shared" si="3"/>
        <v>1.0526315789473684</v>
      </c>
      <c r="AB23" s="1393">
        <f t="shared" si="4"/>
        <v>1.0526315789473684</v>
      </c>
      <c r="AC23" s="1393">
        <f t="shared" si="5"/>
        <v>1</v>
      </c>
    </row>
    <row r="24" spans="1:29" ht="15">
      <c r="A24" s="375"/>
      <c r="B24" s="403"/>
      <c r="C24" s="394" t="s">
        <v>3194</v>
      </c>
      <c r="D24" s="395"/>
      <c r="E24" s="1882" t="s">
        <v>3193</v>
      </c>
      <c r="F24" s="396"/>
      <c r="G24" s="1881" t="s">
        <v>3193</v>
      </c>
      <c r="H24" s="395"/>
      <c r="I24" s="1882" t="s">
        <v>3194</v>
      </c>
      <c r="J24" s="395"/>
      <c r="K24" s="549"/>
      <c r="L24" s="2659"/>
      <c r="M24" s="2654"/>
      <c r="N24" s="2654"/>
      <c r="O24" s="2654"/>
      <c r="P24" s="3258"/>
      <c r="Q24" s="1392"/>
      <c r="R24" s="676"/>
      <c r="S24" s="677"/>
      <c r="T24" s="676"/>
      <c r="U24" s="677"/>
      <c r="V24" s="676"/>
      <c r="W24" s="677"/>
      <c r="X24" s="1394"/>
      <c r="Y24" s="3260"/>
      <c r="Z24" s="1393"/>
      <c r="AA24" s="1393">
        <v>1</v>
      </c>
      <c r="AB24" s="1393">
        <v>1</v>
      </c>
      <c r="AC24" s="1393">
        <v>1</v>
      </c>
    </row>
    <row r="25" spans="1:29" ht="15">
      <c r="A25" s="375"/>
      <c r="B25" s="370" t="s">
        <v>2235</v>
      </c>
      <c r="C25" s="550" t="s">
        <v>3225</v>
      </c>
      <c r="D25" s="382">
        <v>100</v>
      </c>
      <c r="E25" s="550" t="s">
        <v>3225</v>
      </c>
      <c r="F25" s="408">
        <f>SUMIF(86:86,E25,87:87)-SUMIF(86:86,C25,87:87)+100</f>
        <v>100</v>
      </c>
      <c r="G25" s="550" t="s">
        <v>3229</v>
      </c>
      <c r="H25" s="382">
        <f>SUMIF(86:86,G25,87:87)-SUMIF(86:86,C25,87:87)+100</f>
        <v>98</v>
      </c>
      <c r="I25" s="550" t="s">
        <v>3225</v>
      </c>
      <c r="J25" s="382">
        <f>SUMIF(86:86,I25,87:87)-SUMIF(86:86,C25,87:87)+100</f>
        <v>100</v>
      </c>
      <c r="K25" s="546">
        <v>2</v>
      </c>
      <c r="L25" s="2659"/>
      <c r="M25" s="2654"/>
      <c r="N25" s="2654"/>
      <c r="O25" s="2654"/>
      <c r="P25" s="3258"/>
      <c r="Q25" s="1392" t="str">
        <f t="shared" ref="Q25:Q46" si="8">B25</f>
        <v>临街状况</v>
      </c>
      <c r="R25" s="676" t="s">
        <v>17</v>
      </c>
      <c r="S25" s="677">
        <f>F25</f>
        <v>100</v>
      </c>
      <c r="T25" s="676" t="s">
        <v>17</v>
      </c>
      <c r="U25" s="677">
        <f>H25</f>
        <v>98</v>
      </c>
      <c r="V25" s="676" t="s">
        <v>17</v>
      </c>
      <c r="W25" s="677">
        <f>J25</f>
        <v>100</v>
      </c>
      <c r="X25" s="1394"/>
      <c r="Y25" s="3260"/>
      <c r="Z25" s="1393" t="str">
        <f>Q25</f>
        <v>临街状况</v>
      </c>
      <c r="AA25" s="1393">
        <f t="shared" si="3"/>
        <v>1</v>
      </c>
      <c r="AB25" s="1393">
        <f t="shared" si="4"/>
        <v>1.0204081632653061</v>
      </c>
      <c r="AC25" s="1393">
        <f t="shared" si="5"/>
        <v>1</v>
      </c>
    </row>
    <row r="26" spans="1:29" ht="15">
      <c r="A26" s="375"/>
      <c r="B26" s="1176" t="s">
        <v>2236</v>
      </c>
      <c r="C26" s="2968" t="s">
        <v>3231</v>
      </c>
      <c r="D26" s="382">
        <v>100</v>
      </c>
      <c r="E26" s="2968" t="s">
        <v>3231</v>
      </c>
      <c r="F26" s="408">
        <f>SUMIF(88:88,E26,89:89)-SUMIF(88:88,C26,89:89)+100</f>
        <v>100</v>
      </c>
      <c r="G26" s="2968" t="s">
        <v>3231</v>
      </c>
      <c r="H26" s="382">
        <f>SUMIF(88:88,G26,89:89)-SUMIF(88:88,C26,89:89)+100</f>
        <v>100</v>
      </c>
      <c r="I26" s="2968" t="s">
        <v>3231</v>
      </c>
      <c r="J26" s="382">
        <f>SUMIF(88:88,I26,89:89)-SUMIF(88:88,C26,89:89)+100</f>
        <v>100</v>
      </c>
      <c r="K26" s="547"/>
      <c r="L26" s="2659"/>
      <c r="M26" s="2654"/>
      <c r="N26" s="2654"/>
      <c r="O26" s="2654"/>
      <c r="P26" s="3258"/>
      <c r="Q26" s="1392" t="str">
        <f t="shared" si="8"/>
        <v>平面位置/可视性</v>
      </c>
      <c r="R26" s="676" t="s">
        <v>17</v>
      </c>
      <c r="S26" s="677">
        <f>F26</f>
        <v>100</v>
      </c>
      <c r="T26" s="676" t="s">
        <v>17</v>
      </c>
      <c r="U26" s="677">
        <f>H26</f>
        <v>100</v>
      </c>
      <c r="V26" s="676" t="s">
        <v>17</v>
      </c>
      <c r="W26" s="677">
        <f>J26</f>
        <v>100</v>
      </c>
      <c r="X26" s="1394"/>
      <c r="Y26" s="3260"/>
      <c r="Z26" s="1393" t="str">
        <f>Q26</f>
        <v>平面位置/可视性</v>
      </c>
      <c r="AA26" s="1393">
        <f t="shared" si="3"/>
        <v>1</v>
      </c>
      <c r="AB26" s="1393">
        <f t="shared" si="4"/>
        <v>1</v>
      </c>
      <c r="AC26" s="1393">
        <f t="shared" si="5"/>
        <v>1</v>
      </c>
    </row>
    <row r="27" spans="1:29" s="107" customFormat="1" ht="15">
      <c r="A27" s="378"/>
      <c r="B27" s="398" t="s">
        <v>2237</v>
      </c>
      <c r="C27" s="1937" t="s">
        <v>3199</v>
      </c>
      <c r="D27" s="409">
        <v>100</v>
      </c>
      <c r="E27" s="1937" t="s">
        <v>3199</v>
      </c>
      <c r="F27" s="403">
        <f>SUMIF(90:90,E27,91:91)-SUMIF(90:90,C27,91:91)+100</f>
        <v>100</v>
      </c>
      <c r="G27" s="1937" t="s">
        <v>3199</v>
      </c>
      <c r="H27" s="409">
        <f>SUMIF(90:90,G27,91:91)-SUMIF(90:90,C27,91:91)+100</f>
        <v>100</v>
      </c>
      <c r="I27" s="1937" t="s">
        <v>3199</v>
      </c>
      <c r="J27" s="409">
        <f>SUMIF(90:90,I27,91:91)-SUMIF(90:90,C27,91:91)+100</f>
        <v>100</v>
      </c>
      <c r="K27" s="546">
        <v>2</v>
      </c>
      <c r="L27" s="2655"/>
      <c r="M27" s="2604"/>
      <c r="N27" s="2604"/>
      <c r="O27" s="2604"/>
      <c r="P27" s="3258"/>
      <c r="Q27" s="538" t="str">
        <f t="shared" si="8"/>
        <v>人流量</v>
      </c>
      <c r="R27" s="673" t="s">
        <v>17</v>
      </c>
      <c r="S27" s="674">
        <f>F27</f>
        <v>100</v>
      </c>
      <c r="T27" s="673" t="s">
        <v>17</v>
      </c>
      <c r="U27" s="674">
        <f>H27</f>
        <v>100</v>
      </c>
      <c r="V27" s="673" t="s">
        <v>17</v>
      </c>
      <c r="W27" s="674">
        <f>J27</f>
        <v>100</v>
      </c>
      <c r="X27" s="675"/>
      <c r="Y27" s="3260"/>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58"/>
      <c r="Q28" s="1392" t="str">
        <f t="shared" si="8"/>
        <v>楼层</v>
      </c>
      <c r="R28" s="676" t="s">
        <v>17</v>
      </c>
      <c r="S28" s="677">
        <f t="shared" ref="S28:S46" si="9">F28</f>
        <v>100</v>
      </c>
      <c r="T28" s="676" t="s">
        <v>17</v>
      </c>
      <c r="U28" s="677">
        <f t="shared" ref="U28:U46" si="10">H28</f>
        <v>100</v>
      </c>
      <c r="V28" s="676" t="s">
        <v>17</v>
      </c>
      <c r="W28" s="677">
        <f t="shared" ref="W28:W46" si="11">J28</f>
        <v>100</v>
      </c>
      <c r="X28" s="1394"/>
      <c r="Y28" s="3260"/>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8"/>
      <c r="Q29" s="1392">
        <f t="shared" si="8"/>
        <v>111</v>
      </c>
      <c r="R29" s="676" t="s">
        <v>17</v>
      </c>
      <c r="S29" s="677">
        <f t="shared" si="9"/>
        <v>100</v>
      </c>
      <c r="T29" s="676" t="s">
        <v>17</v>
      </c>
      <c r="U29" s="677">
        <f t="shared" si="10"/>
        <v>100</v>
      </c>
      <c r="V29" s="676" t="s">
        <v>17</v>
      </c>
      <c r="W29" s="677">
        <f t="shared" si="11"/>
        <v>100</v>
      </c>
      <c r="X29" s="1394"/>
      <c r="Y29" s="3260"/>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8"/>
      <c r="Q30" s="1392">
        <f t="shared" si="8"/>
        <v>111</v>
      </c>
      <c r="R30" s="676" t="s">
        <v>17</v>
      </c>
      <c r="S30" s="677">
        <f t="shared" si="9"/>
        <v>100</v>
      </c>
      <c r="T30" s="676" t="s">
        <v>17</v>
      </c>
      <c r="U30" s="677">
        <f t="shared" si="10"/>
        <v>100</v>
      </c>
      <c r="V30" s="676" t="s">
        <v>17</v>
      </c>
      <c r="W30" s="677">
        <f t="shared" si="11"/>
        <v>100</v>
      </c>
      <c r="X30" s="1394"/>
      <c r="Y30" s="3260"/>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393">
        <f t="shared" si="5"/>
        <v>1</v>
      </c>
    </row>
    <row r="32" spans="1:29" ht="15">
      <c r="A32" s="387" t="s">
        <v>2142</v>
      </c>
      <c r="B32" s="64" t="s">
        <v>2239</v>
      </c>
      <c r="C32" s="1894" t="s">
        <v>3272</v>
      </c>
      <c r="D32" s="413">
        <v>100</v>
      </c>
      <c r="E32" s="1894" t="s">
        <v>3272</v>
      </c>
      <c r="F32" s="408">
        <f>SUMIF(100:100,E32,101:101)-SUMIF(100:100,C32,101:101)+100</f>
        <v>100</v>
      </c>
      <c r="G32" s="1894" t="s">
        <v>3272</v>
      </c>
      <c r="H32" s="382">
        <f>SUMIF(100:100,G32,101:101)-SUMIF(100:100,C32,101:101)+100</f>
        <v>100</v>
      </c>
      <c r="I32" s="1894" t="s">
        <v>3272</v>
      </c>
      <c r="J32" s="413">
        <f>SUMIF(100:100,I32,101:101)-SUMIF(100:100,C32,101:101)+100</f>
        <v>100</v>
      </c>
      <c r="K32" s="546">
        <v>2</v>
      </c>
      <c r="L32" s="2659"/>
      <c r="M32" s="2654"/>
      <c r="N32" s="2654"/>
      <c r="O32" s="2654"/>
      <c r="P32" s="3261" t="s">
        <v>2144</v>
      </c>
      <c r="Q32" s="1392" t="str">
        <f t="shared" si="8"/>
        <v>商业类型</v>
      </c>
      <c r="R32" s="676" t="s">
        <v>17</v>
      </c>
      <c r="S32" s="677">
        <f t="shared" si="9"/>
        <v>100</v>
      </c>
      <c r="T32" s="676" t="s">
        <v>17</v>
      </c>
      <c r="U32" s="677">
        <f t="shared" si="10"/>
        <v>100</v>
      </c>
      <c r="V32" s="676" t="s">
        <v>17</v>
      </c>
      <c r="W32" s="677">
        <f t="shared" si="11"/>
        <v>100</v>
      </c>
      <c r="X32" s="1394"/>
      <c r="Y32" s="3264" t="s">
        <v>2144</v>
      </c>
      <c r="Z32" s="1393" t="str">
        <f t="shared" si="12"/>
        <v>商业类型</v>
      </c>
      <c r="AA32" s="1393">
        <f t="shared" si="3"/>
        <v>1</v>
      </c>
      <c r="AB32" s="1393">
        <f t="shared" si="4"/>
        <v>1</v>
      </c>
      <c r="AC32" s="1393">
        <f t="shared" si="5"/>
        <v>1</v>
      </c>
    </row>
    <row r="33" spans="1:29" s="416" customFormat="1" ht="15">
      <c r="A33" s="414"/>
      <c r="B33" s="370" t="s">
        <v>2145</v>
      </c>
      <c r="C33" s="415">
        <f>'数据-基础表'!I13</f>
        <v>256</v>
      </c>
      <c r="D33" s="124">
        <v>100</v>
      </c>
      <c r="E33" s="377">
        <v>620.55999999999995</v>
      </c>
      <c r="F33" s="370">
        <f>LOOKUP(E33,103:103,104:104)-LOOKUP(C33,103:103,104:104)+100</f>
        <v>98</v>
      </c>
      <c r="G33" s="376">
        <v>72.3</v>
      </c>
      <c r="H33" s="124">
        <f>LOOKUP(G33,103:103,104:104)-LOOKUP(C33,103:103,104:104)+100</f>
        <v>100</v>
      </c>
      <c r="I33" s="376">
        <v>404.44</v>
      </c>
      <c r="J33" s="124">
        <f>LOOKUP(I33,103:103,104:104)-LOOKUP(C33,103:103,104:104)+100</f>
        <v>98</v>
      </c>
      <c r="K33" s="547"/>
      <c r="L33" s="2658"/>
      <c r="M33" s="2660"/>
      <c r="N33" s="2660"/>
      <c r="O33" s="2660"/>
      <c r="P33" s="3262"/>
      <c r="Q33" s="539" t="str">
        <f t="shared" si="8"/>
        <v>项目建筑规模</v>
      </c>
      <c r="R33" s="678" t="s">
        <v>17</v>
      </c>
      <c r="S33" s="679">
        <f t="shared" si="9"/>
        <v>98</v>
      </c>
      <c r="T33" s="678" t="s">
        <v>17</v>
      </c>
      <c r="U33" s="679">
        <f t="shared" si="10"/>
        <v>100</v>
      </c>
      <c r="V33" s="678" t="s">
        <v>17</v>
      </c>
      <c r="W33" s="679">
        <f t="shared" si="11"/>
        <v>98</v>
      </c>
      <c r="X33" s="680"/>
      <c r="Y33" s="3264"/>
      <c r="Z33" s="681" t="str">
        <f t="shared" si="12"/>
        <v>项目建筑规模</v>
      </c>
      <c r="AA33" s="1393">
        <f t="shared" si="3"/>
        <v>1.0204081632653061</v>
      </c>
      <c r="AB33" s="1393">
        <f t="shared" si="4"/>
        <v>1</v>
      </c>
      <c r="AC33" s="1393">
        <f t="shared" si="5"/>
        <v>1.0204081632653061</v>
      </c>
    </row>
    <row r="34" spans="1:29" ht="15">
      <c r="A34" s="417"/>
      <c r="B34" s="370" t="s">
        <v>2146</v>
      </c>
      <c r="C34" s="407" t="s">
        <v>3208</v>
      </c>
      <c r="D34" s="382">
        <v>100</v>
      </c>
      <c r="E34" s="407" t="s">
        <v>3208</v>
      </c>
      <c r="F34" s="408">
        <f>SUMIF(105:105,E34,106:106)-SUMIF(105:105,C34,106:106)+100</f>
        <v>100</v>
      </c>
      <c r="G34" s="407" t="s">
        <v>3208</v>
      </c>
      <c r="H34" s="382">
        <f>SUMIF(105:105,G34,106:106)-SUMIF(105:105,C34,106:106)+100</f>
        <v>100</v>
      </c>
      <c r="I34" s="407" t="s">
        <v>3208</v>
      </c>
      <c r="J34" s="382">
        <f>SUMIF(105:105,I34,106:106)-SUMIF(105:105,C34,106:106)+100</f>
        <v>100</v>
      </c>
      <c r="K34" s="546"/>
      <c r="L34" s="2659"/>
      <c r="M34" s="2654"/>
      <c r="N34" s="2654"/>
      <c r="O34" s="2654"/>
      <c r="P34" s="3262"/>
      <c r="Q34" s="1392" t="str">
        <f t="shared" si="8"/>
        <v>建筑结构</v>
      </c>
      <c r="R34" s="676" t="s">
        <v>17</v>
      </c>
      <c r="S34" s="677">
        <f t="shared" si="9"/>
        <v>100</v>
      </c>
      <c r="T34" s="676" t="s">
        <v>17</v>
      </c>
      <c r="U34" s="677">
        <f t="shared" si="10"/>
        <v>100</v>
      </c>
      <c r="V34" s="676" t="s">
        <v>17</v>
      </c>
      <c r="W34" s="677">
        <f t="shared" si="11"/>
        <v>100</v>
      </c>
      <c r="X34" s="1394"/>
      <c r="Y34" s="3264"/>
      <c r="Z34" s="1393" t="str">
        <f t="shared" si="12"/>
        <v>建筑结构</v>
      </c>
      <c r="AA34" s="1393">
        <f t="shared" si="3"/>
        <v>1</v>
      </c>
      <c r="AB34" s="1393">
        <f t="shared" si="4"/>
        <v>1</v>
      </c>
      <c r="AC34" s="1393">
        <f t="shared" si="5"/>
        <v>1</v>
      </c>
    </row>
    <row r="35" spans="1:29" ht="15">
      <c r="A35" s="417"/>
      <c r="B35" s="370" t="s">
        <v>2240</v>
      </c>
      <c r="C35" s="1890" t="s">
        <v>3211</v>
      </c>
      <c r="D35" s="382">
        <v>100</v>
      </c>
      <c r="E35" s="1890" t="s">
        <v>3211</v>
      </c>
      <c r="F35" s="408">
        <f>SUMIF(107:107,E35,108:108)-SUMIF(107:107,C35,108:108)+100</f>
        <v>100</v>
      </c>
      <c r="G35" s="1890" t="s">
        <v>3211</v>
      </c>
      <c r="H35" s="382">
        <f>SUMIF(107:107,G35,108:108)-SUMIF(107:107,C35,108:108)+100</f>
        <v>100</v>
      </c>
      <c r="I35" s="1890" t="s">
        <v>3211</v>
      </c>
      <c r="J35" s="382">
        <f>SUMIF(107:107,I35,108:108)-SUMIF(107:107,C35,108:108)+100</f>
        <v>100</v>
      </c>
      <c r="K35" s="546"/>
      <c r="L35" s="2659"/>
      <c r="M35" s="2654"/>
      <c r="N35" s="2654"/>
      <c r="O35" s="2654"/>
      <c r="P35" s="3262"/>
      <c r="Q35" s="1392" t="str">
        <f t="shared" si="8"/>
        <v>公共部分装修</v>
      </c>
      <c r="R35" s="676" t="s">
        <v>17</v>
      </c>
      <c r="S35" s="677">
        <f t="shared" si="9"/>
        <v>100</v>
      </c>
      <c r="T35" s="676" t="s">
        <v>17</v>
      </c>
      <c r="U35" s="677">
        <f t="shared" si="10"/>
        <v>100</v>
      </c>
      <c r="V35" s="676" t="s">
        <v>17</v>
      </c>
      <c r="W35" s="677">
        <f t="shared" si="11"/>
        <v>100</v>
      </c>
      <c r="X35" s="1394"/>
      <c r="Y35" s="3264"/>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62"/>
      <c r="Q36" s="1392" t="str">
        <f t="shared" si="8"/>
        <v>成新度</v>
      </c>
      <c r="R36" s="676" t="s">
        <v>17</v>
      </c>
      <c r="S36" s="677">
        <f t="shared" si="9"/>
        <v>100</v>
      </c>
      <c r="T36" s="676" t="s">
        <v>17</v>
      </c>
      <c r="U36" s="677">
        <f t="shared" si="10"/>
        <v>100</v>
      </c>
      <c r="V36" s="676" t="s">
        <v>17</v>
      </c>
      <c r="W36" s="677">
        <f t="shared" si="11"/>
        <v>100</v>
      </c>
      <c r="X36" s="1394"/>
      <c r="Y36" s="3264"/>
      <c r="Z36" s="1393" t="str">
        <f t="shared" si="12"/>
        <v>成新度</v>
      </c>
      <c r="AA36" s="1393">
        <f t="shared" si="3"/>
        <v>1</v>
      </c>
      <c r="AB36" s="1393">
        <f t="shared" si="4"/>
        <v>1</v>
      </c>
      <c r="AC36" s="1393">
        <f t="shared" si="5"/>
        <v>1</v>
      </c>
    </row>
    <row r="37" spans="1:29" s="107" customFormat="1" ht="15">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62"/>
      <c r="Q37" s="538" t="str">
        <f t="shared" si="8"/>
        <v>市政基础设施</v>
      </c>
      <c r="R37" s="673" t="s">
        <v>17</v>
      </c>
      <c r="S37" s="674">
        <f t="shared" si="9"/>
        <v>100</v>
      </c>
      <c r="T37" s="673" t="s">
        <v>17</v>
      </c>
      <c r="U37" s="674">
        <f t="shared" si="10"/>
        <v>100</v>
      </c>
      <c r="V37" s="673" t="s">
        <v>17</v>
      </c>
      <c r="W37" s="674">
        <f t="shared" si="11"/>
        <v>100</v>
      </c>
      <c r="X37" s="675"/>
      <c r="Y37" s="3264"/>
      <c r="Z37" s="53" t="str">
        <f t="shared" si="12"/>
        <v>市政基础设施</v>
      </c>
      <c r="AA37" s="53">
        <f t="shared" si="3"/>
        <v>1</v>
      </c>
      <c r="AB37" s="53">
        <f t="shared" si="4"/>
        <v>1</v>
      </c>
      <c r="AC37" s="53">
        <f t="shared" si="5"/>
        <v>1</v>
      </c>
    </row>
    <row r="38" spans="1:29" ht="15">
      <c r="A38" s="417"/>
      <c r="B38" s="370" t="s">
        <v>2243</v>
      </c>
      <c r="C38" s="1890" t="s">
        <v>3296</v>
      </c>
      <c r="D38" s="382">
        <v>100</v>
      </c>
      <c r="E38" s="1890" t="s">
        <v>3296</v>
      </c>
      <c r="F38" s="408">
        <f>SUMIF(114:114,E38,115:115)-SUMIF(114:114,C38,115:115)+100</f>
        <v>100</v>
      </c>
      <c r="G38" s="1890" t="s">
        <v>3296</v>
      </c>
      <c r="H38" s="382">
        <f>SUMIF(114:114,G38,115:115)-SUMIF(114:114,C38,115:115)+100</f>
        <v>100</v>
      </c>
      <c r="I38" s="1890" t="s">
        <v>3296</v>
      </c>
      <c r="J38" s="382">
        <f>SUMIF(114:114,I38,115:115)-SUMIF(114:114,C38,115:115)+100</f>
        <v>100</v>
      </c>
      <c r="K38" s="546"/>
      <c r="L38" s="2659"/>
      <c r="M38" s="2654"/>
      <c r="N38" s="2654"/>
      <c r="O38" s="2654"/>
      <c r="P38" s="3262" t="s">
        <v>2144</v>
      </c>
      <c r="Q38" s="1392" t="str">
        <f t="shared" si="8"/>
        <v>业态</v>
      </c>
      <c r="R38" s="676" t="s">
        <v>17</v>
      </c>
      <c r="S38" s="677">
        <f t="shared" si="9"/>
        <v>100</v>
      </c>
      <c r="T38" s="676" t="s">
        <v>17</v>
      </c>
      <c r="U38" s="677">
        <f t="shared" si="10"/>
        <v>100</v>
      </c>
      <c r="V38" s="676" t="s">
        <v>17</v>
      </c>
      <c r="W38" s="677">
        <f t="shared" si="11"/>
        <v>100</v>
      </c>
      <c r="X38" s="1394"/>
      <c r="Y38" s="3264" t="s">
        <v>2144</v>
      </c>
      <c r="Z38" s="1393" t="str">
        <f t="shared" si="12"/>
        <v>业态</v>
      </c>
      <c r="AA38" s="1393">
        <f t="shared" si="3"/>
        <v>1</v>
      </c>
      <c r="AB38" s="1393">
        <f t="shared" si="4"/>
        <v>1</v>
      </c>
      <c r="AC38" s="1393">
        <f t="shared" si="5"/>
        <v>1</v>
      </c>
    </row>
    <row r="39" spans="1:29" ht="15">
      <c r="A39" s="417"/>
      <c r="B39" s="370" t="s">
        <v>2244</v>
      </c>
      <c r="C39" s="1890" t="s">
        <v>3216</v>
      </c>
      <c r="D39" s="382">
        <v>100</v>
      </c>
      <c r="E39" s="1890" t="s">
        <v>3216</v>
      </c>
      <c r="F39" s="408">
        <f>SUMIF(116:116,E39,117:117)-SUMIF(116:116,C39,117:117)+100</f>
        <v>100</v>
      </c>
      <c r="G39" s="1890" t="s">
        <v>3216</v>
      </c>
      <c r="H39" s="382">
        <f>SUMIF(116:116,G39,117:117)-SUMIF(116:116,C39,117:117)+100</f>
        <v>100</v>
      </c>
      <c r="I39" s="1890" t="s">
        <v>3216</v>
      </c>
      <c r="J39" s="382">
        <f>SUMIF(116:116,I39,117:117)-SUMIF(116:116,C39,117:117)+100</f>
        <v>100</v>
      </c>
      <c r="K39" s="546"/>
      <c r="L39" s="2659"/>
      <c r="M39" s="2654"/>
      <c r="N39" s="2654"/>
      <c r="O39" s="2654"/>
      <c r="P39" s="3262"/>
      <c r="Q39" s="1392" t="str">
        <f t="shared" si="8"/>
        <v>层高</v>
      </c>
      <c r="R39" s="676" t="s">
        <v>17</v>
      </c>
      <c r="S39" s="677">
        <f t="shared" si="9"/>
        <v>100</v>
      </c>
      <c r="T39" s="676" t="s">
        <v>17</v>
      </c>
      <c r="U39" s="677">
        <f t="shared" si="10"/>
        <v>100</v>
      </c>
      <c r="V39" s="676" t="s">
        <v>17</v>
      </c>
      <c r="W39" s="677">
        <f t="shared" si="11"/>
        <v>100</v>
      </c>
      <c r="X39" s="1394"/>
      <c r="Y39" s="3264"/>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62"/>
      <c r="Q40" s="1392" t="str">
        <f t="shared" si="8"/>
        <v>单套建筑面积</v>
      </c>
      <c r="R40" s="676" t="s">
        <v>17</v>
      </c>
      <c r="S40" s="677">
        <f t="shared" si="9"/>
        <v>100</v>
      </c>
      <c r="T40" s="676" t="s">
        <v>17</v>
      </c>
      <c r="U40" s="677">
        <f t="shared" si="10"/>
        <v>100</v>
      </c>
      <c r="V40" s="676" t="s">
        <v>17</v>
      </c>
      <c r="W40" s="677">
        <f t="shared" si="11"/>
        <v>100</v>
      </c>
      <c r="X40" s="1394"/>
      <c r="Y40" s="3264"/>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62"/>
      <c r="Q41" s="539" t="str">
        <f t="shared" si="8"/>
        <v>进深比</v>
      </c>
      <c r="R41" s="678" t="s">
        <v>17</v>
      </c>
      <c r="S41" s="679">
        <f t="shared" si="9"/>
        <v>100</v>
      </c>
      <c r="T41" s="678" t="s">
        <v>17</v>
      </c>
      <c r="U41" s="679">
        <f t="shared" si="10"/>
        <v>100</v>
      </c>
      <c r="V41" s="678" t="s">
        <v>17</v>
      </c>
      <c r="W41" s="679">
        <f t="shared" si="11"/>
        <v>100</v>
      </c>
      <c r="X41" s="680"/>
      <c r="Y41" s="3264"/>
      <c r="Z41" s="681" t="str">
        <f t="shared" si="12"/>
        <v>进深比</v>
      </c>
      <c r="AA41" s="1393">
        <f t="shared" si="3"/>
        <v>1</v>
      </c>
      <c r="AB41" s="1393">
        <f t="shared" si="4"/>
        <v>1</v>
      </c>
      <c r="AC41" s="1393">
        <f t="shared" si="5"/>
        <v>1</v>
      </c>
    </row>
    <row r="42" spans="1:29" ht="15">
      <c r="A42" s="417"/>
      <c r="B42" s="370" t="s">
        <v>2247</v>
      </c>
      <c r="C42" s="1890" t="s">
        <v>3221</v>
      </c>
      <c r="D42" s="382">
        <v>100</v>
      </c>
      <c r="E42" s="1890" t="s">
        <v>3219</v>
      </c>
      <c r="F42" s="408">
        <f>SUMIF(122:122,E42,123:123)-SUMIF(122:122,C42,123:123)+100</f>
        <v>102</v>
      </c>
      <c r="G42" s="2982" t="s">
        <v>3219</v>
      </c>
      <c r="H42" s="382">
        <f>SUMIF(122:122,G42,123:123)-SUMIF(122:122,C42,123:123)+100</f>
        <v>102</v>
      </c>
      <c r="I42" s="1890" t="s">
        <v>3219</v>
      </c>
      <c r="J42" s="382">
        <f>SUMIF(122:122,I42,123:123)-SUMIF(122:122,C42,123:123)+100</f>
        <v>102</v>
      </c>
      <c r="K42" s="2977">
        <v>2</v>
      </c>
      <c r="L42" s="2659"/>
      <c r="M42" s="2654"/>
      <c r="N42" s="2654"/>
      <c r="O42" s="2654"/>
      <c r="P42" s="3262"/>
      <c r="Q42" s="1392" t="str">
        <f t="shared" si="8"/>
        <v>内部装修</v>
      </c>
      <c r="R42" s="676" t="s">
        <v>17</v>
      </c>
      <c r="S42" s="677">
        <f t="shared" si="9"/>
        <v>102</v>
      </c>
      <c r="T42" s="676" t="s">
        <v>17</v>
      </c>
      <c r="U42" s="677">
        <f t="shared" si="10"/>
        <v>102</v>
      </c>
      <c r="V42" s="676" t="s">
        <v>17</v>
      </c>
      <c r="W42" s="677">
        <f t="shared" si="11"/>
        <v>102</v>
      </c>
      <c r="X42" s="1394"/>
      <c r="Y42" s="3264"/>
      <c r="Z42" s="1393" t="str">
        <f t="shared" si="12"/>
        <v>内部装修</v>
      </c>
      <c r="AA42" s="1393">
        <f t="shared" si="3"/>
        <v>0.98039215686274506</v>
      </c>
      <c r="AB42" s="1393">
        <f t="shared" si="4"/>
        <v>0.98039215686274506</v>
      </c>
      <c r="AC42" s="1393">
        <f t="shared" si="5"/>
        <v>0.98039215686274506</v>
      </c>
    </row>
    <row r="43" spans="1:29" ht="15">
      <c r="A43" s="417"/>
      <c r="B43" s="370" t="s">
        <v>2155</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62"/>
      <c r="Q43" s="1392" t="str">
        <f t="shared" si="8"/>
        <v>内部装修维护情况</v>
      </c>
      <c r="R43" s="676" t="s">
        <v>17</v>
      </c>
      <c r="S43" s="677">
        <f t="shared" si="9"/>
        <v>100</v>
      </c>
      <c r="T43" s="676" t="s">
        <v>17</v>
      </c>
      <c r="U43" s="677">
        <f t="shared" si="10"/>
        <v>100</v>
      </c>
      <c r="V43" s="676" t="s">
        <v>17</v>
      </c>
      <c r="W43" s="677">
        <f t="shared" si="11"/>
        <v>100</v>
      </c>
      <c r="X43" s="1394"/>
      <c r="Y43" s="3264"/>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62"/>
      <c r="Q44" s="538">
        <f t="shared" si="8"/>
        <v>111</v>
      </c>
      <c r="R44" s="673" t="s">
        <v>17</v>
      </c>
      <c r="S44" s="674">
        <f t="shared" si="9"/>
        <v>100</v>
      </c>
      <c r="T44" s="673" t="s">
        <v>17</v>
      </c>
      <c r="U44" s="674">
        <f t="shared" si="10"/>
        <v>100</v>
      </c>
      <c r="V44" s="673" t="s">
        <v>17</v>
      </c>
      <c r="W44" s="674">
        <f t="shared" si="11"/>
        <v>100</v>
      </c>
      <c r="X44" s="675"/>
      <c r="Y44" s="3264"/>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62"/>
      <c r="Q45" s="1392">
        <f t="shared" si="8"/>
        <v>111</v>
      </c>
      <c r="R45" s="676" t="s">
        <v>17</v>
      </c>
      <c r="S45" s="677">
        <f t="shared" si="9"/>
        <v>100</v>
      </c>
      <c r="T45" s="676" t="s">
        <v>17</v>
      </c>
      <c r="U45" s="677">
        <f t="shared" si="10"/>
        <v>100</v>
      </c>
      <c r="V45" s="676" t="s">
        <v>17</v>
      </c>
      <c r="W45" s="677">
        <f t="shared" si="11"/>
        <v>100</v>
      </c>
      <c r="X45" s="1394"/>
      <c r="Y45" s="3264"/>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63"/>
      <c r="Q46" s="1392">
        <f t="shared" si="8"/>
        <v>111</v>
      </c>
      <c r="R46" s="676" t="s">
        <v>17</v>
      </c>
      <c r="S46" s="677">
        <f t="shared" si="9"/>
        <v>100</v>
      </c>
      <c r="T46" s="676" t="s">
        <v>17</v>
      </c>
      <c r="U46" s="677">
        <f t="shared" si="10"/>
        <v>100</v>
      </c>
      <c r="V46" s="676" t="s">
        <v>17</v>
      </c>
      <c r="W46" s="677">
        <f t="shared" si="11"/>
        <v>100</v>
      </c>
      <c r="X46" s="1394"/>
      <c r="Y46" s="3265"/>
      <c r="Z46" s="1393">
        <f t="shared" si="12"/>
        <v>111</v>
      </c>
      <c r="AA46" s="1393">
        <f t="shared" si="3"/>
        <v>1</v>
      </c>
      <c r="AB46" s="1393">
        <f t="shared" si="4"/>
        <v>1</v>
      </c>
      <c r="AC46" s="1393">
        <f t="shared" si="5"/>
        <v>1</v>
      </c>
    </row>
    <row r="47" spans="1:29" ht="15">
      <c r="A47" s="424" t="s">
        <v>2156</v>
      </c>
      <c r="B47" s="425"/>
      <c r="C47" s="1191" t="s">
        <v>1</v>
      </c>
      <c r="D47" s="426"/>
      <c r="E47" s="427">
        <v>10</v>
      </c>
      <c r="F47" s="428"/>
      <c r="G47" s="429">
        <v>12</v>
      </c>
      <c r="H47" s="430"/>
      <c r="I47" s="427">
        <v>12</v>
      </c>
      <c r="J47" s="430"/>
      <c r="K47" s="683"/>
      <c r="L47" s="2661"/>
      <c r="M47" s="2654"/>
      <c r="N47" s="2654"/>
      <c r="O47" s="2654"/>
      <c r="P47" s="3266" t="str">
        <f>A47</f>
        <v>成交单价（元/平方米）</v>
      </c>
      <c r="Q47" s="3266"/>
      <c r="R47" s="3252">
        <f>E47</f>
        <v>10</v>
      </c>
      <c r="S47" s="3252"/>
      <c r="T47" s="3252">
        <f>G47</f>
        <v>12</v>
      </c>
      <c r="U47" s="3252"/>
      <c r="V47" s="3252">
        <f>I47</f>
        <v>12</v>
      </c>
      <c r="W47" s="3252"/>
      <c r="X47" s="393"/>
      <c r="Y47" s="682"/>
      <c r="Z47" s="393"/>
      <c r="AA47" s="393"/>
      <c r="AB47" s="393"/>
      <c r="AC47" s="393"/>
    </row>
    <row r="48" spans="1:29" ht="15.75" thickBot="1">
      <c r="A48" s="431" t="s">
        <v>2157</v>
      </c>
      <c r="B48" s="432"/>
      <c r="C48" s="1192">
        <f>R49</f>
        <v>11.7</v>
      </c>
      <c r="D48" s="2301" t="s">
        <v>2638</v>
      </c>
      <c r="E48" s="1193">
        <f>R48</f>
        <v>10.5</v>
      </c>
      <c r="F48" s="2302"/>
      <c r="G48" s="1192">
        <f>T48</f>
        <v>12.6</v>
      </c>
      <c r="H48" s="2302"/>
      <c r="I48" s="1193">
        <f>V48</f>
        <v>12</v>
      </c>
      <c r="J48" s="2302"/>
      <c r="K48" s="2304">
        <f>F48+H48+J48</f>
        <v>0</v>
      </c>
      <c r="L48" s="2661"/>
      <c r="M48" s="2654"/>
      <c r="N48" s="2654"/>
      <c r="O48" s="2654"/>
      <c r="P48" s="3266" t="str">
        <f>A48</f>
        <v>比较价值（元/平方米）</v>
      </c>
      <c r="Q48" s="3266"/>
      <c r="R48" s="3252">
        <f>IF(F1="售价",ROUND(PRODUCT(R47,AA7:AA46),0),ROUND(PRODUCT(R47,AA7:AA46),1))</f>
        <v>10.5</v>
      </c>
      <c r="S48" s="3252"/>
      <c r="T48" s="3252">
        <f>IF(F1="售价",ROUND(PRODUCT(T47,AB7:AB46),0),ROUND(PRODUCT(T47,AB7:AB46),1))</f>
        <v>12.6</v>
      </c>
      <c r="U48" s="3252"/>
      <c r="V48" s="3252">
        <f>IF(F1="售价",ROUND(PRODUCT(V47,AC7:AC46),0),ROUND(PRODUCT(V47,AC7:AC46),1))</f>
        <v>12</v>
      </c>
      <c r="W48" s="3252"/>
      <c r="X48" s="393"/>
      <c r="Y48" s="393"/>
      <c r="Z48" s="393"/>
      <c r="AA48" s="393"/>
      <c r="AB48" s="393"/>
      <c r="AC48" s="393"/>
    </row>
    <row r="49" spans="1:29" ht="15.75" thickBot="1">
      <c r="A49" s="435" t="s">
        <v>2158</v>
      </c>
      <c r="B49" s="436"/>
      <c r="C49" s="357">
        <f>R49</f>
        <v>11.7</v>
      </c>
      <c r="D49" s="357"/>
      <c r="E49" s="357"/>
      <c r="F49" s="357"/>
      <c r="G49" s="357"/>
      <c r="H49" s="357"/>
      <c r="I49" s="357"/>
      <c r="J49" s="357"/>
      <c r="K49" s="684"/>
      <c r="L49" s="2661"/>
      <c r="M49" s="2654"/>
      <c r="N49" s="2654"/>
      <c r="O49" s="2654"/>
      <c r="P49" s="3267" t="str">
        <f>A49</f>
        <v>估价对象XX用房的比较价值（楼面单价，元/平方米）</v>
      </c>
      <c r="Q49" s="3268"/>
      <c r="R49" s="3269">
        <f>IF(F1="售价",ROUND(IF(D48="简单平均",AVERAGE(R48:V48),R48*F48+T48*H48+V48*J48),0),ROUND(IF(D48="简单平均",AVERAGE(R48:V48),R48*F48+T48*H48+V48*J48),1))</f>
        <v>11.7</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5.0000000000000044E-2</v>
      </c>
      <c r="F52" s="443" t="str">
        <f>IF(OR(E52&gt;=0.3,E52&lt;=-0.3),"超过30%","")</f>
        <v/>
      </c>
      <c r="G52" s="442">
        <f>IF(G47&lt;G48,G48/G47-1,G47/G48-1)</f>
        <v>5.0000000000000044E-2</v>
      </c>
      <c r="H52" s="443" t="str">
        <f>IF(OR(G52&gt;=0.3,G52&lt;=-0.3),"超过30%","")</f>
        <v/>
      </c>
      <c r="I52" s="442">
        <f>IF(I47&lt;I48,I48/I47-1,I47/I48-1)</f>
        <v>0</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0.19999999999999996</v>
      </c>
      <c r="F53" s="443" t="str">
        <f>IF(OR(E53&gt;=0.2,E53&lt;=-0.2),"超过20%","")</f>
        <v>超过20%</v>
      </c>
      <c r="G53" s="442">
        <f>IF(G48&lt;I48,I48/G48-1,G48/I48-1)</f>
        <v>5.0000000000000044E-2</v>
      </c>
      <c r="H53" s="443" t="str">
        <f>IF(OR(G53&gt;=0.2,G53&lt;=-0.2),"超过20%","")</f>
        <v/>
      </c>
      <c r="I53" s="442">
        <f>IF(I48&lt;E48,E48/I48-1,I48/E48-1)</f>
        <v>0.14285714285714279</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0.19999999999999996</v>
      </c>
      <c r="F54" s="443" t="str">
        <f>IF(OR(E54&gt;=0.3,E54&lt;=-0.3),"超过30%","")</f>
        <v/>
      </c>
      <c r="G54" s="442">
        <f>IF(G47&lt;I47,I47/G47-1,G47/I47-1)</f>
        <v>0</v>
      </c>
      <c r="H54" s="443" t="str">
        <f>IF(OR(G54&gt;=0.3,G54&lt;=-0.3),"超过30%","")</f>
        <v/>
      </c>
      <c r="I54" s="442">
        <f>IF(I47&lt;E47,E47/I47-1,I47/E47-1)</f>
        <v>0.19999999999999996</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2017-1</v>
      </c>
      <c r="D58" s="1214">
        <f>EDATE(C58,-1)</f>
        <v>42705</v>
      </c>
      <c r="E58" s="1214">
        <f t="shared" ref="E58:N58" si="13">EDATE(D58,-1)</f>
        <v>42675</v>
      </c>
      <c r="F58" s="1214">
        <f t="shared" si="13"/>
        <v>42644</v>
      </c>
      <c r="G58" s="1214">
        <f t="shared" si="13"/>
        <v>42614</v>
      </c>
      <c r="H58" s="1214">
        <f t="shared" si="13"/>
        <v>42583</v>
      </c>
      <c r="I58" s="1214">
        <f t="shared" si="13"/>
        <v>42552</v>
      </c>
      <c r="J58" s="1214">
        <f t="shared" si="13"/>
        <v>42522</v>
      </c>
      <c r="K58" s="1214">
        <f t="shared" si="13"/>
        <v>42491</v>
      </c>
      <c r="L58" s="1214">
        <f t="shared" si="13"/>
        <v>42461</v>
      </c>
      <c r="M58" s="1214">
        <f t="shared" si="13"/>
        <v>42430</v>
      </c>
      <c r="N58" s="1214">
        <f t="shared" si="13"/>
        <v>42401</v>
      </c>
      <c r="O58" s="1214">
        <f>EDATE(N58,-1)</f>
        <v>42370</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3224</v>
      </c>
      <c r="D86" s="2965" t="s">
        <v>3226</v>
      </c>
      <c r="E86" s="2965" t="s">
        <v>3230</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3231</v>
      </c>
      <c r="D88" s="2965" t="s">
        <v>3200</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97</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3198</v>
      </c>
      <c r="D90" s="2965" t="s">
        <v>3200</v>
      </c>
      <c r="E90" s="2965" t="s">
        <v>3201</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98</v>
      </c>
      <c r="E91" s="483">
        <f t="shared" ref="E91:M91" si="17">D91-$K27</f>
        <v>96</v>
      </c>
      <c r="F91" s="483">
        <f t="shared" si="17"/>
        <v>94</v>
      </c>
      <c r="G91" s="483">
        <f t="shared" si="17"/>
        <v>92</v>
      </c>
      <c r="H91" s="483">
        <f t="shared" si="17"/>
        <v>90</v>
      </c>
      <c r="I91" s="483">
        <f t="shared" si="17"/>
        <v>88</v>
      </c>
      <c r="J91" s="483">
        <f t="shared" si="17"/>
        <v>86</v>
      </c>
      <c r="K91" s="483">
        <f t="shared" si="17"/>
        <v>84</v>
      </c>
      <c r="L91" s="483">
        <f t="shared" si="17"/>
        <v>82</v>
      </c>
      <c r="M91" s="483">
        <f t="shared" si="17"/>
        <v>80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3202</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3206</v>
      </c>
      <c r="D100" s="2967" t="s">
        <v>3313</v>
      </c>
      <c r="E100" s="2967" t="s">
        <v>3273</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98</v>
      </c>
      <c r="E101" s="483">
        <f t="shared" si="18"/>
        <v>96</v>
      </c>
      <c r="F101" s="483">
        <f t="shared" si="18"/>
        <v>94</v>
      </c>
      <c r="G101" s="483">
        <f t="shared" si="18"/>
        <v>92</v>
      </c>
      <c r="H101" s="483">
        <f t="shared" si="18"/>
        <v>90</v>
      </c>
      <c r="I101" s="483">
        <f t="shared" si="18"/>
        <v>88</v>
      </c>
      <c r="J101" s="483">
        <f t="shared" si="18"/>
        <v>86</v>
      </c>
      <c r="K101" s="483">
        <f t="shared" si="18"/>
        <v>84</v>
      </c>
      <c r="L101" s="483">
        <f t="shared" si="18"/>
        <v>82</v>
      </c>
      <c r="M101" s="484">
        <f t="shared" si="18"/>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0(含)-300</v>
      </c>
      <c r="D102" s="517" t="str">
        <f t="shared" ref="D102:L102" si="19">D103&amp;"(含)"&amp;"-"&amp;E103</f>
        <v>300(含)-800</v>
      </c>
      <c r="E102" s="517" t="str">
        <f t="shared" si="19"/>
        <v>800(含)-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300</v>
      </c>
      <c r="E103" s="9">
        <v>800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3209</v>
      </c>
      <c r="D105" s="2965" t="s">
        <v>3210</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3212</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3213</v>
      </c>
      <c r="D112" s="2965" t="s">
        <v>3214</v>
      </c>
      <c r="E112" s="2965" t="s">
        <v>3215</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3330</v>
      </c>
      <c r="D114" s="2965" t="s">
        <v>3331</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100</v>
      </c>
      <c r="E115" s="483">
        <f t="shared" si="24"/>
        <v>100</v>
      </c>
      <c r="F115" s="483">
        <f t="shared" si="24"/>
        <v>100</v>
      </c>
      <c r="G115" s="483">
        <f t="shared" si="24"/>
        <v>100</v>
      </c>
      <c r="H115" s="483">
        <f t="shared" si="24"/>
        <v>100</v>
      </c>
      <c r="I115" s="483">
        <f t="shared" si="24"/>
        <v>100</v>
      </c>
      <c r="J115" s="483">
        <f t="shared" si="24"/>
        <v>100</v>
      </c>
      <c r="K115" s="483">
        <f t="shared" si="24"/>
        <v>100</v>
      </c>
      <c r="L115" s="483">
        <f t="shared" si="24"/>
        <v>100</v>
      </c>
      <c r="M115" s="484">
        <f t="shared" si="24"/>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3218</v>
      </c>
      <c r="D116" s="2965" t="s">
        <v>3217</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3212</v>
      </c>
      <c r="D122" s="2965" t="s">
        <v>3220</v>
      </c>
      <c r="E122" s="2965" t="s">
        <v>3222</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KpBOz56ZPYdSQwghlb7zSvQsfx3UhwWO2HgHs8za8xL3Cd7iAhkHEC2sVMmH9eQ0wqYNKWrIN8IxUrkSmF5v9Q==" saltValue="p6yMFpRxtEXIe3MZo53Ac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0" priority="20" stopIfTrue="1" operator="containsText" text="超过">
      <formula>NOT(ISERROR(SEARCH("超过",F52)))</formula>
    </cfRule>
  </conditionalFormatting>
  <conditionalFormatting sqref="H54">
    <cfRule type="containsText" dxfId="199" priority="19" stopIfTrue="1" operator="containsText" text="超过">
      <formula>NOT(ISERROR(SEARCH("超过",H54)))</formula>
    </cfRule>
  </conditionalFormatting>
  <conditionalFormatting sqref="F54">
    <cfRule type="containsText" dxfId="198" priority="18" stopIfTrue="1" operator="containsText" text="超过">
      <formula>NOT(ISERROR(SEARCH("超过",F54)))</formula>
    </cfRule>
  </conditionalFormatting>
  <conditionalFormatting sqref="F53 H53">
    <cfRule type="containsText" dxfId="197" priority="17" stopIfTrue="1" operator="containsText" text="超过">
      <formula>NOT(ISERROR(SEARCH("超过",F53)))</formula>
    </cfRule>
  </conditionalFormatting>
  <conditionalFormatting sqref="E52">
    <cfRule type="expression" dxfId="196" priority="16" stopIfTrue="1">
      <formula>$F$52="超过30%"</formula>
    </cfRule>
  </conditionalFormatting>
  <conditionalFormatting sqref="E53">
    <cfRule type="expression" dxfId="195" priority="15" stopIfTrue="1">
      <formula>$F$53="超过20%"</formula>
    </cfRule>
  </conditionalFormatting>
  <conditionalFormatting sqref="E54">
    <cfRule type="expression" dxfId="194" priority="14" stopIfTrue="1">
      <formula>$F$54="超过30%"</formula>
    </cfRule>
  </conditionalFormatting>
  <conditionalFormatting sqref="G54">
    <cfRule type="expression" dxfId="193" priority="13" stopIfTrue="1">
      <formula>$H$54="超过30%"</formula>
    </cfRule>
  </conditionalFormatting>
  <conditionalFormatting sqref="G52">
    <cfRule type="expression" dxfId="192" priority="12" stopIfTrue="1">
      <formula>$H$52="超过30%"</formula>
    </cfRule>
  </conditionalFormatting>
  <conditionalFormatting sqref="G53">
    <cfRule type="expression" dxfId="191" priority="11" stopIfTrue="1">
      <formula>$H$53="超过20%"</formula>
    </cfRule>
  </conditionalFormatting>
  <conditionalFormatting sqref="J52">
    <cfRule type="containsText" dxfId="190" priority="10" stopIfTrue="1" operator="containsText" text="超过">
      <formula>NOT(ISERROR(SEARCH("超过",J52)))</formula>
    </cfRule>
  </conditionalFormatting>
  <conditionalFormatting sqref="J54">
    <cfRule type="containsText" dxfId="189" priority="9" stopIfTrue="1" operator="containsText" text="超过">
      <formula>NOT(ISERROR(SEARCH("超过",J54)))</formula>
    </cfRule>
  </conditionalFormatting>
  <conditionalFormatting sqref="J53">
    <cfRule type="containsText" dxfId="188" priority="8" stopIfTrue="1" operator="containsText" text="超过">
      <formula>NOT(ISERROR(SEARCH("超过",J53)))</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5">
    <dataValidation type="list" allowBlank="1" showInputMessage="1" showErrorMessage="1" sqref="D48" xr:uid="{00000000-0002-0000-1C00-000000000000}">
      <formula1>"简单平均,加权平均"</formula1>
    </dataValidation>
    <dataValidation type="list" allowBlank="1" showInputMessage="1" showErrorMessage="1" sqref="F2" xr:uid="{00000000-0002-0000-1C00-000001000000}">
      <formula1>估价方法</formula1>
    </dataValidation>
    <dataValidation type="list" allowBlank="1" showInputMessage="1" showErrorMessage="1" sqref="C2" xr:uid="{00000000-0002-0000-1C00-000002000000}">
      <formula1>"需扣减承租人权益,——"</formula1>
    </dataValidation>
    <dataValidation type="list" allowBlank="1" showInputMessage="1" showErrorMessage="1" sqref="F1" xr:uid="{00000000-0002-0000-1C00-000003000000}">
      <formula1>"售价,租金"</formula1>
    </dataValidation>
    <dataValidation type="list" allowBlank="1" showInputMessage="1" showErrorMessage="1" sqref="C22 E22 G22 I22" xr:uid="{00000000-0002-0000-1C00-000004000000}">
      <formula1>基础设施水平</formula1>
    </dataValidation>
    <dataValidation type="list" allowBlank="1" showInputMessage="1" showErrorMessage="1" sqref="C16 E16 G16 I16" xr:uid="{00000000-0002-0000-1C00-000005000000}">
      <formula1>商业繁华度</formula1>
    </dataValidation>
    <dataValidation type="list" allowBlank="1" showInputMessage="1" showErrorMessage="1" sqref="C8 E8 G8 I8" xr:uid="{00000000-0002-0000-1C00-000006000000}">
      <formula1>商业交易情况</formula1>
    </dataValidation>
    <dataValidation type="list" allowBlank="1" showInputMessage="1" showErrorMessage="1" sqref="C39 E39 G39 I39" xr:uid="{00000000-0002-0000-1C00-000007000000}">
      <formula1>商业层高</formula1>
    </dataValidation>
    <dataValidation type="list" allowBlank="1" showInputMessage="1" showErrorMessage="1" sqref="C38 E38 G38 I38" xr:uid="{00000000-0002-0000-1C00-000008000000}">
      <formula1>商业业态</formula1>
    </dataValidation>
    <dataValidation type="list" allowBlank="1" showInputMessage="1" showErrorMessage="1" sqref="E9 G9 I9" xr:uid="{00000000-0002-0000-1C00-000009000000}">
      <formula1>商业用途</formula1>
    </dataValidation>
    <dataValidation type="list" allowBlank="1" showInputMessage="1" showErrorMessage="1" sqref="C42 E42 G42 I42" xr:uid="{00000000-0002-0000-1C00-00000A000000}">
      <formula1>商业内部装修</formula1>
    </dataValidation>
    <dataValidation type="list" allowBlank="1" showInputMessage="1" showErrorMessage="1" sqref="C41 E41 G41 I41" xr:uid="{00000000-0002-0000-1C00-00000B000000}">
      <formula1>商业进深比</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35 E35 G35 I35" xr:uid="{00000000-0002-0000-1C00-00000D000000}">
      <formula1>商业公共部分装修</formula1>
    </dataValidation>
    <dataValidation type="list" allowBlank="1" showInputMessage="1" showErrorMessage="1" sqref="C34 E34 G34 I34" xr:uid="{00000000-0002-0000-1C00-00000E000000}">
      <formula1>商业建筑结构</formula1>
    </dataValidation>
    <dataValidation type="list" allowBlank="1" showInputMessage="1" showErrorMessage="1" sqref="C32 E32 G32 I32" xr:uid="{00000000-0002-0000-1C00-00000F000000}">
      <formula1>商业类型</formula1>
    </dataValidation>
    <dataValidation type="list" allowBlank="1" showInputMessage="1" showErrorMessage="1" sqref="C28 E28 G28 I28" xr:uid="{00000000-0002-0000-1C00-000010000000}">
      <formula1>商业楼层</formula1>
    </dataValidation>
    <dataValidation type="list" allowBlank="1" showInputMessage="1" showErrorMessage="1" sqref="C27 E27 G27 I27" xr:uid="{00000000-0002-0000-1C00-000011000000}">
      <formula1>商业人流量</formula1>
    </dataValidation>
    <dataValidation type="list" allowBlank="1" showInputMessage="1" showErrorMessage="1" sqref="C25 E25 G25 I25" xr:uid="{00000000-0002-0000-1C00-000012000000}">
      <formula1>商业临街状况</formula1>
    </dataValidation>
    <dataValidation type="list" allowBlank="1" showInputMessage="1" showErrorMessage="1" sqref="E24 G24 I24 C24" xr:uid="{00000000-0002-0000-1C00-000013000000}">
      <formula1>环境</formula1>
    </dataValidation>
    <dataValidation type="list" allowBlank="1" showInputMessage="1" showErrorMessage="1" sqref="E18 G18 I18 C18" xr:uid="{00000000-0002-0000-1C00-000014000000}">
      <formula1>交通便捷度</formula1>
    </dataValidation>
    <dataValidation type="list" allowBlank="1" showInputMessage="1" showErrorMessage="1" sqref="E20 I20 G20 C20" xr:uid="{00000000-0002-0000-1C00-000015000000}">
      <formula1>公共配套设施</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1" xr:uid="{00000000-0002-0000-1C00-000017000000}">
      <formula1>项目类型</formula1>
    </dataValidation>
    <dataValidation type="list" allowBlank="1" showInputMessage="1" showErrorMessage="1" sqref="C10 E10 G10 I10" xr:uid="{00000000-0002-0000-1C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1334</v>
      </c>
    </row>
    <row r="3" spans="1:1" ht="18">
      <c r="A3" s="1511" t="str">
        <f>项目基本情况!B5&amp;"："</f>
        <v>：</v>
      </c>
    </row>
    <row r="4" spans="1:1" ht="18">
      <c r="A4" s="1512" t="str">
        <f>"受贵公司委托，我公司对"&amp;项目基本情况!S1&amp;"进行了预评估。"</f>
        <v>受贵公司委托，我公司对北京市房地产市场价值进行了预评估。</v>
      </c>
    </row>
    <row r="5" spans="1:1" ht="18.75">
      <c r="A5" s="1513" t="s">
        <v>1335</v>
      </c>
    </row>
    <row r="6" spans="1:1" ht="18.75">
      <c r="A6" s="1514" t="s">
        <v>1336</v>
      </c>
    </row>
    <row r="7" spans="1:1" ht="36">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估价对象为北京市房地产，为所有。根据《国有土地使用证》[]，估价对象（分摊）出让国有建设用地使用权面积为1平方米，建筑面积为1018平方米。</v>
      </c>
    </row>
    <row r="8" spans="1:1" ht="57.75">
      <c r="A8" s="1515" t="s">
        <v>1337</v>
      </c>
    </row>
    <row r="9" spans="1:1" ht="18.75">
      <c r="A9" s="1514" t="s">
        <v>1338</v>
      </c>
    </row>
    <row r="10" spans="1:1" ht="54">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估价对象为北京市房地产,属开发建设的，该项目尚在开发建设中。根据《国有土地使用证》[]，估价对象（分摊）出让国有建设用地使用权面积为1平方米，规划建筑面积为1018平方米。</v>
      </c>
    </row>
    <row r="11" spans="1:1" ht="76.5">
      <c r="A11" s="1515" t="s">
        <v>1339</v>
      </c>
    </row>
    <row r="12" spans="1:1" ht="18.75">
      <c r="A12" s="1513" t="s">
        <v>1340</v>
      </c>
    </row>
    <row r="13" spans="1:1" ht="38.25" customHeight="1">
      <c r="A13" s="1512" t="str">
        <f>IF(项目基本情况!B8="抵押",IF(项目基本情况!B5=项目基本情况!B6,定义!C51,定义!B51),定义!D51)</f>
        <v>为估价委托人了解估价对象房地产市场价值提供参考依据。</v>
      </c>
    </row>
    <row r="14" spans="1:1" ht="18.75">
      <c r="A14" s="1511" t="s">
        <v>1341</v>
      </c>
    </row>
    <row r="15" spans="1:1" ht="18">
      <c r="A15" s="1516" t="str">
        <f>TEXT(项目基本情况!D3,"yyyy年m月d日;;")&amp;IF(项目基本情况!D3=项目基本情况!B3,"（评估专业人员实地查勘之日）","")</f>
        <v>2022年12月19日</v>
      </c>
    </row>
    <row r="16" spans="1:1" ht="18.75">
      <c r="A16" s="1511" t="s">
        <v>1342</v>
      </c>
    </row>
    <row r="17" spans="1:1" ht="75">
      <c r="A17" s="1512" t="s">
        <v>1343</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12" t="str">
        <f>IF(项目基本情况!B9="房地产市场价值","——",IF(项目基本情况!E8="房地产抵押价值",定义!C54,IF(项目基本情况!E8="已注销",定义!C55,定义!C56)))</f>
        <v>——</v>
      </c>
    </row>
    <row r="21" spans="1:1" ht="18">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12" t="str">
        <f>IF(项目基本情况!B9="房地产市场价值","——",IF(项目基本情况!E9="——","",定义!C57))</f>
        <v>——</v>
      </c>
    </row>
    <row r="23" spans="1:1" ht="18.75">
      <c r="A23" s="1511" t="s">
        <v>1332</v>
      </c>
    </row>
    <row r="24" spans="1:1" ht="18">
      <c r="A24" s="1517" t="str">
        <f>"本次评估采用的主估价方法为"&amp;结果表!K4&amp;"和"&amp;结果表!L4&amp;"。"</f>
        <v>本次评估采用的主估价方法为成本法和收益法。</v>
      </c>
    </row>
    <row r="25" spans="1:1" ht="18">
      <c r="A25" s="1517"/>
    </row>
    <row r="26" spans="1:1" ht="18.75">
      <c r="A26" s="1518" t="s">
        <v>1333</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rgb="FF92D050"/>
    <pageSetUpPr fitToPage="1"/>
  </sheetPr>
  <dimension ref="A1:AC131"/>
  <sheetViews>
    <sheetView view="pageBreakPreview" topLeftCell="A27" zoomScale="80" zoomScaleNormal="70" zoomScaleSheetLayoutView="80" workbookViewId="0">
      <selection activeCell="E5" sqref="E5:F5"/>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9</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26" t="s">
        <v>2115</v>
      </c>
      <c r="D4" s="3227"/>
      <c r="E4" s="3228" t="s">
        <v>2116</v>
      </c>
      <c r="F4" s="3229"/>
      <c r="G4" s="3226" t="s">
        <v>2117</v>
      </c>
      <c r="H4" s="3227"/>
      <c r="I4" s="3226" t="s">
        <v>2118</v>
      </c>
      <c r="J4" s="3227"/>
      <c r="K4" s="545" t="s">
        <v>2119</v>
      </c>
      <c r="L4" s="2653"/>
      <c r="M4" s="2654"/>
      <c r="N4" s="2654"/>
      <c r="O4" s="2654"/>
      <c r="P4" s="3230" t="s">
        <v>2120</v>
      </c>
      <c r="Q4" s="3231"/>
      <c r="R4" s="3236" t="s">
        <v>2116</v>
      </c>
      <c r="S4" s="3237"/>
      <c r="T4" s="3236" t="s">
        <v>2117</v>
      </c>
      <c r="U4" s="3237"/>
      <c r="V4" s="3252" t="s">
        <v>2118</v>
      </c>
      <c r="W4" s="3252"/>
      <c r="X4" s="1394"/>
      <c r="Y4" s="3236" t="s">
        <v>2120</v>
      </c>
      <c r="Z4" s="3237"/>
      <c r="AA4" s="3223" t="s">
        <v>2116</v>
      </c>
      <c r="AB4" s="3252" t="s">
        <v>2117</v>
      </c>
      <c r="AC4" s="3223" t="s">
        <v>2118</v>
      </c>
    </row>
    <row r="5" spans="1:29" ht="15">
      <c r="A5" s="354"/>
      <c r="B5" s="355"/>
      <c r="C5" s="3240" t="s">
        <v>2121</v>
      </c>
      <c r="D5" s="3241"/>
      <c r="E5" s="3242" t="s">
        <v>3338</v>
      </c>
      <c r="F5" s="3243"/>
      <c r="G5" s="3244" t="s">
        <v>3324</v>
      </c>
      <c r="H5" s="3241"/>
      <c r="I5" s="3244" t="s">
        <v>3325</v>
      </c>
      <c r="J5" s="3241"/>
      <c r="K5" s="545"/>
      <c r="L5" s="2653"/>
      <c r="M5" s="2654"/>
      <c r="N5" s="2654"/>
      <c r="O5" s="2654"/>
      <c r="P5" s="3232"/>
      <c r="Q5" s="3233"/>
      <c r="R5" s="3238"/>
      <c r="S5" s="3239"/>
      <c r="T5" s="3238"/>
      <c r="U5" s="3239"/>
      <c r="V5" s="3252"/>
      <c r="W5" s="3252"/>
      <c r="X5" s="1394"/>
      <c r="Y5" s="3238"/>
      <c r="Z5" s="3239"/>
      <c r="AA5" s="3224"/>
      <c r="AB5" s="3252"/>
      <c r="AC5" s="3224"/>
    </row>
    <row r="6" spans="1:29" ht="15.75" thickBot="1">
      <c r="A6" s="356"/>
      <c r="B6" s="357"/>
      <c r="C6" s="3245" t="s">
        <v>2125</v>
      </c>
      <c r="D6" s="3246"/>
      <c r="E6" s="3278" t="s">
        <v>3337</v>
      </c>
      <c r="F6" s="3248"/>
      <c r="G6" s="3279" t="s">
        <v>3321</v>
      </c>
      <c r="H6" s="3246"/>
      <c r="I6" s="3249" t="s">
        <v>3263</v>
      </c>
      <c r="J6" s="3246"/>
      <c r="K6" s="545" t="s">
        <v>2126</v>
      </c>
      <c r="L6" s="2653"/>
      <c r="M6" s="2654"/>
      <c r="N6" s="2654"/>
      <c r="O6" s="2654"/>
      <c r="P6" s="3234"/>
      <c r="Q6" s="3235"/>
      <c r="R6" s="3238"/>
      <c r="S6" s="3239"/>
      <c r="T6" s="3250"/>
      <c r="U6" s="3251"/>
      <c r="V6" s="3252"/>
      <c r="W6" s="3252"/>
      <c r="X6" s="1394"/>
      <c r="Y6" s="3250"/>
      <c r="Z6" s="3251"/>
      <c r="AA6" s="3225"/>
      <c r="AB6" s="3252"/>
      <c r="AC6" s="3225"/>
    </row>
    <row r="7" spans="1:29" s="107" customFormat="1" ht="15.75" thickBot="1">
      <c r="A7" s="358" t="s">
        <v>2127</v>
      </c>
      <c r="B7" s="359"/>
      <c r="C7" s="360">
        <v>40909</v>
      </c>
      <c r="D7" s="361">
        <v>100</v>
      </c>
      <c r="E7" s="362">
        <v>40699</v>
      </c>
      <c r="F7" s="363">
        <f>SUMIF(58:58,YEAR(E7)&amp;"-"&amp;MONTH(E7),59:59)</f>
        <v>100</v>
      </c>
      <c r="G7" s="362">
        <v>40606</v>
      </c>
      <c r="H7" s="361">
        <f>SUMIF(58:58,YEAR(G7)&amp;"-"&amp;MONTH(G7),59:59)</f>
        <v>100</v>
      </c>
      <c r="I7" s="362">
        <v>40909</v>
      </c>
      <c r="J7" s="361">
        <f>SUMIF(58:58,YEAR(I7)&amp;"-"&amp;MONTH(I7),59:59)</f>
        <v>100</v>
      </c>
      <c r="K7" s="41"/>
      <c r="L7" s="2655"/>
      <c r="M7" s="2604"/>
      <c r="N7" s="2604"/>
      <c r="O7" s="2604"/>
      <c r="P7" s="3253" t="s">
        <v>2128</v>
      </c>
      <c r="Q7" s="3254"/>
      <c r="R7" s="673" t="s">
        <v>17</v>
      </c>
      <c r="S7" s="674">
        <f t="shared" ref="S7:S15" si="0">F7</f>
        <v>100</v>
      </c>
      <c r="T7" s="673" t="s">
        <v>17</v>
      </c>
      <c r="U7" s="674">
        <f t="shared" ref="U7:U15" si="1">H7</f>
        <v>100</v>
      </c>
      <c r="V7" s="673" t="s">
        <v>17</v>
      </c>
      <c r="W7" s="674">
        <f t="shared" ref="W7:W15" si="2">J7</f>
        <v>100</v>
      </c>
      <c r="X7" s="675"/>
      <c r="Y7" s="3253" t="s">
        <v>2128</v>
      </c>
      <c r="Z7" s="325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53" t="s">
        <v>2131</v>
      </c>
      <c r="Q8" s="3255"/>
      <c r="R8" s="673" t="s">
        <v>17</v>
      </c>
      <c r="S8" s="674">
        <f t="shared" si="0"/>
        <v>100</v>
      </c>
      <c r="T8" s="673" t="s">
        <v>17</v>
      </c>
      <c r="U8" s="674">
        <f t="shared" si="1"/>
        <v>100</v>
      </c>
      <c r="V8" s="673" t="s">
        <v>17</v>
      </c>
      <c r="W8" s="674">
        <f t="shared" si="2"/>
        <v>100</v>
      </c>
      <c r="X8" s="675"/>
      <c r="Y8" s="3253" t="s">
        <v>2131</v>
      </c>
      <c r="Z8" s="325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56"/>
      <c r="Q11" s="538" t="str">
        <f t="shared" si="6"/>
        <v>容积率</v>
      </c>
      <c r="R11" s="673" t="s">
        <v>17</v>
      </c>
      <c r="S11" s="674">
        <f t="shared" si="0"/>
        <v>100</v>
      </c>
      <c r="T11" s="673" t="s">
        <v>17</v>
      </c>
      <c r="U11" s="674">
        <f t="shared" si="1"/>
        <v>100</v>
      </c>
      <c r="V11" s="673" t="s">
        <v>17</v>
      </c>
      <c r="W11" s="674">
        <f t="shared" si="2"/>
        <v>100</v>
      </c>
      <c r="X11" s="675"/>
      <c r="Y11" s="3191"/>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5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5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5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2</v>
      </c>
      <c r="L15" s="2659"/>
      <c r="M15" s="2654"/>
      <c r="N15" s="2654"/>
      <c r="O15" s="2654"/>
      <c r="P15" s="3257" t="s">
        <v>2139</v>
      </c>
      <c r="Q15" s="1392" t="str">
        <f t="shared" si="6"/>
        <v>商业繁华度</v>
      </c>
      <c r="R15" s="676" t="s">
        <v>17</v>
      </c>
      <c r="S15" s="677">
        <f t="shared" si="0"/>
        <v>100</v>
      </c>
      <c r="T15" s="676" t="s">
        <v>17</v>
      </c>
      <c r="U15" s="677">
        <f t="shared" si="1"/>
        <v>100</v>
      </c>
      <c r="V15" s="676" t="s">
        <v>17</v>
      </c>
      <c r="W15" s="677">
        <f t="shared" si="2"/>
        <v>100</v>
      </c>
      <c r="X15" s="1394"/>
      <c r="Y15" s="3259" t="s">
        <v>2139</v>
      </c>
      <c r="Z15" s="1393" t="str">
        <f t="shared" si="7"/>
        <v>商业繁华度</v>
      </c>
      <c r="AA15" s="1393">
        <f t="shared" si="3"/>
        <v>1</v>
      </c>
      <c r="AB15" s="1393">
        <f t="shared" si="4"/>
        <v>1</v>
      </c>
      <c r="AC15" s="1393">
        <f t="shared" si="5"/>
        <v>1</v>
      </c>
    </row>
    <row r="16" spans="1:29" ht="15">
      <c r="A16" s="375"/>
      <c r="B16" s="393"/>
      <c r="C16" s="394" t="s">
        <v>3199</v>
      </c>
      <c r="D16" s="395"/>
      <c r="E16" s="394" t="s">
        <v>3199</v>
      </c>
      <c r="F16" s="396"/>
      <c r="G16" s="394" t="s">
        <v>3199</v>
      </c>
      <c r="H16" s="397"/>
      <c r="I16" s="394" t="s">
        <v>3199</v>
      </c>
      <c r="J16" s="395"/>
      <c r="K16" s="549"/>
      <c r="L16" s="2659"/>
      <c r="M16" s="2654"/>
      <c r="N16" s="2654"/>
      <c r="O16" s="2654"/>
      <c r="P16" s="3258"/>
      <c r="Q16" s="1392"/>
      <c r="R16" s="676"/>
      <c r="S16" s="677"/>
      <c r="T16" s="676"/>
      <c r="U16" s="677"/>
      <c r="V16" s="676"/>
      <c r="W16" s="677"/>
      <c r="X16" s="1394"/>
      <c r="Y16" s="3260"/>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v>5</v>
      </c>
      <c r="L17" s="2659"/>
      <c r="M17" s="2654"/>
      <c r="N17" s="2654"/>
      <c r="O17" s="2654"/>
      <c r="P17" s="3258"/>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58"/>
      <c r="Q18" s="1392"/>
      <c r="R18" s="676"/>
      <c r="S18" s="677"/>
      <c r="T18" s="676"/>
      <c r="U18" s="677"/>
      <c r="V18" s="676"/>
      <c r="W18" s="677"/>
      <c r="X18" s="1394"/>
      <c r="Y18" s="3260"/>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v>5</v>
      </c>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58"/>
      <c r="Q20" s="1392"/>
      <c r="R20" s="676"/>
      <c r="S20" s="677"/>
      <c r="T20" s="676"/>
      <c r="U20" s="677"/>
      <c r="V20" s="676"/>
      <c r="W20" s="677"/>
      <c r="X20" s="1394"/>
      <c r="Y20" s="3260"/>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58"/>
      <c r="Q22" s="1392"/>
      <c r="R22" s="676"/>
      <c r="S22" s="677"/>
      <c r="T22" s="676"/>
      <c r="U22" s="677"/>
      <c r="V22" s="676"/>
      <c r="W22" s="677"/>
      <c r="X22" s="1394"/>
      <c r="Y22" s="3260"/>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95</v>
      </c>
      <c r="I23" s="399"/>
      <c r="J23" s="397">
        <f>SUMIF(84:84,I24,85:85)-SUMIF(84:84,C24,85:85)+100</f>
        <v>100</v>
      </c>
      <c r="K23" s="548">
        <v>5</v>
      </c>
      <c r="L23" s="2659"/>
      <c r="M23" s="2654"/>
      <c r="N23" s="2654"/>
      <c r="O23" s="2654"/>
      <c r="P23" s="3258"/>
      <c r="Q23" s="1392" t="str">
        <f>B23</f>
        <v>自然及人文环境</v>
      </c>
      <c r="R23" s="676" t="s">
        <v>17</v>
      </c>
      <c r="S23" s="677">
        <f>F23</f>
        <v>100</v>
      </c>
      <c r="T23" s="676" t="s">
        <v>17</v>
      </c>
      <c r="U23" s="677">
        <f>H23</f>
        <v>95</v>
      </c>
      <c r="V23" s="676" t="s">
        <v>17</v>
      </c>
      <c r="W23" s="677">
        <f>J23</f>
        <v>100</v>
      </c>
      <c r="X23" s="1394"/>
      <c r="Y23" s="3260"/>
      <c r="Z23" s="1393" t="str">
        <f>Q23</f>
        <v>自然及人文环境</v>
      </c>
      <c r="AA23" s="1393">
        <f t="shared" si="3"/>
        <v>1</v>
      </c>
      <c r="AB23" s="1393">
        <f t="shared" si="4"/>
        <v>1.0526315789473684</v>
      </c>
      <c r="AC23" s="1393">
        <f t="shared" si="5"/>
        <v>1</v>
      </c>
    </row>
    <row r="24" spans="1:29" ht="15">
      <c r="A24" s="375"/>
      <c r="B24" s="403"/>
      <c r="C24" s="394" t="s">
        <v>3194</v>
      </c>
      <c r="D24" s="395"/>
      <c r="E24" s="1882" t="s">
        <v>3194</v>
      </c>
      <c r="F24" s="396"/>
      <c r="G24" s="1881" t="s">
        <v>3193</v>
      </c>
      <c r="H24" s="395"/>
      <c r="I24" s="1882" t="s">
        <v>3194</v>
      </c>
      <c r="J24" s="395"/>
      <c r="K24" s="549"/>
      <c r="L24" s="2659"/>
      <c r="M24" s="2654"/>
      <c r="N24" s="2654"/>
      <c r="O24" s="2654"/>
      <c r="P24" s="3258"/>
      <c r="Q24" s="1392"/>
      <c r="R24" s="676"/>
      <c r="S24" s="677"/>
      <c r="T24" s="676"/>
      <c r="U24" s="677"/>
      <c r="V24" s="676"/>
      <c r="W24" s="677"/>
      <c r="X24" s="1394"/>
      <c r="Y24" s="3260"/>
      <c r="Z24" s="1393"/>
      <c r="AA24" s="1393">
        <v>1</v>
      </c>
      <c r="AB24" s="1393">
        <v>1</v>
      </c>
      <c r="AC24" s="1393">
        <v>1</v>
      </c>
    </row>
    <row r="25" spans="1:29" ht="15">
      <c r="A25" s="375"/>
      <c r="B25" s="370" t="s">
        <v>2235</v>
      </c>
      <c r="C25" s="550" t="s">
        <v>3225</v>
      </c>
      <c r="D25" s="382">
        <v>100</v>
      </c>
      <c r="E25" s="550" t="s">
        <v>3260</v>
      </c>
      <c r="F25" s="408">
        <f>SUMIF(86:86,E25,87:87)-SUMIF(86:86,C25,87:87)+100</f>
        <v>102</v>
      </c>
      <c r="G25" s="550" t="s">
        <v>3225</v>
      </c>
      <c r="H25" s="382">
        <f>SUMIF(86:86,G25,87:87)-SUMIF(86:86,C25,87:87)+100</f>
        <v>100</v>
      </c>
      <c r="I25" s="550" t="s">
        <v>3225</v>
      </c>
      <c r="J25" s="382">
        <f>SUMIF(86:86,I25,87:87)-SUMIF(86:86,C25,87:87)+100</f>
        <v>100</v>
      </c>
      <c r="K25" s="546">
        <v>2</v>
      </c>
      <c r="L25" s="2659"/>
      <c r="M25" s="2654"/>
      <c r="N25" s="2654"/>
      <c r="O25" s="2654"/>
      <c r="P25" s="3258"/>
      <c r="Q25" s="1392" t="str">
        <f t="shared" ref="Q25:Q46" si="8">B25</f>
        <v>临街状况</v>
      </c>
      <c r="R25" s="676" t="s">
        <v>17</v>
      </c>
      <c r="S25" s="677">
        <f>F25</f>
        <v>102</v>
      </c>
      <c r="T25" s="676" t="s">
        <v>17</v>
      </c>
      <c r="U25" s="677">
        <f>H25</f>
        <v>100</v>
      </c>
      <c r="V25" s="676" t="s">
        <v>17</v>
      </c>
      <c r="W25" s="677">
        <f>J25</f>
        <v>100</v>
      </c>
      <c r="X25" s="1394"/>
      <c r="Y25" s="3260"/>
      <c r="Z25" s="1393" t="str">
        <f>Q25</f>
        <v>临街状况</v>
      </c>
      <c r="AA25" s="1393">
        <f t="shared" si="3"/>
        <v>0.98039215686274506</v>
      </c>
      <c r="AB25" s="1393">
        <f t="shared" si="4"/>
        <v>1</v>
      </c>
      <c r="AC25" s="1393">
        <f t="shared" si="5"/>
        <v>1</v>
      </c>
    </row>
    <row r="26" spans="1:29" ht="15">
      <c r="A26" s="375"/>
      <c r="B26" s="1176" t="s">
        <v>2236</v>
      </c>
      <c r="C26" s="2968" t="s">
        <v>3231</v>
      </c>
      <c r="D26" s="382">
        <v>100</v>
      </c>
      <c r="E26" s="2968" t="s">
        <v>3231</v>
      </c>
      <c r="F26" s="408">
        <f>SUMIF(88:88,E26,89:89)-SUMIF(88:88,C26,89:89)+100</f>
        <v>100</v>
      </c>
      <c r="G26" s="2968" t="s">
        <v>3231</v>
      </c>
      <c r="H26" s="382">
        <f>SUMIF(88:88,G26,89:89)-SUMIF(88:88,C26,89:89)+100</f>
        <v>100</v>
      </c>
      <c r="I26" s="2968" t="s">
        <v>3231</v>
      </c>
      <c r="J26" s="382">
        <f>SUMIF(88:88,I26,89:89)-SUMIF(88:88,C26,89:89)+100</f>
        <v>100</v>
      </c>
      <c r="K26" s="547"/>
      <c r="L26" s="2659"/>
      <c r="M26" s="2654"/>
      <c r="N26" s="2654"/>
      <c r="O26" s="2654"/>
      <c r="P26" s="3258"/>
      <c r="Q26" s="1392" t="str">
        <f t="shared" si="8"/>
        <v>平面位置/可视性</v>
      </c>
      <c r="R26" s="676" t="s">
        <v>17</v>
      </c>
      <c r="S26" s="677">
        <f>F26</f>
        <v>100</v>
      </c>
      <c r="T26" s="676" t="s">
        <v>17</v>
      </c>
      <c r="U26" s="677">
        <f>H26</f>
        <v>100</v>
      </c>
      <c r="V26" s="676" t="s">
        <v>17</v>
      </c>
      <c r="W26" s="677">
        <f>J26</f>
        <v>100</v>
      </c>
      <c r="X26" s="1394"/>
      <c r="Y26" s="3260"/>
      <c r="Z26" s="1393" t="str">
        <f>Q26</f>
        <v>平面位置/可视性</v>
      </c>
      <c r="AA26" s="1393">
        <f t="shared" si="3"/>
        <v>1</v>
      </c>
      <c r="AB26" s="1393">
        <f t="shared" si="4"/>
        <v>1</v>
      </c>
      <c r="AC26" s="1393">
        <f t="shared" si="5"/>
        <v>1</v>
      </c>
    </row>
    <row r="27" spans="1:29" s="107" customFormat="1" ht="15">
      <c r="A27" s="378"/>
      <c r="B27" s="398" t="s">
        <v>2237</v>
      </c>
      <c r="C27" s="1937" t="s">
        <v>3199</v>
      </c>
      <c r="D27" s="409">
        <v>100</v>
      </c>
      <c r="E27" s="1937" t="s">
        <v>3199</v>
      </c>
      <c r="F27" s="403">
        <f>SUMIF(90:90,E27,91:91)-SUMIF(90:90,C27,91:91)+100</f>
        <v>100</v>
      </c>
      <c r="G27" s="1937" t="s">
        <v>3199</v>
      </c>
      <c r="H27" s="409">
        <f>SUMIF(90:90,G27,91:91)-SUMIF(90:90,C27,91:91)+100</f>
        <v>100</v>
      </c>
      <c r="I27" s="1937" t="s">
        <v>3266</v>
      </c>
      <c r="J27" s="409">
        <f>SUMIF(90:90,I27,91:91)-SUMIF(90:90,C27,91:91)+100</f>
        <v>98</v>
      </c>
      <c r="K27" s="546">
        <v>2</v>
      </c>
      <c r="L27" s="2655"/>
      <c r="M27" s="2604"/>
      <c r="N27" s="2604"/>
      <c r="O27" s="2604"/>
      <c r="P27" s="3258"/>
      <c r="Q27" s="538" t="str">
        <f t="shared" si="8"/>
        <v>人流量</v>
      </c>
      <c r="R27" s="673" t="s">
        <v>17</v>
      </c>
      <c r="S27" s="674">
        <f>F27</f>
        <v>100</v>
      </c>
      <c r="T27" s="673" t="s">
        <v>17</v>
      </c>
      <c r="U27" s="674">
        <f>H27</f>
        <v>100</v>
      </c>
      <c r="V27" s="673" t="s">
        <v>17</v>
      </c>
      <c r="W27" s="674">
        <f>J27</f>
        <v>98</v>
      </c>
      <c r="X27" s="675"/>
      <c r="Y27" s="3260"/>
      <c r="Z27" s="53" t="str">
        <f>Q27</f>
        <v>人流量</v>
      </c>
      <c r="AA27" s="1393">
        <f>D27/F27</f>
        <v>1</v>
      </c>
      <c r="AB27" s="1393">
        <f>D27/H27</f>
        <v>1</v>
      </c>
      <c r="AC27" s="1393">
        <f>D27/J27</f>
        <v>1.0204081632653061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58"/>
      <c r="Q28" s="1392" t="str">
        <f t="shared" si="8"/>
        <v>楼层</v>
      </c>
      <c r="R28" s="676" t="s">
        <v>17</v>
      </c>
      <c r="S28" s="677">
        <f t="shared" ref="S28:S46" si="9">F28</f>
        <v>100</v>
      </c>
      <c r="T28" s="676" t="s">
        <v>17</v>
      </c>
      <c r="U28" s="677">
        <f t="shared" ref="U28:U46" si="10">H28</f>
        <v>100</v>
      </c>
      <c r="V28" s="676" t="s">
        <v>17</v>
      </c>
      <c r="W28" s="677">
        <f t="shared" ref="W28:W46" si="11">J28</f>
        <v>100</v>
      </c>
      <c r="X28" s="1394"/>
      <c r="Y28" s="3260"/>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8"/>
      <c r="Q29" s="1392">
        <f t="shared" si="8"/>
        <v>111</v>
      </c>
      <c r="R29" s="676" t="s">
        <v>17</v>
      </c>
      <c r="S29" s="677">
        <f t="shared" si="9"/>
        <v>100</v>
      </c>
      <c r="T29" s="676" t="s">
        <v>17</v>
      </c>
      <c r="U29" s="677">
        <f t="shared" si="10"/>
        <v>100</v>
      </c>
      <c r="V29" s="676" t="s">
        <v>17</v>
      </c>
      <c r="W29" s="677">
        <f t="shared" si="11"/>
        <v>100</v>
      </c>
      <c r="X29" s="1394"/>
      <c r="Y29" s="3260"/>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8"/>
      <c r="Q30" s="1392">
        <f t="shared" si="8"/>
        <v>111</v>
      </c>
      <c r="R30" s="676" t="s">
        <v>17</v>
      </c>
      <c r="S30" s="677">
        <f t="shared" si="9"/>
        <v>100</v>
      </c>
      <c r="T30" s="676" t="s">
        <v>17</v>
      </c>
      <c r="U30" s="677">
        <f t="shared" si="10"/>
        <v>100</v>
      </c>
      <c r="V30" s="676" t="s">
        <v>17</v>
      </c>
      <c r="W30" s="677">
        <f t="shared" si="11"/>
        <v>100</v>
      </c>
      <c r="X30" s="1394"/>
      <c r="Y30" s="3260"/>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393">
        <f t="shared" si="5"/>
        <v>1</v>
      </c>
    </row>
    <row r="32" spans="1:29" ht="15">
      <c r="A32" s="387" t="s">
        <v>2142</v>
      </c>
      <c r="B32" s="64" t="s">
        <v>2239</v>
      </c>
      <c r="C32" s="1894" t="s">
        <v>3272</v>
      </c>
      <c r="D32" s="413">
        <v>100</v>
      </c>
      <c r="E32" s="1894" t="s">
        <v>3312</v>
      </c>
      <c r="F32" s="408">
        <f>SUMIF(100:100,E32,101:101)-SUMIF(100:100,C32,101:101)+100</f>
        <v>102</v>
      </c>
      <c r="G32" s="1894" t="s">
        <v>3272</v>
      </c>
      <c r="H32" s="382">
        <f>SUMIF(100:100,G32,101:101)-SUMIF(100:100,C32,101:101)+100</f>
        <v>100</v>
      </c>
      <c r="I32" s="1894" t="s">
        <v>3312</v>
      </c>
      <c r="J32" s="413">
        <f>SUMIF(100:100,I32,101:101)-SUMIF(100:100,C32,101:101)+100</f>
        <v>102</v>
      </c>
      <c r="K32" s="546">
        <v>2</v>
      </c>
      <c r="L32" s="2659"/>
      <c r="M32" s="2654"/>
      <c r="N32" s="2654"/>
      <c r="O32" s="2654"/>
      <c r="P32" s="3261" t="s">
        <v>2144</v>
      </c>
      <c r="Q32" s="1392" t="str">
        <f t="shared" si="8"/>
        <v>商业类型</v>
      </c>
      <c r="R32" s="676" t="s">
        <v>17</v>
      </c>
      <c r="S32" s="677">
        <f t="shared" si="9"/>
        <v>102</v>
      </c>
      <c r="T32" s="676" t="s">
        <v>17</v>
      </c>
      <c r="U32" s="677">
        <f t="shared" si="10"/>
        <v>100</v>
      </c>
      <c r="V32" s="676" t="s">
        <v>17</v>
      </c>
      <c r="W32" s="677">
        <f t="shared" si="11"/>
        <v>102</v>
      </c>
      <c r="X32" s="1394"/>
      <c r="Y32" s="3264" t="s">
        <v>2144</v>
      </c>
      <c r="Z32" s="1393" t="str">
        <f t="shared" si="12"/>
        <v>商业类型</v>
      </c>
      <c r="AA32" s="1393">
        <f t="shared" si="3"/>
        <v>0.98039215686274506</v>
      </c>
      <c r="AB32" s="1393">
        <f t="shared" si="4"/>
        <v>1</v>
      </c>
      <c r="AC32" s="1393">
        <f t="shared" si="5"/>
        <v>0.98039215686274506</v>
      </c>
    </row>
    <row r="33" spans="1:29" s="416" customFormat="1" ht="15">
      <c r="A33" s="414"/>
      <c r="B33" s="370" t="s">
        <v>2145</v>
      </c>
      <c r="C33" s="415">
        <f>'数据-基础表'!I13</f>
        <v>256</v>
      </c>
      <c r="D33" s="124">
        <v>100</v>
      </c>
      <c r="E33" s="377">
        <v>100</v>
      </c>
      <c r="F33" s="370">
        <f>LOOKUP(E33,103:103,104:104)-LOOKUP(C33,103:103,104:104)+100</f>
        <v>100</v>
      </c>
      <c r="G33" s="376">
        <v>620.55999999999995</v>
      </c>
      <c r="H33" s="124">
        <f>LOOKUP(G33,103:103,104:104)-LOOKUP(C33,103:103,104:104)+100</f>
        <v>96</v>
      </c>
      <c r="I33" s="376">
        <v>360</v>
      </c>
      <c r="J33" s="124">
        <f>LOOKUP(I33,103:103,104:104)-LOOKUP(C33,103:103,104:104)+100</f>
        <v>98</v>
      </c>
      <c r="K33" s="547"/>
      <c r="L33" s="2658"/>
      <c r="M33" s="2660"/>
      <c r="N33" s="2660"/>
      <c r="O33" s="2660"/>
      <c r="P33" s="3262"/>
      <c r="Q33" s="539" t="str">
        <f t="shared" si="8"/>
        <v>项目建筑规模</v>
      </c>
      <c r="R33" s="678" t="s">
        <v>17</v>
      </c>
      <c r="S33" s="679">
        <f t="shared" si="9"/>
        <v>100</v>
      </c>
      <c r="T33" s="678" t="s">
        <v>17</v>
      </c>
      <c r="U33" s="679">
        <f t="shared" si="10"/>
        <v>96</v>
      </c>
      <c r="V33" s="678" t="s">
        <v>17</v>
      </c>
      <c r="W33" s="679">
        <f t="shared" si="11"/>
        <v>98</v>
      </c>
      <c r="X33" s="680"/>
      <c r="Y33" s="3264"/>
      <c r="Z33" s="681" t="str">
        <f t="shared" si="12"/>
        <v>项目建筑规模</v>
      </c>
      <c r="AA33" s="1393">
        <f t="shared" si="3"/>
        <v>1</v>
      </c>
      <c r="AB33" s="1393">
        <f t="shared" si="4"/>
        <v>1.0416666666666667</v>
      </c>
      <c r="AC33" s="1393">
        <f t="shared" si="5"/>
        <v>1.0204081632653061</v>
      </c>
    </row>
    <row r="34" spans="1:29" ht="15">
      <c r="A34" s="417"/>
      <c r="B34" s="370" t="s">
        <v>2146</v>
      </c>
      <c r="C34" s="407" t="s">
        <v>3208</v>
      </c>
      <c r="D34" s="382">
        <v>100</v>
      </c>
      <c r="E34" s="407" t="s">
        <v>3208</v>
      </c>
      <c r="F34" s="408">
        <f>SUMIF(105:105,E34,106:106)-SUMIF(105:105,C34,106:106)+100</f>
        <v>100</v>
      </c>
      <c r="G34" s="407" t="s">
        <v>3208</v>
      </c>
      <c r="H34" s="382">
        <f>SUMIF(105:105,G34,106:106)-SUMIF(105:105,C34,106:106)+100</f>
        <v>100</v>
      </c>
      <c r="I34" s="407" t="s">
        <v>3208</v>
      </c>
      <c r="J34" s="382">
        <f>SUMIF(105:105,I34,106:106)-SUMIF(105:105,C34,106:106)+100</f>
        <v>100</v>
      </c>
      <c r="K34" s="546"/>
      <c r="L34" s="2659"/>
      <c r="M34" s="2654"/>
      <c r="N34" s="2654"/>
      <c r="O34" s="2654"/>
      <c r="P34" s="3262"/>
      <c r="Q34" s="1392" t="str">
        <f t="shared" si="8"/>
        <v>建筑结构</v>
      </c>
      <c r="R34" s="676" t="s">
        <v>17</v>
      </c>
      <c r="S34" s="677">
        <f t="shared" si="9"/>
        <v>100</v>
      </c>
      <c r="T34" s="676" t="s">
        <v>17</v>
      </c>
      <c r="U34" s="677">
        <f t="shared" si="10"/>
        <v>100</v>
      </c>
      <c r="V34" s="676" t="s">
        <v>17</v>
      </c>
      <c r="W34" s="677">
        <f t="shared" si="11"/>
        <v>100</v>
      </c>
      <c r="X34" s="1394"/>
      <c r="Y34" s="3264"/>
      <c r="Z34" s="1393" t="str">
        <f t="shared" si="12"/>
        <v>建筑结构</v>
      </c>
      <c r="AA34" s="1393">
        <f t="shared" si="3"/>
        <v>1</v>
      </c>
      <c r="AB34" s="1393">
        <f t="shared" si="4"/>
        <v>1</v>
      </c>
      <c r="AC34" s="1393">
        <f t="shared" si="5"/>
        <v>1</v>
      </c>
    </row>
    <row r="35" spans="1:29" ht="15">
      <c r="A35" s="417"/>
      <c r="B35" s="370" t="s">
        <v>2240</v>
      </c>
      <c r="C35" s="1890" t="s">
        <v>3211</v>
      </c>
      <c r="D35" s="382">
        <v>100</v>
      </c>
      <c r="E35" s="1890" t="s">
        <v>3211</v>
      </c>
      <c r="F35" s="408">
        <f>SUMIF(107:107,E35,108:108)-SUMIF(107:107,C35,108:108)+100</f>
        <v>100</v>
      </c>
      <c r="G35" s="1890" t="s">
        <v>3211</v>
      </c>
      <c r="H35" s="382">
        <f>SUMIF(107:107,G35,108:108)-SUMIF(107:107,C35,108:108)+100</f>
        <v>100</v>
      </c>
      <c r="I35" s="1890" t="s">
        <v>3211</v>
      </c>
      <c r="J35" s="382">
        <f>SUMIF(107:107,I35,108:108)-SUMIF(107:107,C35,108:108)+100</f>
        <v>100</v>
      </c>
      <c r="K35" s="546"/>
      <c r="L35" s="2659"/>
      <c r="M35" s="2654"/>
      <c r="N35" s="2654"/>
      <c r="O35" s="2654"/>
      <c r="P35" s="3262"/>
      <c r="Q35" s="1392" t="str">
        <f t="shared" si="8"/>
        <v>公共部分装修</v>
      </c>
      <c r="R35" s="676" t="s">
        <v>17</v>
      </c>
      <c r="S35" s="677">
        <f t="shared" si="9"/>
        <v>100</v>
      </c>
      <c r="T35" s="676" t="s">
        <v>17</v>
      </c>
      <c r="U35" s="677">
        <f t="shared" si="10"/>
        <v>100</v>
      </c>
      <c r="V35" s="676" t="s">
        <v>17</v>
      </c>
      <c r="W35" s="677">
        <f t="shared" si="11"/>
        <v>100</v>
      </c>
      <c r="X35" s="1394"/>
      <c r="Y35" s="3264"/>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62"/>
      <c r="Q36" s="1392" t="str">
        <f t="shared" si="8"/>
        <v>成新度</v>
      </c>
      <c r="R36" s="676" t="s">
        <v>17</v>
      </c>
      <c r="S36" s="677">
        <f t="shared" si="9"/>
        <v>100</v>
      </c>
      <c r="T36" s="676" t="s">
        <v>17</v>
      </c>
      <c r="U36" s="677">
        <f t="shared" si="10"/>
        <v>100</v>
      </c>
      <c r="V36" s="676" t="s">
        <v>17</v>
      </c>
      <c r="W36" s="677">
        <f t="shared" si="11"/>
        <v>100</v>
      </c>
      <c r="X36" s="1394"/>
      <c r="Y36" s="3264"/>
      <c r="Z36" s="1393" t="str">
        <f t="shared" si="12"/>
        <v>成新度</v>
      </c>
      <c r="AA36" s="1393">
        <f t="shared" si="3"/>
        <v>1</v>
      </c>
      <c r="AB36" s="1393">
        <f t="shared" si="4"/>
        <v>1</v>
      </c>
      <c r="AC36" s="1393">
        <f t="shared" si="5"/>
        <v>1</v>
      </c>
    </row>
    <row r="37" spans="1:29" s="107" customFormat="1" ht="15">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62"/>
      <c r="Q37" s="538" t="str">
        <f t="shared" si="8"/>
        <v>市政基础设施</v>
      </c>
      <c r="R37" s="673" t="s">
        <v>17</v>
      </c>
      <c r="S37" s="674">
        <f t="shared" si="9"/>
        <v>100</v>
      </c>
      <c r="T37" s="673" t="s">
        <v>17</v>
      </c>
      <c r="U37" s="674">
        <f t="shared" si="10"/>
        <v>100</v>
      </c>
      <c r="V37" s="673" t="s">
        <v>17</v>
      </c>
      <c r="W37" s="674">
        <f t="shared" si="11"/>
        <v>100</v>
      </c>
      <c r="X37" s="675"/>
      <c r="Y37" s="3264"/>
      <c r="Z37" s="53" t="str">
        <f t="shared" si="12"/>
        <v>市政基础设施</v>
      </c>
      <c r="AA37" s="53">
        <f t="shared" si="3"/>
        <v>1</v>
      </c>
      <c r="AB37" s="53">
        <f t="shared" si="4"/>
        <v>1</v>
      </c>
      <c r="AC37" s="53">
        <f t="shared" si="5"/>
        <v>1</v>
      </c>
    </row>
    <row r="38" spans="1:29" ht="15">
      <c r="A38" s="417"/>
      <c r="B38" s="370" t="s">
        <v>2243</v>
      </c>
      <c r="C38" s="1890" t="s">
        <v>3296</v>
      </c>
      <c r="D38" s="382">
        <v>100</v>
      </c>
      <c r="E38" s="1890" t="s">
        <v>3296</v>
      </c>
      <c r="F38" s="408">
        <f>SUMIF(114:114,E38,115:115)-SUMIF(114:114,C38,115:115)+100</f>
        <v>100</v>
      </c>
      <c r="G38" s="1890" t="s">
        <v>3296</v>
      </c>
      <c r="H38" s="382">
        <f>SUMIF(114:114,G38,115:115)-SUMIF(114:114,C38,115:115)+100</f>
        <v>100</v>
      </c>
      <c r="I38" s="1890" t="s">
        <v>3296</v>
      </c>
      <c r="J38" s="382">
        <f>SUMIF(114:114,I38,115:115)-SUMIF(114:114,C38,115:115)+100</f>
        <v>100</v>
      </c>
      <c r="K38" s="546">
        <v>5</v>
      </c>
      <c r="L38" s="2659"/>
      <c r="M38" s="2654"/>
      <c r="N38" s="2654"/>
      <c r="O38" s="2654"/>
      <c r="P38" s="3262" t="s">
        <v>2144</v>
      </c>
      <c r="Q38" s="1392" t="str">
        <f t="shared" si="8"/>
        <v>业态</v>
      </c>
      <c r="R38" s="676" t="s">
        <v>17</v>
      </c>
      <c r="S38" s="677">
        <f t="shared" si="9"/>
        <v>100</v>
      </c>
      <c r="T38" s="676" t="s">
        <v>17</v>
      </c>
      <c r="U38" s="677">
        <f t="shared" si="10"/>
        <v>100</v>
      </c>
      <c r="V38" s="676" t="s">
        <v>17</v>
      </c>
      <c r="W38" s="677">
        <f t="shared" si="11"/>
        <v>100</v>
      </c>
      <c r="X38" s="1394"/>
      <c r="Y38" s="3264" t="s">
        <v>2144</v>
      </c>
      <c r="Z38" s="1393" t="str">
        <f t="shared" si="12"/>
        <v>业态</v>
      </c>
      <c r="AA38" s="1393">
        <f t="shared" si="3"/>
        <v>1</v>
      </c>
      <c r="AB38" s="1393">
        <f t="shared" si="4"/>
        <v>1</v>
      </c>
      <c r="AC38" s="1393">
        <f t="shared" si="5"/>
        <v>1</v>
      </c>
    </row>
    <row r="39" spans="1:29" ht="15">
      <c r="A39" s="417"/>
      <c r="B39" s="370" t="s">
        <v>2244</v>
      </c>
      <c r="C39" s="1890" t="s">
        <v>3216</v>
      </c>
      <c r="D39" s="382">
        <v>100</v>
      </c>
      <c r="E39" s="1890" t="s">
        <v>3216</v>
      </c>
      <c r="F39" s="408">
        <f>SUMIF(116:116,E39,117:117)-SUMIF(116:116,C39,117:117)+100</f>
        <v>100</v>
      </c>
      <c r="G39" s="1890" t="s">
        <v>3216</v>
      </c>
      <c r="H39" s="382">
        <f>SUMIF(116:116,G39,117:117)-SUMIF(116:116,C39,117:117)+100</f>
        <v>100</v>
      </c>
      <c r="I39" s="1890" t="s">
        <v>3216</v>
      </c>
      <c r="J39" s="382">
        <f>SUMIF(116:116,I39,117:117)-SUMIF(116:116,C39,117:117)+100</f>
        <v>100</v>
      </c>
      <c r="K39" s="546"/>
      <c r="L39" s="2659"/>
      <c r="M39" s="2654"/>
      <c r="N39" s="2654"/>
      <c r="O39" s="2654"/>
      <c r="P39" s="3262"/>
      <c r="Q39" s="1392" t="str">
        <f t="shared" si="8"/>
        <v>层高</v>
      </c>
      <c r="R39" s="676" t="s">
        <v>17</v>
      </c>
      <c r="S39" s="677">
        <f t="shared" si="9"/>
        <v>100</v>
      </c>
      <c r="T39" s="676" t="s">
        <v>17</v>
      </c>
      <c r="U39" s="677">
        <f t="shared" si="10"/>
        <v>100</v>
      </c>
      <c r="V39" s="676" t="s">
        <v>17</v>
      </c>
      <c r="W39" s="677">
        <f t="shared" si="11"/>
        <v>100</v>
      </c>
      <c r="X39" s="1394"/>
      <c r="Y39" s="3264"/>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62"/>
      <c r="Q40" s="1392" t="str">
        <f t="shared" si="8"/>
        <v>单套建筑面积</v>
      </c>
      <c r="R40" s="676" t="s">
        <v>17</v>
      </c>
      <c r="S40" s="677">
        <f t="shared" si="9"/>
        <v>100</v>
      </c>
      <c r="T40" s="676" t="s">
        <v>17</v>
      </c>
      <c r="U40" s="677">
        <f t="shared" si="10"/>
        <v>100</v>
      </c>
      <c r="V40" s="676" t="s">
        <v>17</v>
      </c>
      <c r="W40" s="677">
        <f t="shared" si="11"/>
        <v>100</v>
      </c>
      <c r="X40" s="1394"/>
      <c r="Y40" s="3264"/>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62"/>
      <c r="Q41" s="539" t="str">
        <f t="shared" si="8"/>
        <v>进深比</v>
      </c>
      <c r="R41" s="678" t="s">
        <v>17</v>
      </c>
      <c r="S41" s="679">
        <f t="shared" si="9"/>
        <v>100</v>
      </c>
      <c r="T41" s="678" t="s">
        <v>17</v>
      </c>
      <c r="U41" s="679">
        <f t="shared" si="10"/>
        <v>100</v>
      </c>
      <c r="V41" s="678" t="s">
        <v>17</v>
      </c>
      <c r="W41" s="679">
        <f t="shared" si="11"/>
        <v>100</v>
      </c>
      <c r="X41" s="680"/>
      <c r="Y41" s="3264"/>
      <c r="Z41" s="681" t="str">
        <f t="shared" si="12"/>
        <v>进深比</v>
      </c>
      <c r="AA41" s="1393">
        <f t="shared" si="3"/>
        <v>1</v>
      </c>
      <c r="AB41" s="1393">
        <f t="shared" si="4"/>
        <v>1</v>
      </c>
      <c r="AC41" s="1393">
        <f t="shared" si="5"/>
        <v>1</v>
      </c>
    </row>
    <row r="42" spans="1:29" ht="15">
      <c r="A42" s="417"/>
      <c r="B42" s="370" t="s">
        <v>2247</v>
      </c>
      <c r="C42" s="1890" t="s">
        <v>3221</v>
      </c>
      <c r="D42" s="382">
        <v>100</v>
      </c>
      <c r="E42" s="1890" t="s">
        <v>3219</v>
      </c>
      <c r="F42" s="408">
        <f>SUMIF(122:122,E42,123:123)-SUMIF(122:122,C42,123:123)+100</f>
        <v>102</v>
      </c>
      <c r="G42" s="2982" t="s">
        <v>3219</v>
      </c>
      <c r="H42" s="382">
        <f>SUMIF(122:122,G42,123:123)-SUMIF(122:122,C42,123:123)+100</f>
        <v>102</v>
      </c>
      <c r="I42" s="1890" t="s">
        <v>3219</v>
      </c>
      <c r="J42" s="382">
        <f>SUMIF(122:122,I42,123:123)-SUMIF(122:122,C42,123:123)+100</f>
        <v>102</v>
      </c>
      <c r="K42" s="2977">
        <v>2</v>
      </c>
      <c r="L42" s="2659"/>
      <c r="M42" s="2654"/>
      <c r="N42" s="2654"/>
      <c r="O42" s="2654"/>
      <c r="P42" s="3262"/>
      <c r="Q42" s="1392" t="str">
        <f t="shared" si="8"/>
        <v>内部装修</v>
      </c>
      <c r="R42" s="676" t="s">
        <v>17</v>
      </c>
      <c r="S42" s="677">
        <f t="shared" si="9"/>
        <v>102</v>
      </c>
      <c r="T42" s="676" t="s">
        <v>17</v>
      </c>
      <c r="U42" s="677">
        <f t="shared" si="10"/>
        <v>102</v>
      </c>
      <c r="V42" s="676" t="s">
        <v>17</v>
      </c>
      <c r="W42" s="677">
        <f t="shared" si="11"/>
        <v>102</v>
      </c>
      <c r="X42" s="1394"/>
      <c r="Y42" s="3264"/>
      <c r="Z42" s="1393" t="str">
        <f t="shared" si="12"/>
        <v>内部装修</v>
      </c>
      <c r="AA42" s="1393">
        <f t="shared" si="3"/>
        <v>0.98039215686274506</v>
      </c>
      <c r="AB42" s="1393">
        <f t="shared" si="4"/>
        <v>0.98039215686274506</v>
      </c>
      <c r="AC42" s="1393">
        <f t="shared" si="5"/>
        <v>0.98039215686274506</v>
      </c>
    </row>
    <row r="43" spans="1:29" ht="15">
      <c r="A43" s="417"/>
      <c r="B43" s="370" t="s">
        <v>2155</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62"/>
      <c r="Q43" s="1392" t="str">
        <f t="shared" si="8"/>
        <v>内部装修维护情况</v>
      </c>
      <c r="R43" s="676" t="s">
        <v>17</v>
      </c>
      <c r="S43" s="677">
        <f t="shared" si="9"/>
        <v>100</v>
      </c>
      <c r="T43" s="676" t="s">
        <v>17</v>
      </c>
      <c r="U43" s="677">
        <f t="shared" si="10"/>
        <v>100</v>
      </c>
      <c r="V43" s="676" t="s">
        <v>17</v>
      </c>
      <c r="W43" s="677">
        <f t="shared" si="11"/>
        <v>100</v>
      </c>
      <c r="X43" s="1394"/>
      <c r="Y43" s="3264"/>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62"/>
      <c r="Q44" s="538">
        <f t="shared" si="8"/>
        <v>111</v>
      </c>
      <c r="R44" s="673" t="s">
        <v>17</v>
      </c>
      <c r="S44" s="674">
        <f t="shared" si="9"/>
        <v>100</v>
      </c>
      <c r="T44" s="673" t="s">
        <v>17</v>
      </c>
      <c r="U44" s="674">
        <f t="shared" si="10"/>
        <v>100</v>
      </c>
      <c r="V44" s="673" t="s">
        <v>17</v>
      </c>
      <c r="W44" s="674">
        <f t="shared" si="11"/>
        <v>100</v>
      </c>
      <c r="X44" s="675"/>
      <c r="Y44" s="3264"/>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62"/>
      <c r="Q45" s="1392">
        <f t="shared" si="8"/>
        <v>111</v>
      </c>
      <c r="R45" s="676" t="s">
        <v>17</v>
      </c>
      <c r="S45" s="677">
        <f t="shared" si="9"/>
        <v>100</v>
      </c>
      <c r="T45" s="676" t="s">
        <v>17</v>
      </c>
      <c r="U45" s="677">
        <f t="shared" si="10"/>
        <v>100</v>
      </c>
      <c r="V45" s="676" t="s">
        <v>17</v>
      </c>
      <c r="W45" s="677">
        <f t="shared" si="11"/>
        <v>100</v>
      </c>
      <c r="X45" s="1394"/>
      <c r="Y45" s="3264"/>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63"/>
      <c r="Q46" s="1392">
        <f t="shared" si="8"/>
        <v>111</v>
      </c>
      <c r="R46" s="676" t="s">
        <v>17</v>
      </c>
      <c r="S46" s="677">
        <f t="shared" si="9"/>
        <v>100</v>
      </c>
      <c r="T46" s="676" t="s">
        <v>17</v>
      </c>
      <c r="U46" s="677">
        <f t="shared" si="10"/>
        <v>100</v>
      </c>
      <c r="V46" s="676" t="s">
        <v>17</v>
      </c>
      <c r="W46" s="677">
        <f t="shared" si="11"/>
        <v>100</v>
      </c>
      <c r="X46" s="1394"/>
      <c r="Y46" s="3265"/>
      <c r="Z46" s="1393">
        <f t="shared" si="12"/>
        <v>111</v>
      </c>
      <c r="AA46" s="1393">
        <f t="shared" si="3"/>
        <v>1</v>
      </c>
      <c r="AB46" s="1393">
        <f t="shared" si="4"/>
        <v>1</v>
      </c>
      <c r="AC46" s="1393">
        <f t="shared" si="5"/>
        <v>1</v>
      </c>
    </row>
    <row r="47" spans="1:29" ht="15">
      <c r="A47" s="424" t="s">
        <v>2156</v>
      </c>
      <c r="B47" s="425"/>
      <c r="C47" s="1191" t="s">
        <v>1</v>
      </c>
      <c r="D47" s="426"/>
      <c r="E47" s="427">
        <v>9.86</v>
      </c>
      <c r="F47" s="428"/>
      <c r="G47" s="429">
        <v>8.5</v>
      </c>
      <c r="H47" s="430"/>
      <c r="I47" s="427">
        <v>8.6999999999999993</v>
      </c>
      <c r="J47" s="430"/>
      <c r="K47" s="683"/>
      <c r="L47" s="2661"/>
      <c r="M47" s="2654"/>
      <c r="N47" s="2654"/>
      <c r="O47" s="2654"/>
      <c r="P47" s="3266" t="str">
        <f>A47</f>
        <v>成交单价（元/平方米）</v>
      </c>
      <c r="Q47" s="3266"/>
      <c r="R47" s="3252">
        <f>E47</f>
        <v>9.86</v>
      </c>
      <c r="S47" s="3252"/>
      <c r="T47" s="3252">
        <f>G47</f>
        <v>8.5</v>
      </c>
      <c r="U47" s="3252"/>
      <c r="V47" s="3252">
        <f>I47</f>
        <v>8.6999999999999993</v>
      </c>
      <c r="W47" s="3252"/>
      <c r="X47" s="393"/>
      <c r="Y47" s="682"/>
      <c r="Z47" s="393"/>
      <c r="AA47" s="393"/>
      <c r="AB47" s="393"/>
      <c r="AC47" s="393"/>
    </row>
    <row r="48" spans="1:29" ht="15.75" thickBot="1">
      <c r="A48" s="431" t="s">
        <v>2157</v>
      </c>
      <c r="B48" s="432"/>
      <c r="C48" s="1192">
        <f>R49</f>
        <v>9</v>
      </c>
      <c r="D48" s="2301" t="s">
        <v>2638</v>
      </c>
      <c r="E48" s="1193">
        <f>R48</f>
        <v>9.3000000000000007</v>
      </c>
      <c r="F48" s="2302"/>
      <c r="G48" s="1192">
        <f>T48</f>
        <v>9.1</v>
      </c>
      <c r="H48" s="2302"/>
      <c r="I48" s="1193">
        <f>V48</f>
        <v>8.6999999999999993</v>
      </c>
      <c r="J48" s="2302"/>
      <c r="K48" s="2304">
        <f>F48+H48+J48</f>
        <v>0</v>
      </c>
      <c r="L48" s="2661"/>
      <c r="M48" s="2654"/>
      <c r="N48" s="2654"/>
      <c r="O48" s="2654"/>
      <c r="P48" s="3266" t="str">
        <f>A48</f>
        <v>比较价值（元/平方米）</v>
      </c>
      <c r="Q48" s="3266"/>
      <c r="R48" s="3252">
        <f>IF(F1="售价",ROUND(PRODUCT(R47,AA7:AA46),0),ROUND(PRODUCT(R47,AA7:AA46),1))</f>
        <v>9.3000000000000007</v>
      </c>
      <c r="S48" s="3252"/>
      <c r="T48" s="3252">
        <f>IF(F1="售价",ROUND(PRODUCT(T47,AB7:AB46),0),ROUND(PRODUCT(T47,AB7:AB46),1))</f>
        <v>9.1</v>
      </c>
      <c r="U48" s="3252"/>
      <c r="V48" s="3252">
        <f>IF(F1="售价",ROUND(PRODUCT(V47,AC7:AC46),0),ROUND(PRODUCT(V47,AC7:AC46),1))</f>
        <v>8.6999999999999993</v>
      </c>
      <c r="W48" s="3252"/>
      <c r="X48" s="393"/>
      <c r="Y48" s="393"/>
      <c r="Z48" s="393"/>
      <c r="AA48" s="393"/>
      <c r="AB48" s="393"/>
      <c r="AC48" s="393"/>
    </row>
    <row r="49" spans="1:29" ht="15.75" thickBot="1">
      <c r="A49" s="435" t="s">
        <v>2158</v>
      </c>
      <c r="B49" s="436"/>
      <c r="C49" s="357">
        <f>R49</f>
        <v>9</v>
      </c>
      <c r="D49" s="357"/>
      <c r="E49" s="357"/>
      <c r="F49" s="357"/>
      <c r="G49" s="357"/>
      <c r="H49" s="357"/>
      <c r="I49" s="357"/>
      <c r="J49" s="357"/>
      <c r="K49" s="684"/>
      <c r="L49" s="2661"/>
      <c r="M49" s="2654"/>
      <c r="N49" s="2654"/>
      <c r="O49" s="2654"/>
      <c r="P49" s="3267" t="str">
        <f>A49</f>
        <v>估价对象XX用房的比较价值（楼面单价，元/平方米）</v>
      </c>
      <c r="Q49" s="3268"/>
      <c r="R49" s="3269">
        <f>IF(F1="售价",ROUND(IF(D48="简单平均",AVERAGE(R48:V48),R48*F48+T48*H48+V48*J48),0),ROUND(IF(D48="简单平均",AVERAGE(R48:V48),R48*F48+T48*H48+V48*J48),1))</f>
        <v>9</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6.0215053763440718E-2</v>
      </c>
      <c r="F52" s="443" t="str">
        <f>IF(OR(E52&gt;=0.3,E52&lt;=-0.3),"超过30%","")</f>
        <v/>
      </c>
      <c r="G52" s="442">
        <f>IF(G47&lt;G48,G48/G47-1,G47/G48-1)</f>
        <v>7.0588235294117618E-2</v>
      </c>
      <c r="H52" s="443" t="str">
        <f>IF(OR(G52&gt;=0.3,G52&lt;=-0.3),"超过30%","")</f>
        <v/>
      </c>
      <c r="I52" s="442">
        <f>IF(I47&lt;I48,I48/I47-1,I47/I48-1)</f>
        <v>0</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2.1978021978022122E-2</v>
      </c>
      <c r="F53" s="443" t="str">
        <f>IF(OR(E53&gt;=0.2,E53&lt;=-0.2),"超过20%","")</f>
        <v/>
      </c>
      <c r="G53" s="442">
        <f>IF(G48&lt;I48,I48/G48-1,G48/I48-1)</f>
        <v>4.5977011494252817E-2</v>
      </c>
      <c r="H53" s="443" t="str">
        <f>IF(OR(G53&gt;=0.2,G53&lt;=-0.2),"超过20%","")</f>
        <v/>
      </c>
      <c r="I53" s="442">
        <f>IF(I48&lt;E48,E48/I48-1,I48/E48-1)</f>
        <v>6.8965517241379448E-2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0.15999999999999992</v>
      </c>
      <c r="F54" s="443" t="str">
        <f>IF(OR(E54&gt;=0.3,E54&lt;=-0.3),"超过30%","")</f>
        <v/>
      </c>
      <c r="G54" s="442">
        <f>IF(G47&lt;I47,I47/G47-1,G47/I47-1)</f>
        <v>2.3529411764705799E-2</v>
      </c>
      <c r="H54" s="443" t="str">
        <f>IF(OR(G54&gt;=0.3,G54&lt;=-0.3),"超过30%","")</f>
        <v/>
      </c>
      <c r="I54" s="442">
        <f>IF(I47&lt;E47,E47/I47-1,I47/E47-1)</f>
        <v>0.1333333333333333</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2012-1</v>
      </c>
      <c r="D58" s="1214">
        <f>EDATE(C58,-1)</f>
        <v>40878</v>
      </c>
      <c r="E58" s="1214">
        <f t="shared" ref="E58:N58" si="13">EDATE(D58,-1)</f>
        <v>40848</v>
      </c>
      <c r="F58" s="1214">
        <f t="shared" si="13"/>
        <v>40817</v>
      </c>
      <c r="G58" s="1214">
        <f t="shared" si="13"/>
        <v>40787</v>
      </c>
      <c r="H58" s="1214">
        <f t="shared" si="13"/>
        <v>40756</v>
      </c>
      <c r="I58" s="1214">
        <f t="shared" si="13"/>
        <v>40725</v>
      </c>
      <c r="J58" s="1214">
        <f t="shared" si="13"/>
        <v>40695</v>
      </c>
      <c r="K58" s="1214">
        <f t="shared" si="13"/>
        <v>40664</v>
      </c>
      <c r="L58" s="1214">
        <f t="shared" si="13"/>
        <v>40634</v>
      </c>
      <c r="M58" s="1214">
        <f t="shared" si="13"/>
        <v>40603</v>
      </c>
      <c r="N58" s="1214">
        <f t="shared" si="13"/>
        <v>40575</v>
      </c>
      <c r="O58" s="1214">
        <f>EDATE(N58,-1)</f>
        <v>40544</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95</v>
      </c>
      <c r="E79" s="483">
        <f>D79-$K17</f>
        <v>90</v>
      </c>
      <c r="F79" s="483">
        <f>E79-$K17</f>
        <v>85</v>
      </c>
      <c r="G79" s="483">
        <f>F79-$K17</f>
        <v>80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3224</v>
      </c>
      <c r="D86" s="2965" t="s">
        <v>3226</v>
      </c>
      <c r="E86" s="2965" t="s">
        <v>3230</v>
      </c>
      <c r="F86" s="2997" t="s">
        <v>3265</v>
      </c>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3231</v>
      </c>
      <c r="D88" s="2965" t="s">
        <v>3200</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95</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3198</v>
      </c>
      <c r="D90" s="2965" t="s">
        <v>3200</v>
      </c>
      <c r="E90" s="2965" t="s">
        <v>3201</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98</v>
      </c>
      <c r="E91" s="483">
        <f t="shared" ref="E91:M91" si="17">D91-$K27</f>
        <v>96</v>
      </c>
      <c r="F91" s="483">
        <f t="shared" si="17"/>
        <v>94</v>
      </c>
      <c r="G91" s="483">
        <f t="shared" si="17"/>
        <v>92</v>
      </c>
      <c r="H91" s="483">
        <f t="shared" si="17"/>
        <v>90</v>
      </c>
      <c r="I91" s="483">
        <f t="shared" si="17"/>
        <v>88</v>
      </c>
      <c r="J91" s="483">
        <f t="shared" si="17"/>
        <v>86</v>
      </c>
      <c r="K91" s="483">
        <f t="shared" si="17"/>
        <v>84</v>
      </c>
      <c r="L91" s="483">
        <f t="shared" si="17"/>
        <v>82</v>
      </c>
      <c r="M91" s="483">
        <f t="shared" si="17"/>
        <v>80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3202</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3206</v>
      </c>
      <c r="D100" s="2967" t="s">
        <v>3313</v>
      </c>
      <c r="E100" s="2967" t="s">
        <v>3273</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98</v>
      </c>
      <c r="E101" s="483">
        <f t="shared" si="18"/>
        <v>96</v>
      </c>
      <c r="F101" s="483">
        <f t="shared" si="18"/>
        <v>94</v>
      </c>
      <c r="G101" s="483">
        <f t="shared" si="18"/>
        <v>92</v>
      </c>
      <c r="H101" s="483">
        <f t="shared" si="18"/>
        <v>90</v>
      </c>
      <c r="I101" s="483">
        <f t="shared" si="18"/>
        <v>88</v>
      </c>
      <c r="J101" s="483">
        <f t="shared" si="18"/>
        <v>86</v>
      </c>
      <c r="K101" s="483">
        <f t="shared" si="18"/>
        <v>84</v>
      </c>
      <c r="L101" s="483">
        <f t="shared" si="18"/>
        <v>82</v>
      </c>
      <c r="M101" s="484">
        <f t="shared" si="18"/>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0(含)-300</v>
      </c>
      <c r="D102" s="517" t="str">
        <f t="shared" ref="D102:L102" si="19">D103&amp;"(含)"&amp;"-"&amp;E103</f>
        <v>300(含)-600</v>
      </c>
      <c r="E102" s="517" t="str">
        <f t="shared" si="19"/>
        <v>600(含)-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300</v>
      </c>
      <c r="E103" s="9">
        <v>600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3209</v>
      </c>
      <c r="D105" s="2965" t="s">
        <v>3210</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3212</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3213</v>
      </c>
      <c r="D112" s="2965" t="s">
        <v>3214</v>
      </c>
      <c r="E112" s="2965" t="s">
        <v>3215</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3330</v>
      </c>
      <c r="D114" s="2965" t="s">
        <v>3331</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95</v>
      </c>
      <c r="E115" s="483">
        <f t="shared" si="24"/>
        <v>90</v>
      </c>
      <c r="F115" s="483">
        <f t="shared" si="24"/>
        <v>85</v>
      </c>
      <c r="G115" s="483">
        <f t="shared" si="24"/>
        <v>80</v>
      </c>
      <c r="H115" s="483">
        <f t="shared" si="24"/>
        <v>75</v>
      </c>
      <c r="I115" s="483">
        <f t="shared" si="24"/>
        <v>70</v>
      </c>
      <c r="J115" s="483">
        <f t="shared" si="24"/>
        <v>65</v>
      </c>
      <c r="K115" s="483">
        <f t="shared" si="24"/>
        <v>60</v>
      </c>
      <c r="L115" s="483">
        <f t="shared" si="24"/>
        <v>55</v>
      </c>
      <c r="M115" s="484">
        <f t="shared" si="24"/>
        <v>50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3218</v>
      </c>
      <c r="D116" s="2965" t="s">
        <v>3217</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3212</v>
      </c>
      <c r="D122" s="2965" t="s">
        <v>3220</v>
      </c>
      <c r="E122" s="2965" t="s">
        <v>3222</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WVNBJVqOJVj7kdjn8yMw8lPphjUxlAfjnfi4D+qexEdXiAwrB9HZs4gM2XY8NmLN6NeIATDn18KUzqt7rv1eYA==" saltValue="ymJglInrotfEQDp9GccWC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80" priority="20"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rgb="FF92D050"/>
    <pageSetUpPr fitToPage="1"/>
  </sheetPr>
  <dimension ref="A1:AC131"/>
  <sheetViews>
    <sheetView view="pageBreakPreview" zoomScale="90" zoomScaleNormal="70" zoomScaleSheetLayoutView="90" workbookViewId="0">
      <selection activeCell="D90" sqref="D90"/>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7</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26" t="s">
        <v>2115</v>
      </c>
      <c r="D4" s="3227"/>
      <c r="E4" s="3228" t="s">
        <v>2116</v>
      </c>
      <c r="F4" s="3229"/>
      <c r="G4" s="3226" t="s">
        <v>2117</v>
      </c>
      <c r="H4" s="3227"/>
      <c r="I4" s="3226" t="s">
        <v>2118</v>
      </c>
      <c r="J4" s="3227"/>
      <c r="K4" s="545" t="s">
        <v>2119</v>
      </c>
      <c r="L4" s="2653"/>
      <c r="M4" s="2654"/>
      <c r="N4" s="2654"/>
      <c r="O4" s="2654"/>
      <c r="P4" s="3230" t="s">
        <v>2120</v>
      </c>
      <c r="Q4" s="3231"/>
      <c r="R4" s="3236" t="s">
        <v>2116</v>
      </c>
      <c r="S4" s="3237"/>
      <c r="T4" s="3236" t="s">
        <v>2117</v>
      </c>
      <c r="U4" s="3237"/>
      <c r="V4" s="3252" t="s">
        <v>2118</v>
      </c>
      <c r="W4" s="3252"/>
      <c r="X4" s="1394"/>
      <c r="Y4" s="3236" t="s">
        <v>2120</v>
      </c>
      <c r="Z4" s="3237"/>
      <c r="AA4" s="3223" t="s">
        <v>2116</v>
      </c>
      <c r="AB4" s="3252" t="s">
        <v>2117</v>
      </c>
      <c r="AC4" s="3223" t="s">
        <v>2118</v>
      </c>
    </row>
    <row r="5" spans="1:29" ht="15">
      <c r="A5" s="354"/>
      <c r="B5" s="355"/>
      <c r="C5" s="3240" t="s">
        <v>2121</v>
      </c>
      <c r="D5" s="3241"/>
      <c r="E5" s="3242" t="s">
        <v>3326</v>
      </c>
      <c r="F5" s="3243"/>
      <c r="G5" s="3244" t="s">
        <v>3327</v>
      </c>
      <c r="H5" s="3241"/>
      <c r="I5" s="3244" t="s">
        <v>3328</v>
      </c>
      <c r="J5" s="3241"/>
      <c r="K5" s="545"/>
      <c r="L5" s="2653"/>
      <c r="M5" s="2654"/>
      <c r="N5" s="2654"/>
      <c r="O5" s="2654"/>
      <c r="P5" s="3232"/>
      <c r="Q5" s="3233"/>
      <c r="R5" s="3238"/>
      <c r="S5" s="3239"/>
      <c r="T5" s="3238"/>
      <c r="U5" s="3239"/>
      <c r="V5" s="3252"/>
      <c r="W5" s="3252"/>
      <c r="X5" s="1394"/>
      <c r="Y5" s="3238"/>
      <c r="Z5" s="3239"/>
      <c r="AA5" s="3224"/>
      <c r="AB5" s="3252"/>
      <c r="AC5" s="3224"/>
    </row>
    <row r="6" spans="1:29" ht="15.75" thickBot="1">
      <c r="A6" s="356"/>
      <c r="B6" s="357"/>
      <c r="C6" s="3245" t="s">
        <v>2125</v>
      </c>
      <c r="D6" s="3246"/>
      <c r="E6" s="3276" t="s">
        <v>3319</v>
      </c>
      <c r="F6" s="3248"/>
      <c r="G6" s="3249" t="s">
        <v>3318</v>
      </c>
      <c r="H6" s="3246"/>
      <c r="I6" s="3249" t="s">
        <v>3320</v>
      </c>
      <c r="J6" s="3246"/>
      <c r="K6" s="545" t="s">
        <v>2126</v>
      </c>
      <c r="L6" s="2653"/>
      <c r="M6" s="2654"/>
      <c r="N6" s="2654"/>
      <c r="O6" s="2654"/>
      <c r="P6" s="3234"/>
      <c r="Q6" s="3235"/>
      <c r="R6" s="3238"/>
      <c r="S6" s="3239"/>
      <c r="T6" s="3250"/>
      <c r="U6" s="3251"/>
      <c r="V6" s="3252"/>
      <c r="W6" s="3252"/>
      <c r="X6" s="1394"/>
      <c r="Y6" s="3250"/>
      <c r="Z6" s="3251"/>
      <c r="AA6" s="3225"/>
      <c r="AB6" s="3252"/>
      <c r="AC6" s="3225"/>
    </row>
    <row r="7" spans="1:29" s="107" customFormat="1" ht="15.75" thickBot="1">
      <c r="A7" s="358" t="s">
        <v>2127</v>
      </c>
      <c r="B7" s="359"/>
      <c r="C7" s="360">
        <v>39264</v>
      </c>
      <c r="D7" s="361">
        <v>100</v>
      </c>
      <c r="E7" s="362">
        <v>39234</v>
      </c>
      <c r="F7" s="363">
        <f>SUMIF(58:58,YEAR(E7)&amp;"-"&amp;MONTH(E7),59:59)</f>
        <v>100</v>
      </c>
      <c r="G7" s="362">
        <v>38916</v>
      </c>
      <c r="H7" s="361">
        <f>SUMIF(58:58,YEAR(G7)&amp;"-"&amp;MONTH(G7),59:59)</f>
        <v>100</v>
      </c>
      <c r="I7" s="362">
        <v>39100</v>
      </c>
      <c r="J7" s="361">
        <f>SUMIF(58:58,YEAR(I7)&amp;"-"&amp;MONTH(I7),59:59)</f>
        <v>100</v>
      </c>
      <c r="K7" s="41"/>
      <c r="L7" s="2655"/>
      <c r="M7" s="2604"/>
      <c r="N7" s="2604"/>
      <c r="O7" s="2604"/>
      <c r="P7" s="3253" t="s">
        <v>2128</v>
      </c>
      <c r="Q7" s="3254"/>
      <c r="R7" s="673" t="s">
        <v>17</v>
      </c>
      <c r="S7" s="674">
        <f t="shared" ref="S7:S15" si="0">F7</f>
        <v>100</v>
      </c>
      <c r="T7" s="673" t="s">
        <v>17</v>
      </c>
      <c r="U7" s="674">
        <f t="shared" ref="U7:U15" si="1">H7</f>
        <v>100</v>
      </c>
      <c r="V7" s="673" t="s">
        <v>17</v>
      </c>
      <c r="W7" s="674">
        <f t="shared" ref="W7:W15" si="2">J7</f>
        <v>100</v>
      </c>
      <c r="X7" s="675"/>
      <c r="Y7" s="3253" t="s">
        <v>2128</v>
      </c>
      <c r="Z7" s="325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53" t="s">
        <v>2131</v>
      </c>
      <c r="Q8" s="3255"/>
      <c r="R8" s="673" t="s">
        <v>17</v>
      </c>
      <c r="S8" s="674">
        <f t="shared" si="0"/>
        <v>100</v>
      </c>
      <c r="T8" s="673" t="s">
        <v>17</v>
      </c>
      <c r="U8" s="674">
        <f t="shared" si="1"/>
        <v>100</v>
      </c>
      <c r="V8" s="673" t="s">
        <v>17</v>
      </c>
      <c r="W8" s="674">
        <f t="shared" si="2"/>
        <v>100</v>
      </c>
      <c r="X8" s="675"/>
      <c r="Y8" s="3253" t="s">
        <v>2131</v>
      </c>
      <c r="Z8" s="325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56"/>
      <c r="Q11" s="538" t="str">
        <f t="shared" si="6"/>
        <v>容积率</v>
      </c>
      <c r="R11" s="673" t="s">
        <v>17</v>
      </c>
      <c r="S11" s="674">
        <f t="shared" si="0"/>
        <v>100</v>
      </c>
      <c r="T11" s="673" t="s">
        <v>17</v>
      </c>
      <c r="U11" s="674">
        <f t="shared" si="1"/>
        <v>100</v>
      </c>
      <c r="V11" s="673" t="s">
        <v>17</v>
      </c>
      <c r="W11" s="674">
        <f t="shared" si="2"/>
        <v>100</v>
      </c>
      <c r="X11" s="675"/>
      <c r="Y11" s="3191"/>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5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5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5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2</v>
      </c>
      <c r="L15" s="2659"/>
      <c r="M15" s="2654"/>
      <c r="N15" s="2654"/>
      <c r="O15" s="2654"/>
      <c r="P15" s="3257" t="s">
        <v>2139</v>
      </c>
      <c r="Q15" s="1392" t="str">
        <f t="shared" si="6"/>
        <v>商业繁华度</v>
      </c>
      <c r="R15" s="676" t="s">
        <v>17</v>
      </c>
      <c r="S15" s="677">
        <f t="shared" si="0"/>
        <v>100</v>
      </c>
      <c r="T15" s="676" t="s">
        <v>17</v>
      </c>
      <c r="U15" s="677">
        <f t="shared" si="1"/>
        <v>100</v>
      </c>
      <c r="V15" s="676" t="s">
        <v>17</v>
      </c>
      <c r="W15" s="677">
        <f t="shared" si="2"/>
        <v>100</v>
      </c>
      <c r="X15" s="1394"/>
      <c r="Y15" s="3259" t="s">
        <v>2139</v>
      </c>
      <c r="Z15" s="1393" t="str">
        <f t="shared" si="7"/>
        <v>商业繁华度</v>
      </c>
      <c r="AA15" s="1393">
        <f t="shared" si="3"/>
        <v>1</v>
      </c>
      <c r="AB15" s="1393">
        <f t="shared" si="4"/>
        <v>1</v>
      </c>
      <c r="AC15" s="1393">
        <f t="shared" si="5"/>
        <v>1</v>
      </c>
    </row>
    <row r="16" spans="1:29" ht="15">
      <c r="A16" s="375"/>
      <c r="B16" s="393"/>
      <c r="C16" s="394" t="s">
        <v>3199</v>
      </c>
      <c r="D16" s="395"/>
      <c r="E16" s="394" t="s">
        <v>3199</v>
      </c>
      <c r="F16" s="396"/>
      <c r="G16" s="394" t="s">
        <v>3199</v>
      </c>
      <c r="H16" s="397"/>
      <c r="I16" s="394" t="s">
        <v>3199</v>
      </c>
      <c r="J16" s="395"/>
      <c r="K16" s="549"/>
      <c r="L16" s="2659"/>
      <c r="M16" s="2654"/>
      <c r="N16" s="2654"/>
      <c r="O16" s="2654"/>
      <c r="P16" s="3258"/>
      <c r="Q16" s="1392"/>
      <c r="R16" s="676"/>
      <c r="S16" s="677"/>
      <c r="T16" s="676"/>
      <c r="U16" s="677"/>
      <c r="V16" s="676"/>
      <c r="W16" s="677"/>
      <c r="X16" s="1394"/>
      <c r="Y16" s="3260"/>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9"/>
      <c r="M17" s="2654"/>
      <c r="N17" s="2654"/>
      <c r="O17" s="2654"/>
      <c r="P17" s="3258"/>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58"/>
      <c r="Q18" s="1392"/>
      <c r="R18" s="676"/>
      <c r="S18" s="677"/>
      <c r="T18" s="676"/>
      <c r="U18" s="677"/>
      <c r="V18" s="676"/>
      <c r="W18" s="677"/>
      <c r="X18" s="1394"/>
      <c r="Y18" s="3260"/>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v>5</v>
      </c>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58"/>
      <c r="Q20" s="1392"/>
      <c r="R20" s="676"/>
      <c r="S20" s="677"/>
      <c r="T20" s="676"/>
      <c r="U20" s="677"/>
      <c r="V20" s="676"/>
      <c r="W20" s="677"/>
      <c r="X20" s="1394"/>
      <c r="Y20" s="3260"/>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58"/>
      <c r="Q22" s="1392"/>
      <c r="R22" s="676"/>
      <c r="S22" s="677"/>
      <c r="T22" s="676"/>
      <c r="U22" s="677"/>
      <c r="V22" s="676"/>
      <c r="W22" s="677"/>
      <c r="X22" s="1394"/>
      <c r="Y22" s="3260"/>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95</v>
      </c>
      <c r="G23" s="401"/>
      <c r="H23" s="397">
        <f>SUMIF(84:84,G24,85:85)-SUMIF(84:84,C24,85:85)+100</f>
        <v>100</v>
      </c>
      <c r="I23" s="399"/>
      <c r="J23" s="397">
        <f>SUMIF(84:84,I24,85:85)-SUMIF(84:84,C24,85:85)+100</f>
        <v>95</v>
      </c>
      <c r="K23" s="548">
        <v>5</v>
      </c>
      <c r="L23" s="2659"/>
      <c r="M23" s="2654"/>
      <c r="N23" s="2654"/>
      <c r="O23" s="2654"/>
      <c r="P23" s="3258"/>
      <c r="Q23" s="1392" t="str">
        <f>B23</f>
        <v>自然及人文环境</v>
      </c>
      <c r="R23" s="676" t="s">
        <v>17</v>
      </c>
      <c r="S23" s="677">
        <f>F23</f>
        <v>95</v>
      </c>
      <c r="T23" s="676" t="s">
        <v>17</v>
      </c>
      <c r="U23" s="677">
        <f>H23</f>
        <v>100</v>
      </c>
      <c r="V23" s="676" t="s">
        <v>17</v>
      </c>
      <c r="W23" s="677">
        <f>J23</f>
        <v>95</v>
      </c>
      <c r="X23" s="1394"/>
      <c r="Y23" s="3260"/>
      <c r="Z23" s="1393" t="str">
        <f>Q23</f>
        <v>自然及人文环境</v>
      </c>
      <c r="AA23" s="1393">
        <f t="shared" si="3"/>
        <v>1.0526315789473684</v>
      </c>
      <c r="AB23" s="1393">
        <f t="shared" si="4"/>
        <v>1</v>
      </c>
      <c r="AC23" s="1393">
        <f t="shared" si="5"/>
        <v>1.0526315789473684</v>
      </c>
    </row>
    <row r="24" spans="1:29" ht="15">
      <c r="A24" s="375"/>
      <c r="B24" s="403"/>
      <c r="C24" s="394" t="s">
        <v>3194</v>
      </c>
      <c r="D24" s="395"/>
      <c r="E24" s="1882" t="s">
        <v>3193</v>
      </c>
      <c r="F24" s="396"/>
      <c r="G24" s="1881" t="s">
        <v>3194</v>
      </c>
      <c r="H24" s="395"/>
      <c r="I24" s="1882" t="s">
        <v>3193</v>
      </c>
      <c r="J24" s="395"/>
      <c r="K24" s="549"/>
      <c r="L24" s="2659"/>
      <c r="M24" s="2654"/>
      <c r="N24" s="2654"/>
      <c r="O24" s="2654"/>
      <c r="P24" s="3258"/>
      <c r="Q24" s="1392"/>
      <c r="R24" s="676"/>
      <c r="S24" s="677"/>
      <c r="T24" s="676"/>
      <c r="U24" s="677"/>
      <c r="V24" s="676"/>
      <c r="W24" s="677"/>
      <c r="X24" s="1394"/>
      <c r="Y24" s="3260"/>
      <c r="Z24" s="1393"/>
      <c r="AA24" s="1393">
        <v>1</v>
      </c>
      <c r="AB24" s="1393">
        <v>1</v>
      </c>
      <c r="AC24" s="1393">
        <v>1</v>
      </c>
    </row>
    <row r="25" spans="1:29" ht="15">
      <c r="A25" s="375"/>
      <c r="B25" s="370" t="s">
        <v>2235</v>
      </c>
      <c r="C25" s="550" t="s">
        <v>3225</v>
      </c>
      <c r="D25" s="382">
        <v>100</v>
      </c>
      <c r="E25" s="550" t="s">
        <v>3225</v>
      </c>
      <c r="F25" s="408">
        <f>SUMIF(86:86,E25,87:87)-SUMIF(86:86,C25,87:87)+100</f>
        <v>100</v>
      </c>
      <c r="G25" s="550" t="s">
        <v>3260</v>
      </c>
      <c r="H25" s="382">
        <f>SUMIF(86:86,G25,87:87)-SUMIF(86:86,C25,87:87)+100</f>
        <v>102</v>
      </c>
      <c r="I25" s="550" t="s">
        <v>3229</v>
      </c>
      <c r="J25" s="382">
        <f>SUMIF(86:86,I25,87:87)-SUMIF(86:86,C25,87:87)+100</f>
        <v>98</v>
      </c>
      <c r="K25" s="546">
        <v>2</v>
      </c>
      <c r="L25" s="2659"/>
      <c r="M25" s="2654"/>
      <c r="N25" s="2654"/>
      <c r="O25" s="2654"/>
      <c r="P25" s="3258"/>
      <c r="Q25" s="1392" t="str">
        <f t="shared" ref="Q25:Q46" si="8">B25</f>
        <v>临街状况</v>
      </c>
      <c r="R25" s="676" t="s">
        <v>17</v>
      </c>
      <c r="S25" s="677">
        <f>F25</f>
        <v>100</v>
      </c>
      <c r="T25" s="676" t="s">
        <v>17</v>
      </c>
      <c r="U25" s="677">
        <f>H25</f>
        <v>102</v>
      </c>
      <c r="V25" s="676" t="s">
        <v>17</v>
      </c>
      <c r="W25" s="677">
        <f>J25</f>
        <v>98</v>
      </c>
      <c r="X25" s="1394"/>
      <c r="Y25" s="3260"/>
      <c r="Z25" s="1393" t="str">
        <f>Q25</f>
        <v>临街状况</v>
      </c>
      <c r="AA25" s="1393">
        <f t="shared" si="3"/>
        <v>1</v>
      </c>
      <c r="AB25" s="1393">
        <f t="shared" si="4"/>
        <v>0.98039215686274506</v>
      </c>
      <c r="AC25" s="1393">
        <f t="shared" si="5"/>
        <v>1.0204081632653061</v>
      </c>
    </row>
    <row r="26" spans="1:29" ht="15">
      <c r="A26" s="375"/>
      <c r="B26" s="1176" t="s">
        <v>2236</v>
      </c>
      <c r="C26" s="2968" t="s">
        <v>3231</v>
      </c>
      <c r="D26" s="382">
        <v>100</v>
      </c>
      <c r="E26" s="2968" t="s">
        <v>3200</v>
      </c>
      <c r="F26" s="408">
        <f>SUMIF(88:88,E26,89:89)-SUMIF(88:88,C26,89:89)+100</f>
        <v>93</v>
      </c>
      <c r="G26" s="2968" t="s">
        <v>3231</v>
      </c>
      <c r="H26" s="382">
        <f>SUMIF(88:88,G26,89:89)-SUMIF(88:88,C26,89:89)+100</f>
        <v>100</v>
      </c>
      <c r="I26" s="2968" t="s">
        <v>3200</v>
      </c>
      <c r="J26" s="382">
        <f>SUMIF(88:88,I26,89:89)-SUMIF(88:88,C26,89:89)+100</f>
        <v>93</v>
      </c>
      <c r="K26" s="547"/>
      <c r="L26" s="2659"/>
      <c r="M26" s="2654"/>
      <c r="N26" s="2654"/>
      <c r="O26" s="2654"/>
      <c r="P26" s="3258"/>
      <c r="Q26" s="1392" t="str">
        <f t="shared" si="8"/>
        <v>平面位置/可视性</v>
      </c>
      <c r="R26" s="676" t="s">
        <v>17</v>
      </c>
      <c r="S26" s="677">
        <f>F26</f>
        <v>93</v>
      </c>
      <c r="T26" s="676" t="s">
        <v>17</v>
      </c>
      <c r="U26" s="677">
        <f>H26</f>
        <v>100</v>
      </c>
      <c r="V26" s="676" t="s">
        <v>17</v>
      </c>
      <c r="W26" s="677">
        <f>J26</f>
        <v>93</v>
      </c>
      <c r="X26" s="1394"/>
      <c r="Y26" s="3260"/>
      <c r="Z26" s="1393" t="str">
        <f>Q26</f>
        <v>平面位置/可视性</v>
      </c>
      <c r="AA26" s="1393">
        <f t="shared" si="3"/>
        <v>1.075268817204301</v>
      </c>
      <c r="AB26" s="1393">
        <f t="shared" si="4"/>
        <v>1</v>
      </c>
      <c r="AC26" s="1393">
        <f t="shared" si="5"/>
        <v>1.075268817204301</v>
      </c>
    </row>
    <row r="27" spans="1:29" s="107" customFormat="1" ht="15">
      <c r="A27" s="378"/>
      <c r="B27" s="398" t="s">
        <v>2237</v>
      </c>
      <c r="C27" s="1937" t="s">
        <v>3199</v>
      </c>
      <c r="D27" s="409">
        <v>100</v>
      </c>
      <c r="E27" s="1937" t="s">
        <v>3199</v>
      </c>
      <c r="F27" s="403">
        <f>SUMIF(90:90,E27,91:91)-SUMIF(90:90,C27,91:91)+100</f>
        <v>100</v>
      </c>
      <c r="G27" s="1937" t="s">
        <v>3199</v>
      </c>
      <c r="H27" s="409">
        <f>SUMIF(90:90,G27,91:91)-SUMIF(90:90,C27,91:91)+100</f>
        <v>100</v>
      </c>
      <c r="I27" s="1937" t="s">
        <v>3199</v>
      </c>
      <c r="J27" s="409">
        <f>SUMIF(90:90,I27,91:91)-SUMIF(90:90,C27,91:91)+100</f>
        <v>100</v>
      </c>
      <c r="K27" s="546">
        <v>5</v>
      </c>
      <c r="L27" s="2655"/>
      <c r="M27" s="2604"/>
      <c r="N27" s="2604"/>
      <c r="O27" s="2604"/>
      <c r="P27" s="3258"/>
      <c r="Q27" s="538" t="str">
        <f t="shared" si="8"/>
        <v>人流量</v>
      </c>
      <c r="R27" s="673" t="s">
        <v>17</v>
      </c>
      <c r="S27" s="674">
        <f>F27</f>
        <v>100</v>
      </c>
      <c r="T27" s="673" t="s">
        <v>17</v>
      </c>
      <c r="U27" s="674">
        <f>H27</f>
        <v>100</v>
      </c>
      <c r="V27" s="673" t="s">
        <v>17</v>
      </c>
      <c r="W27" s="674">
        <f>J27</f>
        <v>100</v>
      </c>
      <c r="X27" s="675"/>
      <c r="Y27" s="3260"/>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58"/>
      <c r="Q28" s="1392" t="str">
        <f t="shared" si="8"/>
        <v>楼层</v>
      </c>
      <c r="R28" s="676" t="s">
        <v>17</v>
      </c>
      <c r="S28" s="677">
        <f t="shared" ref="S28:S46" si="9">F28</f>
        <v>100</v>
      </c>
      <c r="T28" s="676" t="s">
        <v>17</v>
      </c>
      <c r="U28" s="677">
        <f t="shared" ref="U28:U46" si="10">H28</f>
        <v>100</v>
      </c>
      <c r="V28" s="676" t="s">
        <v>17</v>
      </c>
      <c r="W28" s="677">
        <f t="shared" ref="W28:W46" si="11">J28</f>
        <v>100</v>
      </c>
      <c r="X28" s="1394"/>
      <c r="Y28" s="3260"/>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58"/>
      <c r="Q29" s="1392">
        <f t="shared" si="8"/>
        <v>111</v>
      </c>
      <c r="R29" s="676" t="s">
        <v>17</v>
      </c>
      <c r="S29" s="677">
        <f t="shared" si="9"/>
        <v>100</v>
      </c>
      <c r="T29" s="676" t="s">
        <v>17</v>
      </c>
      <c r="U29" s="677">
        <f t="shared" si="10"/>
        <v>100</v>
      </c>
      <c r="V29" s="676" t="s">
        <v>17</v>
      </c>
      <c r="W29" s="677">
        <f t="shared" si="11"/>
        <v>100</v>
      </c>
      <c r="X29" s="1394"/>
      <c r="Y29" s="3260"/>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58"/>
      <c r="Q30" s="1392">
        <f t="shared" si="8"/>
        <v>111</v>
      </c>
      <c r="R30" s="676" t="s">
        <v>17</v>
      </c>
      <c r="S30" s="677">
        <f t="shared" si="9"/>
        <v>100</v>
      </c>
      <c r="T30" s="676" t="s">
        <v>17</v>
      </c>
      <c r="U30" s="677">
        <f t="shared" si="10"/>
        <v>100</v>
      </c>
      <c r="V30" s="676" t="s">
        <v>17</v>
      </c>
      <c r="W30" s="677">
        <f t="shared" si="11"/>
        <v>100</v>
      </c>
      <c r="X30" s="1394"/>
      <c r="Y30" s="3260"/>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58"/>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393">
        <f t="shared" si="5"/>
        <v>1</v>
      </c>
    </row>
    <row r="32" spans="1:29" ht="15">
      <c r="A32" s="387" t="s">
        <v>2142</v>
      </c>
      <c r="B32" s="64" t="s">
        <v>2239</v>
      </c>
      <c r="C32" s="1894" t="s">
        <v>3272</v>
      </c>
      <c r="D32" s="413">
        <v>100</v>
      </c>
      <c r="E32" s="1894" t="s">
        <v>3205</v>
      </c>
      <c r="F32" s="408">
        <f>SUMIF(100:100,E32,101:101)-SUMIF(100:100,C32,101:101)+100</f>
        <v>104</v>
      </c>
      <c r="G32" s="1894" t="s">
        <v>3274</v>
      </c>
      <c r="H32" s="382">
        <f>SUMIF(100:100,G32,101:101)-SUMIF(100:100,C32,101:101)+100</f>
        <v>102</v>
      </c>
      <c r="I32" s="1894" t="s">
        <v>3272</v>
      </c>
      <c r="J32" s="413">
        <f>SUMIF(100:100,I32,101:101)-SUMIF(100:100,C32,101:101)+100</f>
        <v>100</v>
      </c>
      <c r="K32" s="546">
        <v>2</v>
      </c>
      <c r="L32" s="2659"/>
      <c r="M32" s="2654"/>
      <c r="N32" s="2654"/>
      <c r="O32" s="2654"/>
      <c r="P32" s="3261" t="s">
        <v>2144</v>
      </c>
      <c r="Q32" s="1392" t="str">
        <f t="shared" si="8"/>
        <v>商业类型</v>
      </c>
      <c r="R32" s="676" t="s">
        <v>17</v>
      </c>
      <c r="S32" s="677">
        <f t="shared" si="9"/>
        <v>104</v>
      </c>
      <c r="T32" s="676" t="s">
        <v>17</v>
      </c>
      <c r="U32" s="677">
        <f t="shared" si="10"/>
        <v>102</v>
      </c>
      <c r="V32" s="676" t="s">
        <v>17</v>
      </c>
      <c r="W32" s="677">
        <f t="shared" si="11"/>
        <v>100</v>
      </c>
      <c r="X32" s="1394"/>
      <c r="Y32" s="3264" t="s">
        <v>2144</v>
      </c>
      <c r="Z32" s="1393" t="str">
        <f t="shared" si="12"/>
        <v>商业类型</v>
      </c>
      <c r="AA32" s="1393">
        <f t="shared" si="3"/>
        <v>0.96153846153846156</v>
      </c>
      <c r="AB32" s="1393">
        <f t="shared" si="4"/>
        <v>0.98039215686274506</v>
      </c>
      <c r="AC32" s="1393">
        <f t="shared" si="5"/>
        <v>1</v>
      </c>
    </row>
    <row r="33" spans="1:29" s="416" customFormat="1" ht="15">
      <c r="A33" s="414"/>
      <c r="B33" s="370" t="s">
        <v>2145</v>
      </c>
      <c r="C33" s="415">
        <f>'数据-基础表'!I13</f>
        <v>256</v>
      </c>
      <c r="D33" s="124">
        <v>100</v>
      </c>
      <c r="E33" s="377">
        <v>370</v>
      </c>
      <c r="F33" s="370">
        <f>LOOKUP(E33,103:103,104:104)-LOOKUP(C33,103:103,104:104)+100</f>
        <v>98</v>
      </c>
      <c r="G33" s="376">
        <v>340.1</v>
      </c>
      <c r="H33" s="124">
        <f>LOOKUP(G33,103:103,104:104)-LOOKUP(C33,103:103,104:104)+100</f>
        <v>98</v>
      </c>
      <c r="I33" s="376">
        <v>192</v>
      </c>
      <c r="J33" s="124">
        <f>LOOKUP(I33,103:103,104:104)-LOOKUP(C33,103:103,104:104)+100</f>
        <v>100</v>
      </c>
      <c r="K33" s="547"/>
      <c r="L33" s="2658"/>
      <c r="M33" s="2660"/>
      <c r="N33" s="2660"/>
      <c r="O33" s="2660"/>
      <c r="P33" s="3262"/>
      <c r="Q33" s="539" t="str">
        <f t="shared" si="8"/>
        <v>项目建筑规模</v>
      </c>
      <c r="R33" s="678" t="s">
        <v>17</v>
      </c>
      <c r="S33" s="679">
        <f t="shared" si="9"/>
        <v>98</v>
      </c>
      <c r="T33" s="678" t="s">
        <v>17</v>
      </c>
      <c r="U33" s="679">
        <f t="shared" si="10"/>
        <v>98</v>
      </c>
      <c r="V33" s="678" t="s">
        <v>17</v>
      </c>
      <c r="W33" s="679">
        <f t="shared" si="11"/>
        <v>100</v>
      </c>
      <c r="X33" s="680"/>
      <c r="Y33" s="3264"/>
      <c r="Z33" s="681" t="str">
        <f t="shared" si="12"/>
        <v>项目建筑规模</v>
      </c>
      <c r="AA33" s="1393">
        <f t="shared" si="3"/>
        <v>1.0204081632653061</v>
      </c>
      <c r="AB33" s="1393">
        <f t="shared" si="4"/>
        <v>1.0204081632653061</v>
      </c>
      <c r="AC33" s="1393">
        <f t="shared" si="5"/>
        <v>1</v>
      </c>
    </row>
    <row r="34" spans="1:29" ht="15">
      <c r="A34" s="417"/>
      <c r="B34" s="370" t="s">
        <v>2146</v>
      </c>
      <c r="C34" s="407" t="s">
        <v>3208</v>
      </c>
      <c r="D34" s="382">
        <v>100</v>
      </c>
      <c r="E34" s="407" t="s">
        <v>3208</v>
      </c>
      <c r="F34" s="408">
        <f>SUMIF(105:105,E34,106:106)-SUMIF(105:105,C34,106:106)+100</f>
        <v>100</v>
      </c>
      <c r="G34" s="407" t="s">
        <v>3208</v>
      </c>
      <c r="H34" s="382">
        <f>SUMIF(105:105,G34,106:106)-SUMIF(105:105,C34,106:106)+100</f>
        <v>100</v>
      </c>
      <c r="I34" s="407" t="s">
        <v>3208</v>
      </c>
      <c r="J34" s="382">
        <f>SUMIF(105:105,I34,106:106)-SUMIF(105:105,C34,106:106)+100</f>
        <v>100</v>
      </c>
      <c r="K34" s="546"/>
      <c r="L34" s="2659"/>
      <c r="M34" s="2654"/>
      <c r="N34" s="2654"/>
      <c r="O34" s="2654"/>
      <c r="P34" s="3262"/>
      <c r="Q34" s="1392" t="str">
        <f t="shared" si="8"/>
        <v>建筑结构</v>
      </c>
      <c r="R34" s="676" t="s">
        <v>17</v>
      </c>
      <c r="S34" s="677">
        <f t="shared" si="9"/>
        <v>100</v>
      </c>
      <c r="T34" s="676" t="s">
        <v>17</v>
      </c>
      <c r="U34" s="677">
        <f t="shared" si="10"/>
        <v>100</v>
      </c>
      <c r="V34" s="676" t="s">
        <v>17</v>
      </c>
      <c r="W34" s="677">
        <f t="shared" si="11"/>
        <v>100</v>
      </c>
      <c r="X34" s="1394"/>
      <c r="Y34" s="3264"/>
      <c r="Z34" s="1393" t="str">
        <f t="shared" si="12"/>
        <v>建筑结构</v>
      </c>
      <c r="AA34" s="1393">
        <f t="shared" si="3"/>
        <v>1</v>
      </c>
      <c r="AB34" s="1393">
        <f t="shared" si="4"/>
        <v>1</v>
      </c>
      <c r="AC34" s="1393">
        <f t="shared" si="5"/>
        <v>1</v>
      </c>
    </row>
    <row r="35" spans="1:29" ht="15">
      <c r="A35" s="417"/>
      <c r="B35" s="370" t="s">
        <v>2240</v>
      </c>
      <c r="C35" s="1890" t="s">
        <v>3211</v>
      </c>
      <c r="D35" s="382">
        <v>100</v>
      </c>
      <c r="E35" s="1890" t="s">
        <v>3211</v>
      </c>
      <c r="F35" s="408">
        <f>SUMIF(107:107,E35,108:108)-SUMIF(107:107,C35,108:108)+100</f>
        <v>100</v>
      </c>
      <c r="G35" s="1890" t="s">
        <v>3211</v>
      </c>
      <c r="H35" s="382">
        <f>SUMIF(107:107,G35,108:108)-SUMIF(107:107,C35,108:108)+100</f>
        <v>100</v>
      </c>
      <c r="I35" s="1890" t="s">
        <v>3211</v>
      </c>
      <c r="J35" s="382">
        <f>SUMIF(107:107,I35,108:108)-SUMIF(107:107,C35,108:108)+100</f>
        <v>100</v>
      </c>
      <c r="K35" s="546"/>
      <c r="L35" s="2659"/>
      <c r="M35" s="2654"/>
      <c r="N35" s="2654"/>
      <c r="O35" s="2654"/>
      <c r="P35" s="3262"/>
      <c r="Q35" s="1392" t="str">
        <f t="shared" si="8"/>
        <v>公共部分装修</v>
      </c>
      <c r="R35" s="676" t="s">
        <v>17</v>
      </c>
      <c r="S35" s="677">
        <f t="shared" si="9"/>
        <v>100</v>
      </c>
      <c r="T35" s="676" t="s">
        <v>17</v>
      </c>
      <c r="U35" s="677">
        <f t="shared" si="10"/>
        <v>100</v>
      </c>
      <c r="V35" s="676" t="s">
        <v>17</v>
      </c>
      <c r="W35" s="677">
        <f t="shared" si="11"/>
        <v>100</v>
      </c>
      <c r="X35" s="1394"/>
      <c r="Y35" s="3264"/>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62"/>
      <c r="Q36" s="1392" t="str">
        <f t="shared" si="8"/>
        <v>成新度</v>
      </c>
      <c r="R36" s="676" t="s">
        <v>17</v>
      </c>
      <c r="S36" s="677">
        <f t="shared" si="9"/>
        <v>100</v>
      </c>
      <c r="T36" s="676" t="s">
        <v>17</v>
      </c>
      <c r="U36" s="677">
        <f t="shared" si="10"/>
        <v>100</v>
      </c>
      <c r="V36" s="676" t="s">
        <v>17</v>
      </c>
      <c r="W36" s="677">
        <f t="shared" si="11"/>
        <v>100</v>
      </c>
      <c r="X36" s="1394"/>
      <c r="Y36" s="3264"/>
      <c r="Z36" s="1393" t="str">
        <f t="shared" si="12"/>
        <v>成新度</v>
      </c>
      <c r="AA36" s="1393">
        <f t="shared" si="3"/>
        <v>1</v>
      </c>
      <c r="AB36" s="1393">
        <f t="shared" si="4"/>
        <v>1</v>
      </c>
      <c r="AC36" s="1393">
        <f t="shared" si="5"/>
        <v>1</v>
      </c>
    </row>
    <row r="37" spans="1:29" s="107" customFormat="1" ht="15">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62"/>
      <c r="Q37" s="538" t="str">
        <f t="shared" si="8"/>
        <v>市政基础设施</v>
      </c>
      <c r="R37" s="673" t="s">
        <v>17</v>
      </c>
      <c r="S37" s="674">
        <f t="shared" si="9"/>
        <v>100</v>
      </c>
      <c r="T37" s="673" t="s">
        <v>17</v>
      </c>
      <c r="U37" s="674">
        <f t="shared" si="10"/>
        <v>100</v>
      </c>
      <c r="V37" s="673" t="s">
        <v>17</v>
      </c>
      <c r="W37" s="674">
        <f t="shared" si="11"/>
        <v>100</v>
      </c>
      <c r="X37" s="675"/>
      <c r="Y37" s="3264"/>
      <c r="Z37" s="53" t="str">
        <f t="shared" si="12"/>
        <v>市政基础设施</v>
      </c>
      <c r="AA37" s="53">
        <f t="shared" si="3"/>
        <v>1</v>
      </c>
      <c r="AB37" s="53">
        <f t="shared" si="4"/>
        <v>1</v>
      </c>
      <c r="AC37" s="53">
        <f t="shared" si="5"/>
        <v>1</v>
      </c>
    </row>
    <row r="38" spans="1:29" ht="15">
      <c r="A38" s="417"/>
      <c r="B38" s="370" t="s">
        <v>2243</v>
      </c>
      <c r="C38" s="1890" t="s">
        <v>3296</v>
      </c>
      <c r="D38" s="382">
        <v>100</v>
      </c>
      <c r="E38" s="1890" t="s">
        <v>3296</v>
      </c>
      <c r="F38" s="408">
        <f>SUMIF(114:114,E38,115:115)-SUMIF(114:114,C38,115:115)+100</f>
        <v>100</v>
      </c>
      <c r="G38" s="1890" t="s">
        <v>3296</v>
      </c>
      <c r="H38" s="382">
        <f>SUMIF(114:114,G38,115:115)-SUMIF(114:114,C38,115:115)+100</f>
        <v>100</v>
      </c>
      <c r="I38" s="1890" t="s">
        <v>3296</v>
      </c>
      <c r="J38" s="382">
        <f>SUMIF(114:114,I38,115:115)-SUMIF(114:114,C38,115:115)+100</f>
        <v>100</v>
      </c>
      <c r="K38" s="546"/>
      <c r="L38" s="2659"/>
      <c r="M38" s="2654"/>
      <c r="N38" s="2654"/>
      <c r="O38" s="2654"/>
      <c r="P38" s="3262" t="s">
        <v>2144</v>
      </c>
      <c r="Q38" s="1392" t="str">
        <f t="shared" si="8"/>
        <v>业态</v>
      </c>
      <c r="R38" s="676" t="s">
        <v>17</v>
      </c>
      <c r="S38" s="677">
        <f t="shared" si="9"/>
        <v>100</v>
      </c>
      <c r="T38" s="676" t="s">
        <v>17</v>
      </c>
      <c r="U38" s="677">
        <f t="shared" si="10"/>
        <v>100</v>
      </c>
      <c r="V38" s="676" t="s">
        <v>17</v>
      </c>
      <c r="W38" s="677">
        <f t="shared" si="11"/>
        <v>100</v>
      </c>
      <c r="X38" s="1394"/>
      <c r="Y38" s="3264" t="s">
        <v>2144</v>
      </c>
      <c r="Z38" s="1393" t="str">
        <f t="shared" si="12"/>
        <v>业态</v>
      </c>
      <c r="AA38" s="1393">
        <f t="shared" si="3"/>
        <v>1</v>
      </c>
      <c r="AB38" s="1393">
        <f t="shared" si="4"/>
        <v>1</v>
      </c>
      <c r="AC38" s="1393">
        <f t="shared" si="5"/>
        <v>1</v>
      </c>
    </row>
    <row r="39" spans="1:29" ht="15">
      <c r="A39" s="417"/>
      <c r="B39" s="370" t="s">
        <v>2244</v>
      </c>
      <c r="C39" s="1890" t="s">
        <v>3216</v>
      </c>
      <c r="D39" s="382">
        <v>100</v>
      </c>
      <c r="E39" s="1890" t="s">
        <v>3216</v>
      </c>
      <c r="F39" s="408">
        <f>SUMIF(116:116,E39,117:117)-SUMIF(116:116,C39,117:117)+100</f>
        <v>100</v>
      </c>
      <c r="G39" s="1890" t="s">
        <v>3216</v>
      </c>
      <c r="H39" s="382">
        <f>SUMIF(116:116,G39,117:117)-SUMIF(116:116,C39,117:117)+100</f>
        <v>100</v>
      </c>
      <c r="I39" s="1890" t="s">
        <v>3216</v>
      </c>
      <c r="J39" s="382">
        <f>SUMIF(116:116,I39,117:117)-SUMIF(116:116,C39,117:117)+100</f>
        <v>100</v>
      </c>
      <c r="K39" s="546"/>
      <c r="L39" s="2659"/>
      <c r="M39" s="2654"/>
      <c r="N39" s="2654"/>
      <c r="O39" s="2654"/>
      <c r="P39" s="3262"/>
      <c r="Q39" s="1392" t="str">
        <f t="shared" si="8"/>
        <v>层高</v>
      </c>
      <c r="R39" s="676" t="s">
        <v>17</v>
      </c>
      <c r="S39" s="677">
        <f t="shared" si="9"/>
        <v>100</v>
      </c>
      <c r="T39" s="676" t="s">
        <v>17</v>
      </c>
      <c r="U39" s="677">
        <f t="shared" si="10"/>
        <v>100</v>
      </c>
      <c r="V39" s="676" t="s">
        <v>17</v>
      </c>
      <c r="W39" s="677">
        <f t="shared" si="11"/>
        <v>100</v>
      </c>
      <c r="X39" s="1394"/>
      <c r="Y39" s="3264"/>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62"/>
      <c r="Q40" s="1392" t="str">
        <f t="shared" si="8"/>
        <v>单套建筑面积</v>
      </c>
      <c r="R40" s="676" t="s">
        <v>17</v>
      </c>
      <c r="S40" s="677">
        <f t="shared" si="9"/>
        <v>100</v>
      </c>
      <c r="T40" s="676" t="s">
        <v>17</v>
      </c>
      <c r="U40" s="677">
        <f t="shared" si="10"/>
        <v>100</v>
      </c>
      <c r="V40" s="676" t="s">
        <v>17</v>
      </c>
      <c r="W40" s="677">
        <f t="shared" si="11"/>
        <v>100</v>
      </c>
      <c r="X40" s="1394"/>
      <c r="Y40" s="3264"/>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62"/>
      <c r="Q41" s="539" t="str">
        <f t="shared" si="8"/>
        <v>进深比</v>
      </c>
      <c r="R41" s="678" t="s">
        <v>17</v>
      </c>
      <c r="S41" s="679">
        <f t="shared" si="9"/>
        <v>100</v>
      </c>
      <c r="T41" s="678" t="s">
        <v>17</v>
      </c>
      <c r="U41" s="679">
        <f t="shared" si="10"/>
        <v>100</v>
      </c>
      <c r="V41" s="678" t="s">
        <v>17</v>
      </c>
      <c r="W41" s="679">
        <f t="shared" si="11"/>
        <v>100</v>
      </c>
      <c r="X41" s="680"/>
      <c r="Y41" s="3264"/>
      <c r="Z41" s="681" t="str">
        <f t="shared" si="12"/>
        <v>进深比</v>
      </c>
      <c r="AA41" s="1393">
        <f t="shared" si="3"/>
        <v>1</v>
      </c>
      <c r="AB41" s="1393">
        <f t="shared" si="4"/>
        <v>1</v>
      </c>
      <c r="AC41" s="1393">
        <f t="shared" si="5"/>
        <v>1</v>
      </c>
    </row>
    <row r="42" spans="1:29" ht="15">
      <c r="A42" s="417"/>
      <c r="B42" s="370" t="s">
        <v>2247</v>
      </c>
      <c r="C42" s="1890" t="s">
        <v>3221</v>
      </c>
      <c r="D42" s="382">
        <v>100</v>
      </c>
      <c r="E42" s="1890" t="s">
        <v>3221</v>
      </c>
      <c r="F42" s="408">
        <f>SUMIF(122:122,E42,123:123)-SUMIF(122:122,C42,123:123)+100</f>
        <v>100</v>
      </c>
      <c r="G42" s="2982" t="s">
        <v>3219</v>
      </c>
      <c r="H42" s="382">
        <f>SUMIF(122:122,G42,123:123)-SUMIF(122:122,C42,123:123)+100</f>
        <v>102</v>
      </c>
      <c r="I42" s="1890" t="s">
        <v>3219</v>
      </c>
      <c r="J42" s="382">
        <f>SUMIF(122:122,I42,123:123)-SUMIF(122:122,C42,123:123)+100</f>
        <v>102</v>
      </c>
      <c r="K42" s="2977">
        <v>2</v>
      </c>
      <c r="L42" s="2659"/>
      <c r="M42" s="2654"/>
      <c r="N42" s="2654"/>
      <c r="O42" s="2654"/>
      <c r="P42" s="3262"/>
      <c r="Q42" s="1392" t="str">
        <f t="shared" si="8"/>
        <v>内部装修</v>
      </c>
      <c r="R42" s="676" t="s">
        <v>17</v>
      </c>
      <c r="S42" s="677">
        <f t="shared" si="9"/>
        <v>100</v>
      </c>
      <c r="T42" s="676" t="s">
        <v>17</v>
      </c>
      <c r="U42" s="677">
        <f t="shared" si="10"/>
        <v>102</v>
      </c>
      <c r="V42" s="676" t="s">
        <v>17</v>
      </c>
      <c r="W42" s="677">
        <f t="shared" si="11"/>
        <v>102</v>
      </c>
      <c r="X42" s="1394"/>
      <c r="Y42" s="3264"/>
      <c r="Z42" s="1393" t="str">
        <f t="shared" si="12"/>
        <v>内部装修</v>
      </c>
      <c r="AA42" s="1393">
        <f t="shared" si="3"/>
        <v>1</v>
      </c>
      <c r="AB42" s="1393">
        <f t="shared" si="4"/>
        <v>0.98039215686274506</v>
      </c>
      <c r="AC42" s="1393">
        <f t="shared" si="5"/>
        <v>0.98039215686274506</v>
      </c>
    </row>
    <row r="43" spans="1:29" ht="15">
      <c r="A43" s="417"/>
      <c r="B43" s="370" t="s">
        <v>2155</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62"/>
      <c r="Q43" s="1392" t="str">
        <f t="shared" si="8"/>
        <v>内部装修维护情况</v>
      </c>
      <c r="R43" s="676" t="s">
        <v>17</v>
      </c>
      <c r="S43" s="677">
        <f t="shared" si="9"/>
        <v>100</v>
      </c>
      <c r="T43" s="676" t="s">
        <v>17</v>
      </c>
      <c r="U43" s="677">
        <f t="shared" si="10"/>
        <v>100</v>
      </c>
      <c r="V43" s="676" t="s">
        <v>17</v>
      </c>
      <c r="W43" s="677">
        <f t="shared" si="11"/>
        <v>100</v>
      </c>
      <c r="X43" s="1394"/>
      <c r="Y43" s="3264"/>
      <c r="Z43" s="1393" t="str">
        <f t="shared" si="12"/>
        <v>内部装修维护情况</v>
      </c>
      <c r="AA43" s="1393">
        <f t="shared" si="3"/>
        <v>1</v>
      </c>
      <c r="AB43" s="1393">
        <f t="shared" si="4"/>
        <v>1</v>
      </c>
      <c r="AC43" s="1393">
        <f t="shared" si="5"/>
        <v>1</v>
      </c>
    </row>
    <row r="44" spans="1:29" s="107" customFormat="1" ht="15">
      <c r="A44" s="418"/>
      <c r="B44" s="2998" t="s">
        <v>3268</v>
      </c>
      <c r="C44" s="2999" t="s">
        <v>3269</v>
      </c>
      <c r="D44" s="124">
        <v>100</v>
      </c>
      <c r="E44" s="3000" t="s">
        <v>3269</v>
      </c>
      <c r="F44" s="370">
        <f>SUMIF(126:126,E44,127:127)-SUMIF(126:126,C44,127:127)+100</f>
        <v>100</v>
      </c>
      <c r="G44" s="381" t="str">
        <f>C44</f>
        <v>无</v>
      </c>
      <c r="H44" s="124">
        <f>SUMIF(126:126,G44,127:127)-SUMIF(126:126,C44,127:127)+100</f>
        <v>100</v>
      </c>
      <c r="I44" s="381" t="str">
        <f>C44</f>
        <v>无</v>
      </c>
      <c r="J44" s="124">
        <f>SUMIF(126:126,I44,127:127)-SUMIF(126:126,C44,127:127)+100</f>
        <v>100</v>
      </c>
      <c r="K44" s="547"/>
      <c r="L44" s="2655"/>
      <c r="M44" s="2604"/>
      <c r="N44" s="2604"/>
      <c r="O44" s="2604"/>
      <c r="P44" s="3262"/>
      <c r="Q44" s="538" t="str">
        <f t="shared" si="8"/>
        <v>其他</v>
      </c>
      <c r="R44" s="673" t="s">
        <v>17</v>
      </c>
      <c r="S44" s="674">
        <f t="shared" si="9"/>
        <v>100</v>
      </c>
      <c r="T44" s="673" t="s">
        <v>17</v>
      </c>
      <c r="U44" s="674">
        <f t="shared" si="10"/>
        <v>100</v>
      </c>
      <c r="V44" s="673" t="s">
        <v>17</v>
      </c>
      <c r="W44" s="674">
        <f t="shared" si="11"/>
        <v>100</v>
      </c>
      <c r="X44" s="675"/>
      <c r="Y44" s="3264"/>
      <c r="Z44" s="53" t="str">
        <f t="shared" si="12"/>
        <v>其他</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62"/>
      <c r="Q45" s="1392">
        <f t="shared" si="8"/>
        <v>111</v>
      </c>
      <c r="R45" s="676" t="s">
        <v>17</v>
      </c>
      <c r="S45" s="677">
        <f t="shared" si="9"/>
        <v>100</v>
      </c>
      <c r="T45" s="676" t="s">
        <v>17</v>
      </c>
      <c r="U45" s="677">
        <f t="shared" si="10"/>
        <v>100</v>
      </c>
      <c r="V45" s="676" t="s">
        <v>17</v>
      </c>
      <c r="W45" s="677">
        <f t="shared" si="11"/>
        <v>100</v>
      </c>
      <c r="X45" s="1394"/>
      <c r="Y45" s="3264"/>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63"/>
      <c r="Q46" s="1392">
        <f t="shared" si="8"/>
        <v>111</v>
      </c>
      <c r="R46" s="676" t="s">
        <v>17</v>
      </c>
      <c r="S46" s="677">
        <f t="shared" si="9"/>
        <v>100</v>
      </c>
      <c r="T46" s="676" t="s">
        <v>17</v>
      </c>
      <c r="U46" s="677">
        <f t="shared" si="10"/>
        <v>100</v>
      </c>
      <c r="V46" s="676" t="s">
        <v>17</v>
      </c>
      <c r="W46" s="677">
        <f t="shared" si="11"/>
        <v>100</v>
      </c>
      <c r="X46" s="1394"/>
      <c r="Y46" s="3265"/>
      <c r="Z46" s="1393">
        <f t="shared" si="12"/>
        <v>111</v>
      </c>
      <c r="AA46" s="1393">
        <f t="shared" si="3"/>
        <v>1</v>
      </c>
      <c r="AB46" s="1393">
        <f t="shared" si="4"/>
        <v>1</v>
      </c>
      <c r="AC46" s="1393">
        <f t="shared" si="5"/>
        <v>1</v>
      </c>
    </row>
    <row r="47" spans="1:29" ht="15">
      <c r="A47" s="424" t="s">
        <v>2156</v>
      </c>
      <c r="B47" s="425"/>
      <c r="C47" s="1191" t="s">
        <v>1</v>
      </c>
      <c r="D47" s="426"/>
      <c r="E47" s="427">
        <v>6.33</v>
      </c>
      <c r="F47" s="428"/>
      <c r="G47" s="429">
        <v>7.35</v>
      </c>
      <c r="H47" s="430"/>
      <c r="I47" s="427">
        <v>5.99</v>
      </c>
      <c r="J47" s="430"/>
      <c r="K47" s="683"/>
      <c r="L47" s="2661"/>
      <c r="M47" s="2654"/>
      <c r="N47" s="2654"/>
      <c r="O47" s="2654"/>
      <c r="P47" s="3266" t="str">
        <f>A47</f>
        <v>成交单价（元/平方米）</v>
      </c>
      <c r="Q47" s="3266"/>
      <c r="R47" s="3252">
        <f>E47</f>
        <v>6.33</v>
      </c>
      <c r="S47" s="3252"/>
      <c r="T47" s="3252">
        <f>G47</f>
        <v>7.35</v>
      </c>
      <c r="U47" s="3252"/>
      <c r="V47" s="3252">
        <f>I47</f>
        <v>5.99</v>
      </c>
      <c r="W47" s="3252"/>
      <c r="X47" s="393"/>
      <c r="Y47" s="682"/>
      <c r="Z47" s="393"/>
      <c r="AA47" s="393"/>
      <c r="AB47" s="393"/>
      <c r="AC47" s="393"/>
    </row>
    <row r="48" spans="1:29" ht="15.75" thickBot="1">
      <c r="A48" s="431" t="s">
        <v>2157</v>
      </c>
      <c r="B48" s="432"/>
      <c r="C48" s="1192">
        <f>R49</f>
        <v>7</v>
      </c>
      <c r="D48" s="2301" t="s">
        <v>2638</v>
      </c>
      <c r="E48" s="1193">
        <f>R48</f>
        <v>7</v>
      </c>
      <c r="F48" s="2302"/>
      <c r="G48" s="1192">
        <f>T48</f>
        <v>7.1</v>
      </c>
      <c r="H48" s="2302"/>
      <c r="I48" s="1193">
        <f>V48</f>
        <v>6.8</v>
      </c>
      <c r="J48" s="2302"/>
      <c r="K48" s="2304">
        <f>F48+H48+J48</f>
        <v>0</v>
      </c>
      <c r="L48" s="2661"/>
      <c r="M48" s="2654"/>
      <c r="N48" s="2654"/>
      <c r="O48" s="2654"/>
      <c r="P48" s="3266" t="str">
        <f>A48</f>
        <v>比较价值（元/平方米）</v>
      </c>
      <c r="Q48" s="3266"/>
      <c r="R48" s="3252">
        <f>IF(F1="售价",ROUND(PRODUCT(R47,AA7:AA46),0),ROUND(PRODUCT(R47,AA7:AA46),1))</f>
        <v>7</v>
      </c>
      <c r="S48" s="3252"/>
      <c r="T48" s="3252">
        <f>IF(F1="售价",ROUND(PRODUCT(T47,AB7:AB46),0),ROUND(PRODUCT(T47,AB7:AB46),1))</f>
        <v>7.1</v>
      </c>
      <c r="U48" s="3252"/>
      <c r="V48" s="3252">
        <f>IF(F1="售价",ROUND(PRODUCT(V47,AC7:AC46),0),ROUND(PRODUCT(V47,AC7:AC46),1))</f>
        <v>6.8</v>
      </c>
      <c r="W48" s="3252"/>
      <c r="X48" s="393"/>
      <c r="Y48" s="393"/>
      <c r="Z48" s="393"/>
      <c r="AA48" s="393"/>
      <c r="AB48" s="393"/>
      <c r="AC48" s="393"/>
    </row>
    <row r="49" spans="1:29" ht="15.75" thickBot="1">
      <c r="A49" s="435" t="s">
        <v>2158</v>
      </c>
      <c r="B49" s="436"/>
      <c r="C49" s="357">
        <f>R49</f>
        <v>7</v>
      </c>
      <c r="D49" s="357"/>
      <c r="E49" s="357"/>
      <c r="F49" s="357"/>
      <c r="G49" s="357"/>
      <c r="H49" s="357"/>
      <c r="I49" s="357"/>
      <c r="J49" s="357"/>
      <c r="K49" s="684"/>
      <c r="L49" s="2661"/>
      <c r="M49" s="2654"/>
      <c r="N49" s="2654"/>
      <c r="O49" s="2654"/>
      <c r="P49" s="3267" t="str">
        <f>A49</f>
        <v>估价对象XX用房的比较价值（楼面单价，元/平方米）</v>
      </c>
      <c r="Q49" s="3268"/>
      <c r="R49" s="3269">
        <f>IF(F1="售价",ROUND(IF(D48="简单平均",AVERAGE(R48:V48),R48*F48+T48*H48+V48*J48),0),ROUND(IF(D48="简单平均",AVERAGE(R48:V48),R48*F48+T48*H48+V48*J48),1))</f>
        <v>7</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0.10584518167456558</v>
      </c>
      <c r="F52" s="443" t="str">
        <f>IF(OR(E52&gt;=0.3,E52&lt;=-0.3),"超过30%","")</f>
        <v/>
      </c>
      <c r="G52" s="442">
        <f>IF(G47&lt;G48,G48/G47-1,G47/G48-1)</f>
        <v>3.5211267605633756E-2</v>
      </c>
      <c r="H52" s="443" t="str">
        <f>IF(OR(G52&gt;=0.3,G52&lt;=-0.3),"超过30%","")</f>
        <v/>
      </c>
      <c r="I52" s="442">
        <f>IF(I47&lt;I48,I48/I47-1,I47/I48-1)</f>
        <v>0.13522537562604331</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1.4285714285714235E-2</v>
      </c>
      <c r="F53" s="443" t="str">
        <f>IF(OR(E53&gt;=0.2,E53&lt;=-0.2),"超过20%","")</f>
        <v/>
      </c>
      <c r="G53" s="442">
        <f>IF(G48&lt;I48,I48/G48-1,G48/I48-1)</f>
        <v>4.4117647058823595E-2</v>
      </c>
      <c r="H53" s="443" t="str">
        <f>IF(OR(G53&gt;=0.2,G53&lt;=-0.2),"超过20%","")</f>
        <v/>
      </c>
      <c r="I53" s="442">
        <f>IF(I48&lt;E48,E48/I48-1,I48/E48-1)</f>
        <v>2.941176470588247E-2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0.16113744075829373</v>
      </c>
      <c r="F54" s="443" t="str">
        <f>IF(OR(E54&gt;=0.3,E54&lt;=-0.3),"超过30%","")</f>
        <v/>
      </c>
      <c r="G54" s="442">
        <f>IF(G47&lt;I47,I47/G47-1,G47/I47-1)</f>
        <v>0.22704507512520866</v>
      </c>
      <c r="H54" s="443" t="str">
        <f>IF(OR(G54&gt;=0.3,G54&lt;=-0.3),"超过30%","")</f>
        <v/>
      </c>
      <c r="I54" s="442">
        <f>IF(I47&lt;E47,E47/I47-1,I47/E47-1)</f>
        <v>5.6761268781302165E-2</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2007-7</v>
      </c>
      <c r="D58" s="1214">
        <f>EDATE(C58,-1)</f>
        <v>39234</v>
      </c>
      <c r="E58" s="1214">
        <f t="shared" ref="E58:N58" si="13">EDATE(D58,-1)</f>
        <v>39203</v>
      </c>
      <c r="F58" s="1214">
        <f t="shared" si="13"/>
        <v>39173</v>
      </c>
      <c r="G58" s="1214">
        <f t="shared" si="13"/>
        <v>39142</v>
      </c>
      <c r="H58" s="1214">
        <f t="shared" si="13"/>
        <v>39114</v>
      </c>
      <c r="I58" s="1214">
        <f t="shared" si="13"/>
        <v>39083</v>
      </c>
      <c r="J58" s="1214">
        <f t="shared" si="13"/>
        <v>39052</v>
      </c>
      <c r="K58" s="1214">
        <f t="shared" si="13"/>
        <v>39022</v>
      </c>
      <c r="L58" s="1214">
        <f t="shared" si="13"/>
        <v>38991</v>
      </c>
      <c r="M58" s="1214">
        <f t="shared" si="13"/>
        <v>38961</v>
      </c>
      <c r="N58" s="1214">
        <f t="shared" si="13"/>
        <v>38930</v>
      </c>
      <c r="O58" s="1214">
        <f>EDATE(N58,-1)</f>
        <v>38899</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3224</v>
      </c>
      <c r="D86" s="2965" t="s">
        <v>3226</v>
      </c>
      <c r="E86" s="2965" t="s">
        <v>3230</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3231</v>
      </c>
      <c r="D88" s="2965" t="s">
        <v>3200</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93</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3198</v>
      </c>
      <c r="D90" s="2965" t="s">
        <v>3200</v>
      </c>
      <c r="E90" s="2965" t="s">
        <v>3201</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3202</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3206</v>
      </c>
      <c r="D100" s="2967" t="s">
        <v>3275</v>
      </c>
      <c r="E100" s="2967" t="s">
        <v>3273</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98</v>
      </c>
      <c r="E101" s="483">
        <f t="shared" si="18"/>
        <v>96</v>
      </c>
      <c r="F101" s="483">
        <f t="shared" si="18"/>
        <v>94</v>
      </c>
      <c r="G101" s="483">
        <f t="shared" si="18"/>
        <v>92</v>
      </c>
      <c r="H101" s="483">
        <f t="shared" si="18"/>
        <v>90</v>
      </c>
      <c r="I101" s="483">
        <f t="shared" si="18"/>
        <v>88</v>
      </c>
      <c r="J101" s="483">
        <f t="shared" si="18"/>
        <v>86</v>
      </c>
      <c r="K101" s="483">
        <f t="shared" si="18"/>
        <v>84</v>
      </c>
      <c r="L101" s="483">
        <f t="shared" si="18"/>
        <v>82</v>
      </c>
      <c r="M101" s="484">
        <f t="shared" si="18"/>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0(含)-300</v>
      </c>
      <c r="D102" s="517" t="str">
        <f t="shared" ref="D102:L102" si="19">D103&amp;"(含)"&amp;"-"&amp;E103</f>
        <v>300(含)-600</v>
      </c>
      <c r="E102" s="517" t="str">
        <f t="shared" si="19"/>
        <v>600(含)-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300</v>
      </c>
      <c r="E103" s="9">
        <v>600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3209</v>
      </c>
      <c r="D105" s="2965" t="s">
        <v>3210</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3212</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3213</v>
      </c>
      <c r="D112" s="2965" t="s">
        <v>3214</v>
      </c>
      <c r="E112" s="2965" t="s">
        <v>3215</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3295</v>
      </c>
      <c r="D114" s="2965" t="s">
        <v>3297</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100</v>
      </c>
      <c r="E115" s="483">
        <f t="shared" si="24"/>
        <v>100</v>
      </c>
      <c r="F115" s="483">
        <f t="shared" si="24"/>
        <v>100</v>
      </c>
      <c r="G115" s="483">
        <f t="shared" si="24"/>
        <v>100</v>
      </c>
      <c r="H115" s="483">
        <f t="shared" si="24"/>
        <v>100</v>
      </c>
      <c r="I115" s="483">
        <f t="shared" si="24"/>
        <v>100</v>
      </c>
      <c r="J115" s="483">
        <f t="shared" si="24"/>
        <v>100</v>
      </c>
      <c r="K115" s="483">
        <f t="shared" si="24"/>
        <v>100</v>
      </c>
      <c r="L115" s="483">
        <f t="shared" si="24"/>
        <v>100</v>
      </c>
      <c r="M115" s="484">
        <f t="shared" si="24"/>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3218</v>
      </c>
      <c r="D116" s="2965" t="s">
        <v>3217</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3212</v>
      </c>
      <c r="D122" s="2965" t="s">
        <v>3220</v>
      </c>
      <c r="E122" s="2965" t="s">
        <v>3222</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t="str">
        <f>B44</f>
        <v>其他</v>
      </c>
      <c r="C126" s="493" t="str">
        <f>C44</f>
        <v>无</v>
      </c>
      <c r="D126" s="493" t="str">
        <f>E44</f>
        <v>无</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TKaWh0RFLZEZLmTvzun0kmpcCukZEB3AnezeraAUR2rde4+w0R918bUC+FtJkW3ywITsqtaUcxJqd9yWzt0sHg==" saltValue="GAc8Bq0kGCcFsfiWwTDEZ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92D050"/>
  </sheetPr>
  <dimension ref="A1:AK83"/>
  <sheetViews>
    <sheetView view="pageBreakPreview" topLeftCell="A25" zoomScale="90" zoomScaleNormal="70" zoomScaleSheetLayoutView="90" workbookViewId="0">
      <selection activeCell="E58" sqref="E58"/>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t="s">
        <v>70</v>
      </c>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1313</v>
      </c>
      <c r="B2" s="1423">
        <f ca="1">ROUND(D2/10000,0)</f>
        <v>1222</v>
      </c>
      <c r="C2" s="1418" t="s">
        <v>1314</v>
      </c>
      <c r="D2" s="1504">
        <f ca="1">C40+J29+L46</f>
        <v>12218820</v>
      </c>
      <c r="E2" s="1424" t="s">
        <v>1315</v>
      </c>
      <c r="F2" s="1425"/>
      <c r="G2" s="2645"/>
      <c r="H2" s="2635"/>
      <c r="I2" s="2635"/>
      <c r="J2" s="2635"/>
      <c r="K2" s="2636"/>
      <c r="L2" s="2635"/>
      <c r="M2" s="2635"/>
    </row>
    <row r="3" spans="1:37" ht="18" customHeight="1" thickBot="1">
      <c r="A3" s="1426" t="s">
        <v>1316</v>
      </c>
      <c r="B3" s="1427">
        <f ca="1">IF(ISERROR(D2/F43),0,ROUND(D2/F43,0))</f>
        <v>47730</v>
      </c>
      <c r="C3" s="1418" t="s">
        <v>1317</v>
      </c>
      <c r="D3" s="1418"/>
      <c r="E3" s="1424"/>
      <c r="F3" s="1425"/>
      <c r="G3" s="2645"/>
      <c r="H3" s="658" t="s">
        <v>1311</v>
      </c>
      <c r="I3" s="1419"/>
      <c r="J3" s="1419"/>
      <c r="K3" s="1420"/>
      <c r="L3" s="1419"/>
      <c r="M3" s="1419"/>
    </row>
    <row r="4" spans="1:37" ht="18" customHeight="1">
      <c r="A4" s="293" t="s">
        <v>1318</v>
      </c>
      <c r="B4" s="294" t="s">
        <v>1319</v>
      </c>
      <c r="C4" s="294" t="s">
        <v>1320</v>
      </c>
      <c r="D4" s="294" t="s">
        <v>1321</v>
      </c>
      <c r="E4" s="295" t="s">
        <v>1322</v>
      </c>
      <c r="F4" s="296"/>
      <c r="G4" s="1421"/>
      <c r="H4" s="293" t="s">
        <v>1318</v>
      </c>
      <c r="I4" s="294" t="s">
        <v>1319</v>
      </c>
      <c r="J4" s="294" t="s">
        <v>1320</v>
      </c>
      <c r="K4" s="294" t="s">
        <v>1321</v>
      </c>
      <c r="L4" s="295" t="s">
        <v>1322</v>
      </c>
      <c r="M4" s="296"/>
    </row>
    <row r="5" spans="1:37" ht="18" customHeight="1">
      <c r="A5" s="297">
        <v>1</v>
      </c>
      <c r="B5" s="298" t="s">
        <v>1323</v>
      </c>
      <c r="C5" s="1115">
        <f ca="1">C6+C10+C12</f>
        <v>1018834</v>
      </c>
      <c r="D5" s="1402" t="s">
        <v>1324</v>
      </c>
      <c r="E5" s="1116"/>
      <c r="F5" s="1117"/>
      <c r="G5" s="1421"/>
      <c r="H5" s="297">
        <v>1</v>
      </c>
      <c r="I5" s="298" t="s">
        <v>1323</v>
      </c>
      <c r="J5" s="1115">
        <f ca="1">J6+J10+J12</f>
        <v>0</v>
      </c>
      <c r="K5" s="1402" t="s">
        <v>1324</v>
      </c>
      <c r="L5" s="1116"/>
      <c r="M5" s="1117"/>
    </row>
    <row r="6" spans="1:37" ht="18" customHeight="1">
      <c r="A6" s="1114" t="s">
        <v>822</v>
      </c>
      <c r="B6" s="3217" t="s">
        <v>1126</v>
      </c>
      <c r="C6" s="1119">
        <f ca="1">ROUND(F6*F8*F7*(1-F9),0)</f>
        <v>1017562</v>
      </c>
      <c r="D6" s="152" t="s">
        <v>2605</v>
      </c>
      <c r="E6" s="300" t="s">
        <v>1128</v>
      </c>
      <c r="F6" s="301">
        <f ca="1">INDIRECT("'数据-取费表'!u"&amp;$G$1)</f>
        <v>12.1</v>
      </c>
      <c r="G6" s="1421"/>
      <c r="H6" s="1114" t="s">
        <v>822</v>
      </c>
      <c r="I6" s="3217" t="s">
        <v>1126</v>
      </c>
      <c r="J6" s="299">
        <f ca="1">ROUND(M6*M8*M7*(1-M9),0)</f>
        <v>0</v>
      </c>
      <c r="K6" s="1413" t="s">
        <v>2606</v>
      </c>
      <c r="L6" s="300" t="s">
        <v>1128</v>
      </c>
      <c r="M6" s="301">
        <f ca="1">INDIRECT("'数据-取费表'!z"&amp;$G$1)</f>
        <v>0</v>
      </c>
    </row>
    <row r="7" spans="1:37" ht="18" customHeight="1">
      <c r="A7" s="1118"/>
      <c r="B7" s="3218"/>
      <c r="C7" s="1120"/>
      <c r="D7" s="305"/>
      <c r="E7" s="1121" t="s">
        <v>1129</v>
      </c>
      <c r="F7" s="301">
        <f ca="1">IF(INDIRECT("'数据-取费表'!ah"&amp;$G$1)="",INDIRECT("'数据-取费表'!k"&amp;$G$1),INDIRECT("'数据-取费表'!ah"&amp;$G$1))</f>
        <v>256</v>
      </c>
      <c r="G7" s="1421"/>
      <c r="H7" s="302"/>
      <c r="I7" s="3218"/>
      <c r="J7" s="304"/>
      <c r="K7" s="305"/>
      <c r="L7" s="300" t="s">
        <v>1129</v>
      </c>
      <c r="M7" s="301">
        <f ca="1">F7</f>
        <v>256</v>
      </c>
    </row>
    <row r="8" spans="1:37" ht="18" customHeight="1">
      <c r="A8" s="302"/>
      <c r="B8" s="3218"/>
      <c r="C8" s="304"/>
      <c r="D8" s="305"/>
      <c r="E8" s="300" t="s">
        <v>1130</v>
      </c>
      <c r="F8" s="301">
        <f ca="1">INDIRECT("'数据-取费表'!ai"&amp;$G$1)</f>
        <v>365</v>
      </c>
      <c r="G8" s="1421"/>
      <c r="H8" s="302"/>
      <c r="I8" s="3218"/>
      <c r="J8" s="304"/>
      <c r="K8" s="305"/>
      <c r="L8" s="300" t="s">
        <v>1130</v>
      </c>
      <c r="M8" s="301">
        <f ca="1">INDIRECT("'数据-取费表'!ai"&amp;$G$1)</f>
        <v>365</v>
      </c>
    </row>
    <row r="9" spans="1:37" ht="18" customHeight="1">
      <c r="A9" s="302"/>
      <c r="B9" s="3219"/>
      <c r="C9" s="304"/>
      <c r="D9" s="305"/>
      <c r="E9" s="300" t="s">
        <v>1131</v>
      </c>
      <c r="F9" s="310">
        <f ca="1">INDIRECT("'数据-取费表'!w"&amp;$G$1)</f>
        <v>0.1</v>
      </c>
      <c r="G9" s="1421"/>
      <c r="H9" s="302"/>
      <c r="I9" s="3219"/>
      <c r="J9" s="304"/>
      <c r="K9" s="305"/>
      <c r="L9" s="311" t="s">
        <v>1131</v>
      </c>
      <c r="M9" s="312">
        <f ca="1">INDIRECT("'数据-取费表'!ab"&amp;$G$1)</f>
        <v>0</v>
      </c>
    </row>
    <row r="10" spans="1:37" ht="18" customHeight="1">
      <c r="A10" s="1114" t="s">
        <v>826</v>
      </c>
      <c r="B10" s="1403" t="s">
        <v>1132</v>
      </c>
      <c r="C10" s="314">
        <f ca="1">ROUND(IF(F10="押一",C6/12*F11,IF(F10="押二",C6/12*2*F11,IF(F10="押三",C6/12*3*F11,C11*F11))),0)</f>
        <v>1272</v>
      </c>
      <c r="D10" s="155" t="s">
        <v>2615</v>
      </c>
      <c r="E10" s="311" t="s">
        <v>1133</v>
      </c>
      <c r="F10" s="1161" t="s">
        <v>3234</v>
      </c>
      <c r="G10" s="1421"/>
      <c r="H10" s="1114" t="s">
        <v>826</v>
      </c>
      <c r="I10" s="1403" t="s">
        <v>1132</v>
      </c>
      <c r="J10" s="299">
        <f ca="1">ROUND(IF(M10="押一",J6/12*M11,IF(M10="押二",J6/12*2*M11,IF(M10="押三",J6/12*3*M11,J11*M11))),0)</f>
        <v>0</v>
      </c>
      <c r="K10" s="1414" t="s">
        <v>2617</v>
      </c>
      <c r="L10" s="311" t="s">
        <v>1133</v>
      </c>
      <c r="M10" s="1161"/>
    </row>
    <row r="11" spans="1:37" ht="18" customHeight="1">
      <c r="A11" s="306"/>
      <c r="B11" s="1404" t="s">
        <v>1325</v>
      </c>
      <c r="C11" s="1012"/>
      <c r="D11" s="305"/>
      <c r="E11" s="311" t="s">
        <v>1135</v>
      </c>
      <c r="F11" s="312">
        <f ca="1">'数据-取费表'!B39</f>
        <v>1.4999999999999999E-2</v>
      </c>
      <c r="G11" s="1421"/>
      <c r="H11" s="1122"/>
      <c r="I11" s="1404" t="s">
        <v>1326</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1348129</v>
      </c>
      <c r="D13" s="1126" t="s">
        <v>1138</v>
      </c>
      <c r="E13" s="1126" t="s">
        <v>1139</v>
      </c>
      <c r="F13" s="1127">
        <f ca="1">INDIRECT("'数据-取费表'!y"&amp;$G$1)</f>
        <v>0.84</v>
      </c>
      <c r="G13" s="1421"/>
      <c r="H13" s="1124">
        <v>2</v>
      </c>
      <c r="I13" s="1125" t="s">
        <v>1137</v>
      </c>
      <c r="J13" s="1113">
        <f ca="1">ROUND(J14*J15,0)</f>
        <v>1348129</v>
      </c>
      <c r="K13" s="1132" t="s">
        <v>1138</v>
      </c>
      <c r="L13" s="1428"/>
      <c r="M13" s="1429"/>
    </row>
    <row r="14" spans="1:37" ht="18" customHeight="1">
      <c r="A14" s="1035" t="s">
        <v>821</v>
      </c>
      <c r="B14" s="300" t="s">
        <v>1140</v>
      </c>
      <c r="C14" s="316">
        <f ca="1">ROUND(INDIRECT("'数据-取费表'!l"&amp;$G$1)*F43+'数据-取费表'!L14*INDIRECT("'数据-取费表'!S"&amp;$G$1),0)</f>
        <v>1024000</v>
      </c>
      <c r="D14" s="1386" t="s">
        <v>1141</v>
      </c>
      <c r="E14" s="1384"/>
      <c r="F14" s="317"/>
      <c r="G14" s="1421"/>
      <c r="H14" s="1035" t="s">
        <v>822</v>
      </c>
      <c r="I14" s="300" t="s">
        <v>1142</v>
      </c>
      <c r="J14" s="24">
        <f ca="1">C29</f>
        <v>1604915</v>
      </c>
      <c r="K14" s="15"/>
      <c r="L14" s="844"/>
      <c r="M14" s="845"/>
    </row>
    <row r="15" spans="1:37" s="1433" customFormat="1" ht="18" customHeight="1" thickBot="1">
      <c r="A15" s="1035" t="s">
        <v>823</v>
      </c>
      <c r="B15" s="300" t="s">
        <v>1143</v>
      </c>
      <c r="C15" s="24">
        <f ca="1">ROUND(C14*F15,0)</f>
        <v>30720</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ROUND(INDIRECT("'数据-取费表'!l"&amp;$G$1)*F43*F16,0)</f>
        <v>0</v>
      </c>
      <c r="D16" s="300" t="s">
        <v>1144</v>
      </c>
      <c r="E16" s="300" t="s">
        <v>1145</v>
      </c>
      <c r="F16" s="320">
        <f ca="1">IF(INDIRECT("'数据-取费表'!c"&amp;$G$1)="住宅",'数据-取费表'!B34,0)</f>
        <v>0</v>
      </c>
      <c r="G16" s="1421"/>
      <c r="H16" s="1124" t="s">
        <v>817</v>
      </c>
      <c r="I16" s="1125" t="s">
        <v>1147</v>
      </c>
      <c r="J16" s="308">
        <f ca="1">ROUND(J17+J22+J23+J24,0)</f>
        <v>30878</v>
      </c>
      <c r="K16" s="1132" t="s">
        <v>1148</v>
      </c>
      <c r="L16" s="1133"/>
      <c r="M16" s="1117"/>
    </row>
    <row r="17" spans="1:37" s="1433" customFormat="1" ht="18" customHeight="1">
      <c r="A17" s="1035" t="s">
        <v>1113</v>
      </c>
      <c r="B17" s="300" t="s">
        <v>1149</v>
      </c>
      <c r="C17" s="24">
        <f ca="1">ROUND(F17*(F43+INDIRECT("'数据-取费表'!S"&amp;$G$1)),0)</f>
        <v>76800</v>
      </c>
      <c r="D17" s="300" t="s">
        <v>1150</v>
      </c>
      <c r="E17" s="300" t="s">
        <v>1151</v>
      </c>
      <c r="F17" s="26">
        <f>'数据-取费表'!B35</f>
        <v>300</v>
      </c>
      <c r="G17" s="1432"/>
      <c r="H17" s="1035" t="s">
        <v>822</v>
      </c>
      <c r="I17" s="300" t="s">
        <v>1152</v>
      </c>
      <c r="J17" s="2297">
        <f ca="1">ROUND(IF(AND(项目基本情况!B11="自然人",项目基本情况!B10="北京市"),J6*M17/(1+'数据-取费表'!C42),J18+J19+J20),0)</f>
        <v>13481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15360</v>
      </c>
      <c r="D18" s="300" t="s">
        <v>1144</v>
      </c>
      <c r="E18" s="300" t="s">
        <v>1145</v>
      </c>
      <c r="F18" s="320">
        <f>'数据-取费表'!B36</f>
        <v>1.4999999999999999E-2</v>
      </c>
      <c r="G18" s="1432"/>
      <c r="H18" s="1035" t="s">
        <v>821</v>
      </c>
      <c r="I18" s="300" t="s">
        <v>1156</v>
      </c>
      <c r="J18" s="24">
        <f ca="1">ROUND(J6*M18/(1+'数据-取费表'!C42),0)</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1146880</v>
      </c>
      <c r="D19" s="128" t="s">
        <v>1159</v>
      </c>
      <c r="E19" s="1398"/>
      <c r="F19" s="26"/>
      <c r="G19" s="1421"/>
      <c r="H19" s="1035" t="s">
        <v>823</v>
      </c>
      <c r="I19" s="300" t="s">
        <v>1160</v>
      </c>
      <c r="J19" s="24">
        <f ca="1">IF(K19="按租金收入计税",ROUND(J6*M19/(1+'数据-取费表'!C42),0),ROUND(C29*M19*0.7,0))</f>
        <v>13481</v>
      </c>
      <c r="K19" s="1407" t="s">
        <v>1161</v>
      </c>
      <c r="L19" s="300" t="s">
        <v>1145</v>
      </c>
      <c r="M19" s="320">
        <f>IF(K19="按租金收入计税",'数据-取费表'!B51,'数据-取费表'!B50)</f>
        <v>1.2E-2</v>
      </c>
    </row>
    <row r="20" spans="1:37" s="1433" customFormat="1" ht="18" customHeight="1">
      <c r="A20" s="1035" t="s">
        <v>826</v>
      </c>
      <c r="B20" s="300" t="s">
        <v>1162</v>
      </c>
      <c r="C20" s="24">
        <f ca="1">ROUND(C19*F20,0)</f>
        <v>22938</v>
      </c>
      <c r="D20" s="321" t="s">
        <v>1163</v>
      </c>
      <c r="E20" s="300" t="s">
        <v>1145</v>
      </c>
      <c r="F20" s="320">
        <f>'数据-取费表'!B37</f>
        <v>0.02</v>
      </c>
      <c r="G20" s="1432"/>
      <c r="H20" s="1035" t="s">
        <v>1112</v>
      </c>
      <c r="I20" s="152" t="s">
        <v>1164</v>
      </c>
      <c r="J20" s="25">
        <f ca="1">ROUND(M20*M21,0)</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ROUND(J14*M22,0)</f>
        <v>16049</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55567</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ROUND(J13*M23,0)</f>
        <v>1348</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ROUND(J5*M24,0)</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1183</v>
      </c>
      <c r="B25" s="300" t="s">
        <v>1184</v>
      </c>
      <c r="C25" s="24"/>
      <c r="D25" s="128" t="s">
        <v>1185</v>
      </c>
      <c r="E25" s="1398"/>
      <c r="F25" s="26"/>
      <c r="G25" s="1421"/>
      <c r="H25" s="1124" t="s">
        <v>818</v>
      </c>
      <c r="I25" s="1139" t="s">
        <v>1186</v>
      </c>
      <c r="J25" s="308">
        <f ca="1">J5-J16</f>
        <v>-30878</v>
      </c>
      <c r="K25" s="1140" t="s">
        <v>1187</v>
      </c>
      <c r="L25" s="1141"/>
      <c r="M25" s="1142"/>
    </row>
    <row r="26" spans="1:37" ht="18" customHeight="1">
      <c r="A26" s="1035" t="s">
        <v>821</v>
      </c>
      <c r="B26" s="300" t="s">
        <v>1188</v>
      </c>
      <c r="C26" s="24">
        <f ca="1">ROUND((C19+C20)*F26,0)</f>
        <v>233964</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1604915</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198148</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170563</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IF(项目基本情况!B11="自然人","——",ROUND(C6*F32/(1+'数据-取费表'!C42),0))</f>
        <v>54270</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IF(项目基本情况!B11="自然人","——",IF(D33="按租金收入计税",ROUND(C6*F33/(1+'数据-取费表'!C42),0),IF(D33="按房产原值计税",ROUND(C29*F33*0.7,0),INDIRECT("'数据-取费表'!Aj"&amp;$G$1))))</f>
        <v>116293</v>
      </c>
      <c r="D33" s="1407" t="s">
        <v>3255</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ROUND(C29*F36,0)</f>
        <v>16049</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ROUND(C13*F37,0)</f>
        <v>1348</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10188.299999999999</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820686</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11995827</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ROUND(C40/F43,0)</f>
        <v>46859</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f ca="1">C68-C40</f>
        <v>-14220655</v>
      </c>
      <c r="D45" s="1506" t="s">
        <v>1327</v>
      </c>
      <c r="E45" s="1436"/>
      <c r="F45" s="1436"/>
      <c r="O45" s="1439" t="s">
        <v>1242</v>
      </c>
      <c r="P45" s="1495"/>
      <c r="Q45" s="1495"/>
      <c r="R45" s="1495"/>
    </row>
    <row r="46" spans="1:18" s="1421" customFormat="1" ht="13.5" thickBot="1">
      <c r="A46" s="1440" t="s">
        <v>1243</v>
      </c>
      <c r="C46" s="1441">
        <f ca="1">ROUND(C45/10000,0)</f>
        <v>-1422</v>
      </c>
      <c r="D46" s="1442" t="str">
        <f>C2</f>
        <v>万元</v>
      </c>
      <c r="I46" s="1443" t="s">
        <v>1244</v>
      </c>
      <c r="J46" s="1444"/>
      <c r="K46" s="1445"/>
      <c r="L46" s="1446">
        <f ca="1">IF(M47="住宅",0,IF(L48&gt;J51,L60,J60))</f>
        <v>222993</v>
      </c>
      <c r="O46" s="1447" t="s">
        <v>1245</v>
      </c>
      <c r="P46" s="1448" t="s">
        <v>1246</v>
      </c>
      <c r="Q46" s="1449" t="s">
        <v>1247</v>
      </c>
      <c r="R46" s="1449" t="s">
        <v>1248</v>
      </c>
    </row>
    <row r="47" spans="1:18" s="1421" customFormat="1" ht="13.5" thickBot="1">
      <c r="A47" s="999" t="s">
        <v>1119</v>
      </c>
      <c r="B47" s="1031" t="s">
        <v>1120</v>
      </c>
      <c r="C47" s="1031" t="s">
        <v>1121</v>
      </c>
      <c r="D47" s="1031" t="s">
        <v>1122</v>
      </c>
      <c r="E47" s="1102" t="s">
        <v>1123</v>
      </c>
      <c r="F47" s="1103"/>
      <c r="G47" s="690"/>
      <c r="I47" s="1450" t="s">
        <v>1249</v>
      </c>
      <c r="J47" s="1451" t="s">
        <v>3208</v>
      </c>
      <c r="K47" s="1452" t="s">
        <v>1250</v>
      </c>
      <c r="L47" s="1453">
        <f ca="1">INDIRECT("'数据-取费表'!d"&amp;$G$1)</f>
        <v>40</v>
      </c>
      <c r="M47" s="1417" t="str">
        <f>IF(ISNUMBER(FIND("住宅",C1)),"住宅","非住宅")</f>
        <v>非住宅</v>
      </c>
      <c r="O47" s="1454" t="s">
        <v>827</v>
      </c>
      <c r="P47" s="1455" t="s">
        <v>1251</v>
      </c>
      <c r="Q47" s="1456">
        <f ca="1">C40+J29</f>
        <v>11995827</v>
      </c>
      <c r="R47" s="1456" t="s">
        <v>1252</v>
      </c>
    </row>
    <row r="48" spans="1:18" s="1421" customFormat="1" ht="28.5" thickBot="1">
      <c r="A48" s="1155" t="s">
        <v>863</v>
      </c>
      <c r="B48" s="298" t="s">
        <v>1124</v>
      </c>
      <c r="C48" s="1397">
        <f ca="1">C49+C53+C55</f>
        <v>0</v>
      </c>
      <c r="D48" s="1157"/>
      <c r="E48" s="1158"/>
      <c r="F48" s="1015"/>
      <c r="G48" s="690"/>
      <c r="H48" s="691"/>
      <c r="I48" s="1457" t="s">
        <v>1253</v>
      </c>
      <c r="J48" s="1458" t="s">
        <v>3235</v>
      </c>
      <c r="K48" s="1459" t="s">
        <v>1254</v>
      </c>
      <c r="L48" s="1460">
        <f ca="1">INDIRECT("'数据-取费表'!f"&amp;$G$1)</f>
        <v>21.24</v>
      </c>
      <c r="O48" s="1454" t="s">
        <v>828</v>
      </c>
      <c r="P48" s="1455" t="s">
        <v>1255</v>
      </c>
      <c r="Q48" s="1456">
        <f ca="1">J60</f>
        <v>222993</v>
      </c>
      <c r="R48" s="1456" t="s">
        <v>1256</v>
      </c>
    </row>
    <row r="49" spans="1:18" s="1421" customFormat="1" ht="13.5" thickBot="1">
      <c r="A49" s="1028" t="s">
        <v>864</v>
      </c>
      <c r="B49" s="1408" t="s">
        <v>1213</v>
      </c>
      <c r="C49" s="1159">
        <f ca="1">ROUND(F49*F51*F50*(1-F52),0)</f>
        <v>0</v>
      </c>
      <c r="D49" s="1099" t="s">
        <v>1127</v>
      </c>
      <c r="E49" s="1409" t="s">
        <v>1214</v>
      </c>
      <c r="F49" s="1104"/>
      <c r="H49" s="691"/>
      <c r="I49" s="1457" t="s">
        <v>1257</v>
      </c>
      <c r="J49" s="1461">
        <v>2012</v>
      </c>
      <c r="K49" s="1459" t="s">
        <v>1258</v>
      </c>
      <c r="L49" s="1462"/>
      <c r="O49" s="1463" t="s">
        <v>829</v>
      </c>
      <c r="P49" s="1455" t="s">
        <v>1259</v>
      </c>
      <c r="Q49" s="1456">
        <f ca="1">C29</f>
        <v>1604915</v>
      </c>
      <c r="R49" s="1456" t="s">
        <v>1252</v>
      </c>
    </row>
    <row r="50" spans="1:18" s="1421" customFormat="1" ht="13.5" thickBot="1">
      <c r="A50" s="1029"/>
      <c r="B50" s="1032"/>
      <c r="C50" s="103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41034300</v>
      </c>
      <c r="M51" s="1470"/>
      <c r="O51" s="1463" t="s">
        <v>831</v>
      </c>
      <c r="P51" s="1455" t="s">
        <v>1265</v>
      </c>
      <c r="Q51" s="1466">
        <f ca="1">J52</f>
        <v>0.06</v>
      </c>
      <c r="R51" s="1456"/>
    </row>
    <row r="52" spans="1:18" s="1421" customFormat="1" ht="13.5" thickBot="1">
      <c r="A52" s="1030"/>
      <c r="B52" s="1032"/>
      <c r="C52" s="1033"/>
      <c r="D52" s="1006"/>
      <c r="E52" s="1034" t="s">
        <v>1131</v>
      </c>
      <c r="F52" s="1098"/>
      <c r="I52" s="1471" t="s">
        <v>1266</v>
      </c>
      <c r="J52" s="1472">
        <f ca="1">F40+0.5%</f>
        <v>0.06</v>
      </c>
      <c r="K52" s="1471" t="s">
        <v>1267</v>
      </c>
      <c r="L52" s="1472"/>
      <c r="O52" s="1463" t="s">
        <v>832</v>
      </c>
      <c r="P52" s="1455" t="s">
        <v>1268</v>
      </c>
      <c r="Q52" s="1456">
        <f ca="1">J53</f>
        <v>21.24</v>
      </c>
      <c r="R52" s="1456" t="s">
        <v>1269</v>
      </c>
    </row>
    <row r="53" spans="1:18" s="1421" customFormat="1" ht="30.75" customHeight="1" thickBot="1">
      <c r="A53" s="1156" t="s">
        <v>865</v>
      </c>
      <c r="B53" s="321" t="s">
        <v>1132</v>
      </c>
      <c r="C53" s="314">
        <f ca="1">ROUND(IF(F53="押一",C49/12*F11,IF(F53="押二",C49/12*2*F11,IF(F53="押三",C49/12*3*F11,C54*F11))),0)</f>
        <v>0</v>
      </c>
      <c r="D53" s="155" t="s">
        <v>2618</v>
      </c>
      <c r="E53" s="311" t="s">
        <v>1133</v>
      </c>
      <c r="F53" s="1161"/>
      <c r="I53" s="1473" t="s">
        <v>1270</v>
      </c>
      <c r="J53" s="2163">
        <f ca="1">IF(M47="住宅",IF(D1="——",MAX(J51,L48),MAX(J51,L48-'数据-取费表'!B24)),IF(D1="——",MIN(J51,L48),MIN(J51,L48-'数据-取费表'!B24)))</f>
        <v>21.24</v>
      </c>
      <c r="K53" s="3215" t="s">
        <v>1271</v>
      </c>
      <c r="L53" s="3216"/>
      <c r="O53" s="1454" t="s">
        <v>833</v>
      </c>
      <c r="P53" s="1455" t="s">
        <v>1272</v>
      </c>
      <c r="Q53" s="1456">
        <f ca="1">Q47+Q48</f>
        <v>12218820</v>
      </c>
      <c r="R53" s="1456" t="s">
        <v>834</v>
      </c>
    </row>
    <row r="54" spans="1:18" s="1421" customFormat="1" ht="13.5" thickBot="1">
      <c r="A54" s="1028"/>
      <c r="B54" s="1507" t="s">
        <v>1326</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c r="O55" s="1447" t="s">
        <v>1245</v>
      </c>
      <c r="P55" s="1448" t="s">
        <v>1246</v>
      </c>
      <c r="Q55" s="1449" t="s">
        <v>1247</v>
      </c>
      <c r="R55" s="1449" t="s">
        <v>1248</v>
      </c>
    </row>
    <row r="56" spans="1:18" s="1421" customFormat="1" ht="36" customHeight="1" thickTop="1" thickBot="1">
      <c r="A56" s="1010">
        <v>2</v>
      </c>
      <c r="B56" s="1011" t="s">
        <v>1137</v>
      </c>
      <c r="C56" s="230">
        <f ca="1">C13</f>
        <v>1348129</v>
      </c>
      <c r="D56" s="1481"/>
      <c r="E56" s="1482"/>
      <c r="F56" s="1474"/>
      <c r="I56" s="1483" t="s">
        <v>1277</v>
      </c>
      <c r="J56" s="1484" t="s">
        <v>3254</v>
      </c>
      <c r="K56" s="1457" t="s">
        <v>1278</v>
      </c>
      <c r="L56" s="1460" t="str">
        <f ca="1">IF(L48&lt;J51,"——",L48-J51)</f>
        <v>——</v>
      </c>
      <c r="O56" s="1454" t="s">
        <v>827</v>
      </c>
      <c r="P56" s="1455" t="s">
        <v>1251</v>
      </c>
      <c r="Q56" s="1456">
        <f ca="1">C40+J29</f>
        <v>11995827</v>
      </c>
      <c r="R56" s="1456" t="s">
        <v>1252</v>
      </c>
    </row>
    <row r="57" spans="1:18" s="1421" customFormat="1" ht="24.75" thickBot="1">
      <c r="A57" s="1485"/>
      <c r="B57" s="1003" t="s">
        <v>1201</v>
      </c>
      <c r="C57" s="236">
        <f ca="1">C29</f>
        <v>1604915</v>
      </c>
      <c r="D57" s="1486"/>
      <c r="E57" s="1487"/>
      <c r="F57" s="1488"/>
      <c r="I57" s="1489" t="s">
        <v>1279</v>
      </c>
      <c r="J57" s="1490">
        <f ca="1">IF(OR(M47="住宅",J51&lt;L48,J56="是"),"——",J51-L48)</f>
        <v>28.76</v>
      </c>
      <c r="K57" s="1457" t="s">
        <v>1328</v>
      </c>
      <c r="L57" s="1460" t="str">
        <f ca="1">IF(L48&lt;J51,"——",IF(L55="比较法",L49,IF(L55="基准地价",L50,L51)))</f>
        <v>——</v>
      </c>
      <c r="O57" s="1454" t="s">
        <v>828</v>
      </c>
      <c r="P57" s="1455" t="s">
        <v>1329</v>
      </c>
      <c r="Q57" s="1456">
        <f ca="1">L60</f>
        <v>0</v>
      </c>
      <c r="R57" s="1456" t="s">
        <v>1330</v>
      </c>
    </row>
    <row r="58" spans="1:18" s="1421" customFormat="1" ht="24.75" thickBot="1">
      <c r="A58" s="313" t="s">
        <v>817</v>
      </c>
      <c r="B58" s="1011" t="s">
        <v>1147</v>
      </c>
      <c r="C58" s="314">
        <f ca="1">ROUND(C59+C64+C65+C66,0)</f>
        <v>152210</v>
      </c>
      <c r="D58" s="1013" t="s">
        <v>1148</v>
      </c>
      <c r="E58" s="1014"/>
      <c r="F58" s="1015"/>
      <c r="I58" s="1489" t="s">
        <v>1283</v>
      </c>
      <c r="J58" s="1491">
        <f ca="1">IF(J55&lt;0.4,0.4,J55)</f>
        <v>0.47899999999999998</v>
      </c>
      <c r="K58" s="1468" t="s">
        <v>1331</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134813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768754</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IF(项目基本情况!B11="自然人","——",ROUND(C48*F60/(1+'数据-取费表'!C42),0))</f>
        <v>0</v>
      </c>
      <c r="D60" s="1017" t="s">
        <v>1157</v>
      </c>
      <c r="E60" s="1003" t="s">
        <v>1145</v>
      </c>
      <c r="F60" s="328">
        <f t="shared" ref="F60:F66" si="0">F32</f>
        <v>5.6000000000000001E-2</v>
      </c>
      <c r="I60" s="1492" t="s">
        <v>1288</v>
      </c>
      <c r="J60" s="1493">
        <f ca="1">IF(OR(M47="住宅",J51&lt;L48,J56="是"),"0",ROUND(J59/(1+J52)^J53,0))</f>
        <v>222993</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IF(项目基本情况!B11="自然人","——",IF(D61="按租金收入计税",ROUND(C49*F61/(1+'数据-取费表'!C42),0),IF(D61="按房产原值计税",ROUND(C57*F61*0.7,0),INDIRECT("'数据-取费表'!Aj"&amp;$G$1))))</f>
        <v>134813</v>
      </c>
      <c r="D61" s="1407" t="s">
        <v>1161</v>
      </c>
      <c r="E61" s="1003" t="s">
        <v>1217</v>
      </c>
      <c r="F61" s="320">
        <f t="shared" si="0"/>
        <v>0.12</v>
      </c>
      <c r="I61" s="1495"/>
      <c r="J61" s="1495"/>
      <c r="K61" s="1495"/>
      <c r="L61" s="1495"/>
      <c r="O61" s="1463" t="s">
        <v>832</v>
      </c>
      <c r="P61" s="1455" t="str">
        <f>K59</f>
        <v>建筑物剩余耐用年限下的土地年期修正系数Kn</v>
      </c>
      <c r="Q61" s="1456" t="e">
        <f ca="1">L59</f>
        <v>#DIV/0!</v>
      </c>
      <c r="R61" s="1456" t="s">
        <v>1292</v>
      </c>
    </row>
    <row r="62" spans="1:18" s="1421" customFormat="1" ht="13.5" thickBot="1">
      <c r="A62" s="1035" t="s">
        <v>1218</v>
      </c>
      <c r="B62" s="1002" t="s">
        <v>1219</v>
      </c>
      <c r="C62" s="25">
        <f ca="1">IF(项目基本情况!B11="自然人","——",ROUND(F62*F63,0))</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11995827</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ROUND(C57*F64,0)</f>
        <v>16049</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ROUND(C56*F65,0)</f>
        <v>1348</v>
      </c>
      <c r="D65" s="1017" t="s">
        <v>1177</v>
      </c>
      <c r="E65" s="1003" t="s">
        <v>1178</v>
      </c>
      <c r="F65" s="327">
        <f t="shared" ca="1" si="0"/>
        <v>1E-3</v>
      </c>
      <c r="I65" s="1496" t="s">
        <v>1302</v>
      </c>
      <c r="J65" s="618">
        <v>40</v>
      </c>
      <c r="K65" s="618">
        <v>30</v>
      </c>
      <c r="L65" s="618">
        <v>50</v>
      </c>
      <c r="M65" s="1498">
        <v>0.02</v>
      </c>
      <c r="O65" s="1454" t="s">
        <v>827</v>
      </c>
      <c r="P65" s="1455" t="s">
        <v>1303</v>
      </c>
      <c r="Q65" s="1456">
        <f ca="1">C40+J29</f>
        <v>11995827</v>
      </c>
      <c r="R65" s="1456" t="s">
        <v>1252</v>
      </c>
    </row>
    <row r="66" spans="1:18" s="1421" customFormat="1" ht="16.5" thickBot="1">
      <c r="A66" s="1035" t="s">
        <v>1227</v>
      </c>
      <c r="B66" s="1003" t="s">
        <v>1162</v>
      </c>
      <c r="C66" s="24">
        <f ca="1">ROUND(C48*F66,0)</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-152210</v>
      </c>
      <c r="D67" s="1016" t="s">
        <v>1187</v>
      </c>
      <c r="E67" s="1021"/>
      <c r="F67" s="1022"/>
      <c r="O67" s="1463" t="s">
        <v>829</v>
      </c>
      <c r="P67" s="1455" t="s">
        <v>1285</v>
      </c>
      <c r="Q67" s="1499">
        <f ca="1">L51</f>
        <v>41034300</v>
      </c>
      <c r="R67" s="1456" t="s">
        <v>1305</v>
      </c>
    </row>
    <row r="68" spans="1:18" s="1421" customFormat="1" ht="16.5" thickBot="1">
      <c r="A68" s="1000" t="s">
        <v>819</v>
      </c>
      <c r="B68" s="1001" t="s">
        <v>1208</v>
      </c>
      <c r="C68" s="299">
        <f ca="1">ROUND(C67*(1-((1+F70)/(1+F68))^F69)/(F68-F70),0)</f>
        <v>-2224828</v>
      </c>
      <c r="D68" s="1018" t="s">
        <v>1192</v>
      </c>
      <c r="E68" s="1003" t="s">
        <v>1193</v>
      </c>
      <c r="F68" s="310">
        <f ca="1">F40</f>
        <v>5.5E-2</v>
      </c>
      <c r="O68" s="1463" t="s">
        <v>830</v>
      </c>
      <c r="P68" s="1500" t="s">
        <v>1306</v>
      </c>
      <c r="Q68" s="1456">
        <f ca="1">ROUND(Q69-Q70*Q71,0)</f>
        <v>820686</v>
      </c>
      <c r="R68" s="1456" t="s">
        <v>838</v>
      </c>
    </row>
    <row r="69" spans="1:18" s="1421" customFormat="1" ht="13.5" thickBot="1">
      <c r="A69" s="1004"/>
      <c r="B69" s="1005"/>
      <c r="C69" s="304"/>
      <c r="D69" s="1023" t="s">
        <v>1196</v>
      </c>
      <c r="E69" s="1003" t="s">
        <v>1197</v>
      </c>
      <c r="F69" s="330">
        <f ca="1">F41</f>
        <v>21.24</v>
      </c>
      <c r="O69" s="1463" t="s">
        <v>835</v>
      </c>
      <c r="P69" s="1500" t="s">
        <v>1307</v>
      </c>
      <c r="Q69" s="1456">
        <f ca="1">C39</f>
        <v>820686</v>
      </c>
      <c r="R69" s="1456" t="s">
        <v>1252</v>
      </c>
    </row>
    <row r="70" spans="1:18" s="1421" customFormat="1" ht="13.5" thickBot="1">
      <c r="A70" s="1007"/>
      <c r="B70" s="1008"/>
      <c r="C70" s="308"/>
      <c r="D70" s="1019"/>
      <c r="E70" s="1003" t="s">
        <v>1200</v>
      </c>
      <c r="F70" s="1098">
        <f ca="1">F42</f>
        <v>0.02</v>
      </c>
      <c r="O70" s="1463" t="s">
        <v>836</v>
      </c>
      <c r="P70" s="1500" t="s">
        <v>1308</v>
      </c>
      <c r="Q70" s="1456">
        <f ca="1">C13</f>
        <v>1348129</v>
      </c>
      <c r="R70" s="1456" t="s">
        <v>1252</v>
      </c>
    </row>
    <row r="71" spans="1:18" s="1421" customFormat="1" ht="13.5" thickBot="1">
      <c r="A71" s="1024" t="s">
        <v>820</v>
      </c>
      <c r="B71" s="1025" t="s">
        <v>1210</v>
      </c>
      <c r="C71" s="333">
        <f ca="1">ROUND(C68/F71,0)</f>
        <v>-8691</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建筑物剩余耐用年限下的土地年期修正系数Kn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11995827</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0.88800000000000001</v>
      </c>
    </row>
    <row r="83" spans="2:3">
      <c r="B83" s="271" t="s">
        <v>1237</v>
      </c>
      <c r="C83" s="272">
        <f ca="1">ROUND(C13/C40,3)</f>
        <v>0.112</v>
      </c>
    </row>
  </sheetData>
  <sheetProtection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92D050"/>
  </sheetPr>
  <dimension ref="A1:W44"/>
  <sheetViews>
    <sheetView zoomScale="80" zoomScaleNormal="80" workbookViewId="0">
      <selection activeCell="E1" sqref="E1:F1"/>
    </sheetView>
  </sheetViews>
  <sheetFormatPr defaultRowHeight="13.15" customHeight="1"/>
  <cols>
    <col min="1" max="1" width="9.5" style="2760" customWidth="1"/>
    <col min="2" max="2" width="8.875" style="2760"/>
    <col min="3" max="5" width="12.875" style="2760" customWidth="1"/>
    <col min="6" max="6" width="47.5" style="2760" customWidth="1"/>
    <col min="7" max="7" width="13" style="2754" customWidth="1"/>
    <col min="8" max="8" width="8.875" style="2754"/>
    <col min="9" max="9" width="8.875" style="2755"/>
    <col min="10" max="10" width="5.75" style="2914" customWidth="1"/>
    <col min="11" max="11" width="11.75" style="2914" customWidth="1"/>
    <col min="12" max="13" width="10.75" style="2914" customWidth="1"/>
    <col min="14" max="14" width="10" style="2914" customWidth="1"/>
    <col min="15" max="16" width="10.5" style="2914" bestFit="1" customWidth="1"/>
    <col min="17" max="17" width="10" style="2914" customWidth="1"/>
    <col min="18" max="18" width="10.125" style="2914" customWidth="1"/>
    <col min="19" max="19" width="10" style="2914" customWidth="1"/>
    <col min="20" max="20" width="26.125" style="2914" customWidth="1"/>
    <col min="21" max="21" width="8.875" style="2914"/>
    <col min="22" max="22" width="8.875" style="2755"/>
    <col min="23" max="256" width="8.875" style="2760"/>
    <col min="257" max="257" width="9.5" style="2760" customWidth="1"/>
    <col min="258" max="258" width="8.875" style="2760"/>
    <col min="259" max="261" width="12.875" style="2760" customWidth="1"/>
    <col min="262" max="262" width="47.5" style="2760" customWidth="1"/>
    <col min="263" max="263" width="13" style="2760" customWidth="1"/>
    <col min="264" max="265" width="8.875" style="2760"/>
    <col min="266" max="266" width="5.75" style="2760" customWidth="1"/>
    <col min="267" max="267" width="11.75" style="2760" customWidth="1"/>
    <col min="268" max="269" width="10.75" style="2760" customWidth="1"/>
    <col min="270" max="270" width="10" style="2760" customWidth="1"/>
    <col min="271" max="272" width="10.5" style="2760" bestFit="1" customWidth="1"/>
    <col min="273" max="273" width="10" style="2760" customWidth="1"/>
    <col min="274" max="274" width="10.125" style="2760" customWidth="1"/>
    <col min="275" max="275" width="10" style="2760" customWidth="1"/>
    <col min="276" max="276" width="26.125" style="2760" customWidth="1"/>
    <col min="277" max="512" width="8.875" style="2760"/>
    <col min="513" max="513" width="9.5" style="2760" customWidth="1"/>
    <col min="514" max="514" width="8.875" style="2760"/>
    <col min="515" max="517" width="12.875" style="2760" customWidth="1"/>
    <col min="518" max="518" width="47.5" style="2760" customWidth="1"/>
    <col min="519" max="519" width="13" style="2760" customWidth="1"/>
    <col min="520" max="521" width="8.875" style="2760"/>
    <col min="522" max="522" width="5.75" style="2760" customWidth="1"/>
    <col min="523" max="523" width="11.75" style="2760" customWidth="1"/>
    <col min="524" max="525" width="10.75" style="2760" customWidth="1"/>
    <col min="526" max="526" width="10" style="2760" customWidth="1"/>
    <col min="527" max="528" width="10.5" style="2760" bestFit="1" customWidth="1"/>
    <col min="529" max="529" width="10" style="2760" customWidth="1"/>
    <col min="530" max="530" width="10.125" style="2760" customWidth="1"/>
    <col min="531" max="531" width="10" style="2760" customWidth="1"/>
    <col min="532" max="532" width="26.125" style="2760" customWidth="1"/>
    <col min="533" max="768" width="8.875" style="2760"/>
    <col min="769" max="769" width="9.5" style="2760" customWidth="1"/>
    <col min="770" max="770" width="8.875" style="2760"/>
    <col min="771" max="773" width="12.875" style="2760" customWidth="1"/>
    <col min="774" max="774" width="47.5" style="2760" customWidth="1"/>
    <col min="775" max="775" width="13" style="2760" customWidth="1"/>
    <col min="776" max="777" width="8.875" style="2760"/>
    <col min="778" max="778" width="5.75" style="2760" customWidth="1"/>
    <col min="779" max="779" width="11.75" style="2760" customWidth="1"/>
    <col min="780" max="781" width="10.75" style="2760" customWidth="1"/>
    <col min="782" max="782" width="10" style="2760" customWidth="1"/>
    <col min="783" max="784" width="10.5" style="2760" bestFit="1" customWidth="1"/>
    <col min="785" max="785" width="10" style="2760" customWidth="1"/>
    <col min="786" max="786" width="10.125" style="2760" customWidth="1"/>
    <col min="787" max="787" width="10" style="2760" customWidth="1"/>
    <col min="788" max="788" width="26.125" style="2760" customWidth="1"/>
    <col min="789" max="1024" width="8.875" style="2760"/>
    <col min="1025" max="1025" width="9.5" style="2760" customWidth="1"/>
    <col min="1026" max="1026" width="8.875" style="2760"/>
    <col min="1027" max="1029" width="12.875" style="2760" customWidth="1"/>
    <col min="1030" max="1030" width="47.5" style="2760" customWidth="1"/>
    <col min="1031" max="1031" width="13" style="2760" customWidth="1"/>
    <col min="1032" max="1033" width="8.875" style="2760"/>
    <col min="1034" max="1034" width="5.75" style="2760" customWidth="1"/>
    <col min="1035" max="1035" width="11.75" style="2760" customWidth="1"/>
    <col min="1036" max="1037" width="10.75" style="2760" customWidth="1"/>
    <col min="1038" max="1038" width="10" style="2760" customWidth="1"/>
    <col min="1039" max="1040" width="10.5" style="2760" bestFit="1" customWidth="1"/>
    <col min="1041" max="1041" width="10" style="2760" customWidth="1"/>
    <col min="1042" max="1042" width="10.125" style="2760" customWidth="1"/>
    <col min="1043" max="1043" width="10" style="2760" customWidth="1"/>
    <col min="1044" max="1044" width="26.125" style="2760" customWidth="1"/>
    <col min="1045" max="1280" width="8.875" style="2760"/>
    <col min="1281" max="1281" width="9.5" style="2760" customWidth="1"/>
    <col min="1282" max="1282" width="8.875" style="2760"/>
    <col min="1283" max="1285" width="12.875" style="2760" customWidth="1"/>
    <col min="1286" max="1286" width="47.5" style="2760" customWidth="1"/>
    <col min="1287" max="1287" width="13" style="2760" customWidth="1"/>
    <col min="1288" max="1289" width="8.875" style="2760"/>
    <col min="1290" max="1290" width="5.75" style="2760" customWidth="1"/>
    <col min="1291" max="1291" width="11.75" style="2760" customWidth="1"/>
    <col min="1292" max="1293" width="10.75" style="2760" customWidth="1"/>
    <col min="1294" max="1294" width="10" style="2760" customWidth="1"/>
    <col min="1295" max="1296" width="10.5" style="2760" bestFit="1" customWidth="1"/>
    <col min="1297" max="1297" width="10" style="2760" customWidth="1"/>
    <col min="1298" max="1298" width="10.125" style="2760" customWidth="1"/>
    <col min="1299" max="1299" width="10" style="2760" customWidth="1"/>
    <col min="1300" max="1300" width="26.125" style="2760" customWidth="1"/>
    <col min="1301" max="1536" width="8.875" style="2760"/>
    <col min="1537" max="1537" width="9.5" style="2760" customWidth="1"/>
    <col min="1538" max="1538" width="8.875" style="2760"/>
    <col min="1539" max="1541" width="12.875" style="2760" customWidth="1"/>
    <col min="1542" max="1542" width="47.5" style="2760" customWidth="1"/>
    <col min="1543" max="1543" width="13" style="2760" customWidth="1"/>
    <col min="1544" max="1545" width="8.875" style="2760"/>
    <col min="1546" max="1546" width="5.75" style="2760" customWidth="1"/>
    <col min="1547" max="1547" width="11.75" style="2760" customWidth="1"/>
    <col min="1548" max="1549" width="10.75" style="2760" customWidth="1"/>
    <col min="1550" max="1550" width="10" style="2760" customWidth="1"/>
    <col min="1551" max="1552" width="10.5" style="2760" bestFit="1" customWidth="1"/>
    <col min="1553" max="1553" width="10" style="2760" customWidth="1"/>
    <col min="1554" max="1554" width="10.125" style="2760" customWidth="1"/>
    <col min="1555" max="1555" width="10" style="2760" customWidth="1"/>
    <col min="1556" max="1556" width="26.125" style="2760" customWidth="1"/>
    <col min="1557" max="1792" width="8.875" style="2760"/>
    <col min="1793" max="1793" width="9.5" style="2760" customWidth="1"/>
    <col min="1794" max="1794" width="8.875" style="2760"/>
    <col min="1795" max="1797" width="12.875" style="2760" customWidth="1"/>
    <col min="1798" max="1798" width="47.5" style="2760" customWidth="1"/>
    <col min="1799" max="1799" width="13" style="2760" customWidth="1"/>
    <col min="1800" max="1801" width="8.875" style="2760"/>
    <col min="1802" max="1802" width="5.75" style="2760" customWidth="1"/>
    <col min="1803" max="1803" width="11.75" style="2760" customWidth="1"/>
    <col min="1804" max="1805" width="10.75" style="2760" customWidth="1"/>
    <col min="1806" max="1806" width="10" style="2760" customWidth="1"/>
    <col min="1807" max="1808" width="10.5" style="2760" bestFit="1" customWidth="1"/>
    <col min="1809" max="1809" width="10" style="2760" customWidth="1"/>
    <col min="1810" max="1810" width="10.125" style="2760" customWidth="1"/>
    <col min="1811" max="1811" width="10" style="2760" customWidth="1"/>
    <col min="1812" max="1812" width="26.125" style="2760" customWidth="1"/>
    <col min="1813" max="2048" width="8.875" style="2760"/>
    <col min="2049" max="2049" width="9.5" style="2760" customWidth="1"/>
    <col min="2050" max="2050" width="8.875" style="2760"/>
    <col min="2051" max="2053" width="12.875" style="2760" customWidth="1"/>
    <col min="2054" max="2054" width="47.5" style="2760" customWidth="1"/>
    <col min="2055" max="2055" width="13" style="2760" customWidth="1"/>
    <col min="2056" max="2057" width="8.875" style="2760"/>
    <col min="2058" max="2058" width="5.75" style="2760" customWidth="1"/>
    <col min="2059" max="2059" width="11.75" style="2760" customWidth="1"/>
    <col min="2060" max="2061" width="10.75" style="2760" customWidth="1"/>
    <col min="2062" max="2062" width="10" style="2760" customWidth="1"/>
    <col min="2063" max="2064" width="10.5" style="2760" bestFit="1" customWidth="1"/>
    <col min="2065" max="2065" width="10" style="2760" customWidth="1"/>
    <col min="2066" max="2066" width="10.125" style="2760" customWidth="1"/>
    <col min="2067" max="2067" width="10" style="2760" customWidth="1"/>
    <col min="2068" max="2068" width="26.125" style="2760" customWidth="1"/>
    <col min="2069" max="2304" width="8.875" style="2760"/>
    <col min="2305" max="2305" width="9.5" style="2760" customWidth="1"/>
    <col min="2306" max="2306" width="8.875" style="2760"/>
    <col min="2307" max="2309" width="12.875" style="2760" customWidth="1"/>
    <col min="2310" max="2310" width="47.5" style="2760" customWidth="1"/>
    <col min="2311" max="2311" width="13" style="2760" customWidth="1"/>
    <col min="2312" max="2313" width="8.875" style="2760"/>
    <col min="2314" max="2314" width="5.75" style="2760" customWidth="1"/>
    <col min="2315" max="2315" width="11.75" style="2760" customWidth="1"/>
    <col min="2316" max="2317" width="10.75" style="2760" customWidth="1"/>
    <col min="2318" max="2318" width="10" style="2760" customWidth="1"/>
    <col min="2319" max="2320" width="10.5" style="2760" bestFit="1" customWidth="1"/>
    <col min="2321" max="2321" width="10" style="2760" customWidth="1"/>
    <col min="2322" max="2322" width="10.125" style="2760" customWidth="1"/>
    <col min="2323" max="2323" width="10" style="2760" customWidth="1"/>
    <col min="2324" max="2324" width="26.125" style="2760" customWidth="1"/>
    <col min="2325" max="2560" width="8.875" style="2760"/>
    <col min="2561" max="2561" width="9.5" style="2760" customWidth="1"/>
    <col min="2562" max="2562" width="8.875" style="2760"/>
    <col min="2563" max="2565" width="12.875" style="2760" customWidth="1"/>
    <col min="2566" max="2566" width="47.5" style="2760" customWidth="1"/>
    <col min="2567" max="2567" width="13" style="2760" customWidth="1"/>
    <col min="2568" max="2569" width="8.875" style="2760"/>
    <col min="2570" max="2570" width="5.75" style="2760" customWidth="1"/>
    <col min="2571" max="2571" width="11.75" style="2760" customWidth="1"/>
    <col min="2572" max="2573" width="10.75" style="2760" customWidth="1"/>
    <col min="2574" max="2574" width="10" style="2760" customWidth="1"/>
    <col min="2575" max="2576" width="10.5" style="2760" bestFit="1" customWidth="1"/>
    <col min="2577" max="2577" width="10" style="2760" customWidth="1"/>
    <col min="2578" max="2578" width="10.125" style="2760" customWidth="1"/>
    <col min="2579" max="2579" width="10" style="2760" customWidth="1"/>
    <col min="2580" max="2580" width="26.125" style="2760" customWidth="1"/>
    <col min="2581" max="2816" width="8.875" style="2760"/>
    <col min="2817" max="2817" width="9.5" style="2760" customWidth="1"/>
    <col min="2818" max="2818" width="8.875" style="2760"/>
    <col min="2819" max="2821" width="12.875" style="2760" customWidth="1"/>
    <col min="2822" max="2822" width="47.5" style="2760" customWidth="1"/>
    <col min="2823" max="2823" width="13" style="2760" customWidth="1"/>
    <col min="2824" max="2825" width="8.875" style="2760"/>
    <col min="2826" max="2826" width="5.75" style="2760" customWidth="1"/>
    <col min="2827" max="2827" width="11.75" style="2760" customWidth="1"/>
    <col min="2828" max="2829" width="10.75" style="2760" customWidth="1"/>
    <col min="2830" max="2830" width="10" style="2760" customWidth="1"/>
    <col min="2831" max="2832" width="10.5" style="2760" bestFit="1" customWidth="1"/>
    <col min="2833" max="2833" width="10" style="2760" customWidth="1"/>
    <col min="2834" max="2834" width="10.125" style="2760" customWidth="1"/>
    <col min="2835" max="2835" width="10" style="2760" customWidth="1"/>
    <col min="2836" max="2836" width="26.125" style="2760" customWidth="1"/>
    <col min="2837" max="3072" width="8.875" style="2760"/>
    <col min="3073" max="3073" width="9.5" style="2760" customWidth="1"/>
    <col min="3074" max="3074" width="8.875" style="2760"/>
    <col min="3075" max="3077" width="12.875" style="2760" customWidth="1"/>
    <col min="3078" max="3078" width="47.5" style="2760" customWidth="1"/>
    <col min="3079" max="3079" width="13" style="2760" customWidth="1"/>
    <col min="3080" max="3081" width="8.875" style="2760"/>
    <col min="3082" max="3082" width="5.75" style="2760" customWidth="1"/>
    <col min="3083" max="3083" width="11.75" style="2760" customWidth="1"/>
    <col min="3084" max="3085" width="10.75" style="2760" customWidth="1"/>
    <col min="3086" max="3086" width="10" style="2760" customWidth="1"/>
    <col min="3087" max="3088" width="10.5" style="2760" bestFit="1" customWidth="1"/>
    <col min="3089" max="3089" width="10" style="2760" customWidth="1"/>
    <col min="3090" max="3090" width="10.125" style="2760" customWidth="1"/>
    <col min="3091" max="3091" width="10" style="2760" customWidth="1"/>
    <col min="3092" max="3092" width="26.125" style="2760" customWidth="1"/>
    <col min="3093" max="3328" width="8.875" style="2760"/>
    <col min="3329" max="3329" width="9.5" style="2760" customWidth="1"/>
    <col min="3330" max="3330" width="8.875" style="2760"/>
    <col min="3331" max="3333" width="12.875" style="2760" customWidth="1"/>
    <col min="3334" max="3334" width="47.5" style="2760" customWidth="1"/>
    <col min="3335" max="3335" width="13" style="2760" customWidth="1"/>
    <col min="3336" max="3337" width="8.875" style="2760"/>
    <col min="3338" max="3338" width="5.75" style="2760" customWidth="1"/>
    <col min="3339" max="3339" width="11.75" style="2760" customWidth="1"/>
    <col min="3340" max="3341" width="10.75" style="2760" customWidth="1"/>
    <col min="3342" max="3342" width="10" style="2760" customWidth="1"/>
    <col min="3343" max="3344" width="10.5" style="2760" bestFit="1" customWidth="1"/>
    <col min="3345" max="3345" width="10" style="2760" customWidth="1"/>
    <col min="3346" max="3346" width="10.125" style="2760" customWidth="1"/>
    <col min="3347" max="3347" width="10" style="2760" customWidth="1"/>
    <col min="3348" max="3348" width="26.125" style="2760" customWidth="1"/>
    <col min="3349" max="3584" width="8.875" style="2760"/>
    <col min="3585" max="3585" width="9.5" style="2760" customWidth="1"/>
    <col min="3586" max="3586" width="8.875" style="2760"/>
    <col min="3587" max="3589" width="12.875" style="2760" customWidth="1"/>
    <col min="3590" max="3590" width="47.5" style="2760" customWidth="1"/>
    <col min="3591" max="3591" width="13" style="2760" customWidth="1"/>
    <col min="3592" max="3593" width="8.875" style="2760"/>
    <col min="3594" max="3594" width="5.75" style="2760" customWidth="1"/>
    <col min="3595" max="3595" width="11.75" style="2760" customWidth="1"/>
    <col min="3596" max="3597" width="10.75" style="2760" customWidth="1"/>
    <col min="3598" max="3598" width="10" style="2760" customWidth="1"/>
    <col min="3599" max="3600" width="10.5" style="2760" bestFit="1" customWidth="1"/>
    <col min="3601" max="3601" width="10" style="2760" customWidth="1"/>
    <col min="3602" max="3602" width="10.125" style="2760" customWidth="1"/>
    <col min="3603" max="3603" width="10" style="2760" customWidth="1"/>
    <col min="3604" max="3604" width="26.125" style="2760" customWidth="1"/>
    <col min="3605" max="3840" width="8.875" style="2760"/>
    <col min="3841" max="3841" width="9.5" style="2760" customWidth="1"/>
    <col min="3842" max="3842" width="8.875" style="2760"/>
    <col min="3843" max="3845" width="12.875" style="2760" customWidth="1"/>
    <col min="3846" max="3846" width="47.5" style="2760" customWidth="1"/>
    <col min="3847" max="3847" width="13" style="2760" customWidth="1"/>
    <col min="3848" max="3849" width="8.875" style="2760"/>
    <col min="3850" max="3850" width="5.75" style="2760" customWidth="1"/>
    <col min="3851" max="3851" width="11.75" style="2760" customWidth="1"/>
    <col min="3852" max="3853" width="10.75" style="2760" customWidth="1"/>
    <col min="3854" max="3854" width="10" style="2760" customWidth="1"/>
    <col min="3855" max="3856" width="10.5" style="2760" bestFit="1" customWidth="1"/>
    <col min="3857" max="3857" width="10" style="2760" customWidth="1"/>
    <col min="3858" max="3858" width="10.125" style="2760" customWidth="1"/>
    <col min="3859" max="3859" width="10" style="2760" customWidth="1"/>
    <col min="3860" max="3860" width="26.125" style="2760" customWidth="1"/>
    <col min="3861" max="4096" width="8.875" style="2760"/>
    <col min="4097" max="4097" width="9.5" style="2760" customWidth="1"/>
    <col min="4098" max="4098" width="8.875" style="2760"/>
    <col min="4099" max="4101" width="12.875" style="2760" customWidth="1"/>
    <col min="4102" max="4102" width="47.5" style="2760" customWidth="1"/>
    <col min="4103" max="4103" width="13" style="2760" customWidth="1"/>
    <col min="4104" max="4105" width="8.875" style="2760"/>
    <col min="4106" max="4106" width="5.75" style="2760" customWidth="1"/>
    <col min="4107" max="4107" width="11.75" style="2760" customWidth="1"/>
    <col min="4108" max="4109" width="10.75" style="2760" customWidth="1"/>
    <col min="4110" max="4110" width="10" style="2760" customWidth="1"/>
    <col min="4111" max="4112" width="10.5" style="2760" bestFit="1" customWidth="1"/>
    <col min="4113" max="4113" width="10" style="2760" customWidth="1"/>
    <col min="4114" max="4114" width="10.125" style="2760" customWidth="1"/>
    <col min="4115" max="4115" width="10" style="2760" customWidth="1"/>
    <col min="4116" max="4116" width="26.125" style="2760" customWidth="1"/>
    <col min="4117" max="4352" width="8.875" style="2760"/>
    <col min="4353" max="4353" width="9.5" style="2760" customWidth="1"/>
    <col min="4354" max="4354" width="8.875" style="2760"/>
    <col min="4355" max="4357" width="12.875" style="2760" customWidth="1"/>
    <col min="4358" max="4358" width="47.5" style="2760" customWidth="1"/>
    <col min="4359" max="4359" width="13" style="2760" customWidth="1"/>
    <col min="4360" max="4361" width="8.875" style="2760"/>
    <col min="4362" max="4362" width="5.75" style="2760" customWidth="1"/>
    <col min="4363" max="4363" width="11.75" style="2760" customWidth="1"/>
    <col min="4364" max="4365" width="10.75" style="2760" customWidth="1"/>
    <col min="4366" max="4366" width="10" style="2760" customWidth="1"/>
    <col min="4367" max="4368" width="10.5" style="2760" bestFit="1" customWidth="1"/>
    <col min="4369" max="4369" width="10" style="2760" customWidth="1"/>
    <col min="4370" max="4370" width="10.125" style="2760" customWidth="1"/>
    <col min="4371" max="4371" width="10" style="2760" customWidth="1"/>
    <col min="4372" max="4372" width="26.125" style="2760" customWidth="1"/>
    <col min="4373" max="4608" width="8.875" style="2760"/>
    <col min="4609" max="4609" width="9.5" style="2760" customWidth="1"/>
    <col min="4610" max="4610" width="8.875" style="2760"/>
    <col min="4611" max="4613" width="12.875" style="2760" customWidth="1"/>
    <col min="4614" max="4614" width="47.5" style="2760" customWidth="1"/>
    <col min="4615" max="4615" width="13" style="2760" customWidth="1"/>
    <col min="4616" max="4617" width="8.875" style="2760"/>
    <col min="4618" max="4618" width="5.75" style="2760" customWidth="1"/>
    <col min="4619" max="4619" width="11.75" style="2760" customWidth="1"/>
    <col min="4620" max="4621" width="10.75" style="2760" customWidth="1"/>
    <col min="4622" max="4622" width="10" style="2760" customWidth="1"/>
    <col min="4623" max="4624" width="10.5" style="2760" bestFit="1" customWidth="1"/>
    <col min="4625" max="4625" width="10" style="2760" customWidth="1"/>
    <col min="4626" max="4626" width="10.125" style="2760" customWidth="1"/>
    <col min="4627" max="4627" width="10" style="2760" customWidth="1"/>
    <col min="4628" max="4628" width="26.125" style="2760" customWidth="1"/>
    <col min="4629" max="4864" width="8.875" style="2760"/>
    <col min="4865" max="4865" width="9.5" style="2760" customWidth="1"/>
    <col min="4866" max="4866" width="8.875" style="2760"/>
    <col min="4867" max="4869" width="12.875" style="2760" customWidth="1"/>
    <col min="4870" max="4870" width="47.5" style="2760" customWidth="1"/>
    <col min="4871" max="4871" width="13" style="2760" customWidth="1"/>
    <col min="4872" max="4873" width="8.875" style="2760"/>
    <col min="4874" max="4874" width="5.75" style="2760" customWidth="1"/>
    <col min="4875" max="4875" width="11.75" style="2760" customWidth="1"/>
    <col min="4876" max="4877" width="10.75" style="2760" customWidth="1"/>
    <col min="4878" max="4878" width="10" style="2760" customWidth="1"/>
    <col min="4879" max="4880" width="10.5" style="2760" bestFit="1" customWidth="1"/>
    <col min="4881" max="4881" width="10" style="2760" customWidth="1"/>
    <col min="4882" max="4882" width="10.125" style="2760" customWidth="1"/>
    <col min="4883" max="4883" width="10" style="2760" customWidth="1"/>
    <col min="4884" max="4884" width="26.125" style="2760" customWidth="1"/>
    <col min="4885" max="5120" width="8.875" style="2760"/>
    <col min="5121" max="5121" width="9.5" style="2760" customWidth="1"/>
    <col min="5122" max="5122" width="8.875" style="2760"/>
    <col min="5123" max="5125" width="12.875" style="2760" customWidth="1"/>
    <col min="5126" max="5126" width="47.5" style="2760" customWidth="1"/>
    <col min="5127" max="5127" width="13" style="2760" customWidth="1"/>
    <col min="5128" max="5129" width="8.875" style="2760"/>
    <col min="5130" max="5130" width="5.75" style="2760" customWidth="1"/>
    <col min="5131" max="5131" width="11.75" style="2760" customWidth="1"/>
    <col min="5132" max="5133" width="10.75" style="2760" customWidth="1"/>
    <col min="5134" max="5134" width="10" style="2760" customWidth="1"/>
    <col min="5135" max="5136" width="10.5" style="2760" bestFit="1" customWidth="1"/>
    <col min="5137" max="5137" width="10" style="2760" customWidth="1"/>
    <col min="5138" max="5138" width="10.125" style="2760" customWidth="1"/>
    <col min="5139" max="5139" width="10" style="2760" customWidth="1"/>
    <col min="5140" max="5140" width="26.125" style="2760" customWidth="1"/>
    <col min="5141" max="5376" width="8.875" style="2760"/>
    <col min="5377" max="5377" width="9.5" style="2760" customWidth="1"/>
    <col min="5378" max="5378" width="8.875" style="2760"/>
    <col min="5379" max="5381" width="12.875" style="2760" customWidth="1"/>
    <col min="5382" max="5382" width="47.5" style="2760" customWidth="1"/>
    <col min="5383" max="5383" width="13" style="2760" customWidth="1"/>
    <col min="5384" max="5385" width="8.875" style="2760"/>
    <col min="5386" max="5386" width="5.75" style="2760" customWidth="1"/>
    <col min="5387" max="5387" width="11.75" style="2760" customWidth="1"/>
    <col min="5388" max="5389" width="10.75" style="2760" customWidth="1"/>
    <col min="5390" max="5390" width="10" style="2760" customWidth="1"/>
    <col min="5391" max="5392" width="10.5" style="2760" bestFit="1" customWidth="1"/>
    <col min="5393" max="5393" width="10" style="2760" customWidth="1"/>
    <col min="5394" max="5394" width="10.125" style="2760" customWidth="1"/>
    <col min="5395" max="5395" width="10" style="2760" customWidth="1"/>
    <col min="5396" max="5396" width="26.125" style="2760" customWidth="1"/>
    <col min="5397" max="5632" width="8.875" style="2760"/>
    <col min="5633" max="5633" width="9.5" style="2760" customWidth="1"/>
    <col min="5634" max="5634" width="8.875" style="2760"/>
    <col min="5635" max="5637" width="12.875" style="2760" customWidth="1"/>
    <col min="5638" max="5638" width="47.5" style="2760" customWidth="1"/>
    <col min="5639" max="5639" width="13" style="2760" customWidth="1"/>
    <col min="5640" max="5641" width="8.875" style="2760"/>
    <col min="5642" max="5642" width="5.75" style="2760" customWidth="1"/>
    <col min="5643" max="5643" width="11.75" style="2760" customWidth="1"/>
    <col min="5644" max="5645" width="10.75" style="2760" customWidth="1"/>
    <col min="5646" max="5646" width="10" style="2760" customWidth="1"/>
    <col min="5647" max="5648" width="10.5" style="2760" bestFit="1" customWidth="1"/>
    <col min="5649" max="5649" width="10" style="2760" customWidth="1"/>
    <col min="5650" max="5650" width="10.125" style="2760" customWidth="1"/>
    <col min="5651" max="5651" width="10" style="2760" customWidth="1"/>
    <col min="5652" max="5652" width="26.125" style="2760" customWidth="1"/>
    <col min="5653" max="5888" width="8.875" style="2760"/>
    <col min="5889" max="5889" width="9.5" style="2760" customWidth="1"/>
    <col min="5890" max="5890" width="8.875" style="2760"/>
    <col min="5891" max="5893" width="12.875" style="2760" customWidth="1"/>
    <col min="5894" max="5894" width="47.5" style="2760" customWidth="1"/>
    <col min="5895" max="5895" width="13" style="2760" customWidth="1"/>
    <col min="5896" max="5897" width="8.875" style="2760"/>
    <col min="5898" max="5898" width="5.75" style="2760" customWidth="1"/>
    <col min="5899" max="5899" width="11.75" style="2760" customWidth="1"/>
    <col min="5900" max="5901" width="10.75" style="2760" customWidth="1"/>
    <col min="5902" max="5902" width="10" style="2760" customWidth="1"/>
    <col min="5903" max="5904" width="10.5" style="2760" bestFit="1" customWidth="1"/>
    <col min="5905" max="5905" width="10" style="2760" customWidth="1"/>
    <col min="5906" max="5906" width="10.125" style="2760" customWidth="1"/>
    <col min="5907" max="5907" width="10" style="2760" customWidth="1"/>
    <col min="5908" max="5908" width="26.125" style="2760" customWidth="1"/>
    <col min="5909" max="6144" width="8.875" style="2760"/>
    <col min="6145" max="6145" width="9.5" style="2760" customWidth="1"/>
    <col min="6146" max="6146" width="8.875" style="2760"/>
    <col min="6147" max="6149" width="12.875" style="2760" customWidth="1"/>
    <col min="6150" max="6150" width="47.5" style="2760" customWidth="1"/>
    <col min="6151" max="6151" width="13" style="2760" customWidth="1"/>
    <col min="6152" max="6153" width="8.875" style="2760"/>
    <col min="6154" max="6154" width="5.75" style="2760" customWidth="1"/>
    <col min="6155" max="6155" width="11.75" style="2760" customWidth="1"/>
    <col min="6156" max="6157" width="10.75" style="2760" customWidth="1"/>
    <col min="6158" max="6158" width="10" style="2760" customWidth="1"/>
    <col min="6159" max="6160" width="10.5" style="2760" bestFit="1" customWidth="1"/>
    <col min="6161" max="6161" width="10" style="2760" customWidth="1"/>
    <col min="6162" max="6162" width="10.125" style="2760" customWidth="1"/>
    <col min="6163" max="6163" width="10" style="2760" customWidth="1"/>
    <col min="6164" max="6164" width="26.125" style="2760" customWidth="1"/>
    <col min="6165" max="6400" width="8.875" style="2760"/>
    <col min="6401" max="6401" width="9.5" style="2760" customWidth="1"/>
    <col min="6402" max="6402" width="8.875" style="2760"/>
    <col min="6403" max="6405" width="12.875" style="2760" customWidth="1"/>
    <col min="6406" max="6406" width="47.5" style="2760" customWidth="1"/>
    <col min="6407" max="6407" width="13" style="2760" customWidth="1"/>
    <col min="6408" max="6409" width="8.875" style="2760"/>
    <col min="6410" max="6410" width="5.75" style="2760" customWidth="1"/>
    <col min="6411" max="6411" width="11.75" style="2760" customWidth="1"/>
    <col min="6412" max="6413" width="10.75" style="2760" customWidth="1"/>
    <col min="6414" max="6414" width="10" style="2760" customWidth="1"/>
    <col min="6415" max="6416" width="10.5" style="2760" bestFit="1" customWidth="1"/>
    <col min="6417" max="6417" width="10" style="2760" customWidth="1"/>
    <col min="6418" max="6418" width="10.125" style="2760" customWidth="1"/>
    <col min="6419" max="6419" width="10" style="2760" customWidth="1"/>
    <col min="6420" max="6420" width="26.125" style="2760" customWidth="1"/>
    <col min="6421" max="6656" width="8.875" style="2760"/>
    <col min="6657" max="6657" width="9.5" style="2760" customWidth="1"/>
    <col min="6658" max="6658" width="8.875" style="2760"/>
    <col min="6659" max="6661" width="12.875" style="2760" customWidth="1"/>
    <col min="6662" max="6662" width="47.5" style="2760" customWidth="1"/>
    <col min="6663" max="6663" width="13" style="2760" customWidth="1"/>
    <col min="6664" max="6665" width="8.875" style="2760"/>
    <col min="6666" max="6666" width="5.75" style="2760" customWidth="1"/>
    <col min="6667" max="6667" width="11.75" style="2760" customWidth="1"/>
    <col min="6668" max="6669" width="10.75" style="2760" customWidth="1"/>
    <col min="6670" max="6670" width="10" style="2760" customWidth="1"/>
    <col min="6671" max="6672" width="10.5" style="2760" bestFit="1" customWidth="1"/>
    <col min="6673" max="6673" width="10" style="2760" customWidth="1"/>
    <col min="6674" max="6674" width="10.125" style="2760" customWidth="1"/>
    <col min="6675" max="6675" width="10" style="2760" customWidth="1"/>
    <col min="6676" max="6676" width="26.125" style="2760" customWidth="1"/>
    <col min="6677" max="6912" width="8.875" style="2760"/>
    <col min="6913" max="6913" width="9.5" style="2760" customWidth="1"/>
    <col min="6914" max="6914" width="8.875" style="2760"/>
    <col min="6915" max="6917" width="12.875" style="2760" customWidth="1"/>
    <col min="6918" max="6918" width="47.5" style="2760" customWidth="1"/>
    <col min="6919" max="6919" width="13" style="2760" customWidth="1"/>
    <col min="6920" max="6921" width="8.875" style="2760"/>
    <col min="6922" max="6922" width="5.75" style="2760" customWidth="1"/>
    <col min="6923" max="6923" width="11.75" style="2760" customWidth="1"/>
    <col min="6924" max="6925" width="10.75" style="2760" customWidth="1"/>
    <col min="6926" max="6926" width="10" style="2760" customWidth="1"/>
    <col min="6927" max="6928" width="10.5" style="2760" bestFit="1" customWidth="1"/>
    <col min="6929" max="6929" width="10" style="2760" customWidth="1"/>
    <col min="6930" max="6930" width="10.125" style="2760" customWidth="1"/>
    <col min="6931" max="6931" width="10" style="2760" customWidth="1"/>
    <col min="6932" max="6932" width="26.125" style="2760" customWidth="1"/>
    <col min="6933" max="7168" width="8.875" style="2760"/>
    <col min="7169" max="7169" width="9.5" style="2760" customWidth="1"/>
    <col min="7170" max="7170" width="8.875" style="2760"/>
    <col min="7171" max="7173" width="12.875" style="2760" customWidth="1"/>
    <col min="7174" max="7174" width="47.5" style="2760" customWidth="1"/>
    <col min="7175" max="7175" width="13" style="2760" customWidth="1"/>
    <col min="7176" max="7177" width="8.875" style="2760"/>
    <col min="7178" max="7178" width="5.75" style="2760" customWidth="1"/>
    <col min="7179" max="7179" width="11.75" style="2760" customWidth="1"/>
    <col min="7180" max="7181" width="10.75" style="2760" customWidth="1"/>
    <col min="7182" max="7182" width="10" style="2760" customWidth="1"/>
    <col min="7183" max="7184" width="10.5" style="2760" bestFit="1" customWidth="1"/>
    <col min="7185" max="7185" width="10" style="2760" customWidth="1"/>
    <col min="7186" max="7186" width="10.125" style="2760" customWidth="1"/>
    <col min="7187" max="7187" width="10" style="2760" customWidth="1"/>
    <col min="7188" max="7188" width="26.125" style="2760" customWidth="1"/>
    <col min="7189" max="7424" width="8.875" style="2760"/>
    <col min="7425" max="7425" width="9.5" style="2760" customWidth="1"/>
    <col min="7426" max="7426" width="8.875" style="2760"/>
    <col min="7427" max="7429" width="12.875" style="2760" customWidth="1"/>
    <col min="7430" max="7430" width="47.5" style="2760" customWidth="1"/>
    <col min="7431" max="7431" width="13" style="2760" customWidth="1"/>
    <col min="7432" max="7433" width="8.875" style="2760"/>
    <col min="7434" max="7434" width="5.75" style="2760" customWidth="1"/>
    <col min="7435" max="7435" width="11.75" style="2760" customWidth="1"/>
    <col min="7436" max="7437" width="10.75" style="2760" customWidth="1"/>
    <col min="7438" max="7438" width="10" style="2760" customWidth="1"/>
    <col min="7439" max="7440" width="10.5" style="2760" bestFit="1" customWidth="1"/>
    <col min="7441" max="7441" width="10" style="2760" customWidth="1"/>
    <col min="7442" max="7442" width="10.125" style="2760" customWidth="1"/>
    <col min="7443" max="7443" width="10" style="2760" customWidth="1"/>
    <col min="7444" max="7444" width="26.125" style="2760" customWidth="1"/>
    <col min="7445" max="7680" width="8.875" style="2760"/>
    <col min="7681" max="7681" width="9.5" style="2760" customWidth="1"/>
    <col min="7682" max="7682" width="8.875" style="2760"/>
    <col min="7683" max="7685" width="12.875" style="2760" customWidth="1"/>
    <col min="7686" max="7686" width="47.5" style="2760" customWidth="1"/>
    <col min="7687" max="7687" width="13" style="2760" customWidth="1"/>
    <col min="7688" max="7689" width="8.875" style="2760"/>
    <col min="7690" max="7690" width="5.75" style="2760" customWidth="1"/>
    <col min="7691" max="7691" width="11.75" style="2760" customWidth="1"/>
    <col min="7692" max="7693" width="10.75" style="2760" customWidth="1"/>
    <col min="7694" max="7694" width="10" style="2760" customWidth="1"/>
    <col min="7695" max="7696" width="10.5" style="2760" bestFit="1" customWidth="1"/>
    <col min="7697" max="7697" width="10" style="2760" customWidth="1"/>
    <col min="7698" max="7698" width="10.125" style="2760" customWidth="1"/>
    <col min="7699" max="7699" width="10" style="2760" customWidth="1"/>
    <col min="7700" max="7700" width="26.125" style="2760" customWidth="1"/>
    <col min="7701" max="7936" width="8.875" style="2760"/>
    <col min="7937" max="7937" width="9.5" style="2760" customWidth="1"/>
    <col min="7938" max="7938" width="8.875" style="2760"/>
    <col min="7939" max="7941" width="12.875" style="2760" customWidth="1"/>
    <col min="7942" max="7942" width="47.5" style="2760" customWidth="1"/>
    <col min="7943" max="7943" width="13" style="2760" customWidth="1"/>
    <col min="7944" max="7945" width="8.875" style="2760"/>
    <col min="7946" max="7946" width="5.75" style="2760" customWidth="1"/>
    <col min="7947" max="7947" width="11.75" style="2760" customWidth="1"/>
    <col min="7948" max="7949" width="10.75" style="2760" customWidth="1"/>
    <col min="7950" max="7950" width="10" style="2760" customWidth="1"/>
    <col min="7951" max="7952" width="10.5" style="2760" bestFit="1" customWidth="1"/>
    <col min="7953" max="7953" width="10" style="2760" customWidth="1"/>
    <col min="7954" max="7954" width="10.125" style="2760" customWidth="1"/>
    <col min="7955" max="7955" width="10" style="2760" customWidth="1"/>
    <col min="7956" max="7956" width="26.125" style="2760" customWidth="1"/>
    <col min="7957" max="8192" width="8.875" style="2760"/>
    <col min="8193" max="8193" width="9.5" style="2760" customWidth="1"/>
    <col min="8194" max="8194" width="8.875" style="2760"/>
    <col min="8195" max="8197" width="12.875" style="2760" customWidth="1"/>
    <col min="8198" max="8198" width="47.5" style="2760" customWidth="1"/>
    <col min="8199" max="8199" width="13" style="2760" customWidth="1"/>
    <col min="8200" max="8201" width="8.875" style="2760"/>
    <col min="8202" max="8202" width="5.75" style="2760" customWidth="1"/>
    <col min="8203" max="8203" width="11.75" style="2760" customWidth="1"/>
    <col min="8204" max="8205" width="10.75" style="2760" customWidth="1"/>
    <col min="8206" max="8206" width="10" style="2760" customWidth="1"/>
    <col min="8207" max="8208" width="10.5" style="2760" bestFit="1" customWidth="1"/>
    <col min="8209" max="8209" width="10" style="2760" customWidth="1"/>
    <col min="8210" max="8210" width="10.125" style="2760" customWidth="1"/>
    <col min="8211" max="8211" width="10" style="2760" customWidth="1"/>
    <col min="8212" max="8212" width="26.125" style="2760" customWidth="1"/>
    <col min="8213" max="8448" width="8.875" style="2760"/>
    <col min="8449" max="8449" width="9.5" style="2760" customWidth="1"/>
    <col min="8450" max="8450" width="8.875" style="2760"/>
    <col min="8451" max="8453" width="12.875" style="2760" customWidth="1"/>
    <col min="8454" max="8454" width="47.5" style="2760" customWidth="1"/>
    <col min="8455" max="8455" width="13" style="2760" customWidth="1"/>
    <col min="8456" max="8457" width="8.875" style="2760"/>
    <col min="8458" max="8458" width="5.75" style="2760" customWidth="1"/>
    <col min="8459" max="8459" width="11.75" style="2760" customWidth="1"/>
    <col min="8460" max="8461" width="10.75" style="2760" customWidth="1"/>
    <col min="8462" max="8462" width="10" style="2760" customWidth="1"/>
    <col min="8463" max="8464" width="10.5" style="2760" bestFit="1" customWidth="1"/>
    <col min="8465" max="8465" width="10" style="2760" customWidth="1"/>
    <col min="8466" max="8466" width="10.125" style="2760" customWidth="1"/>
    <col min="8467" max="8467" width="10" style="2760" customWidth="1"/>
    <col min="8468" max="8468" width="26.125" style="2760" customWidth="1"/>
    <col min="8469" max="8704" width="8.875" style="2760"/>
    <col min="8705" max="8705" width="9.5" style="2760" customWidth="1"/>
    <col min="8706" max="8706" width="8.875" style="2760"/>
    <col min="8707" max="8709" width="12.875" style="2760" customWidth="1"/>
    <col min="8710" max="8710" width="47.5" style="2760" customWidth="1"/>
    <col min="8711" max="8711" width="13" style="2760" customWidth="1"/>
    <col min="8712" max="8713" width="8.875" style="2760"/>
    <col min="8714" max="8714" width="5.75" style="2760" customWidth="1"/>
    <col min="8715" max="8715" width="11.75" style="2760" customWidth="1"/>
    <col min="8716" max="8717" width="10.75" style="2760" customWidth="1"/>
    <col min="8718" max="8718" width="10" style="2760" customWidth="1"/>
    <col min="8719" max="8720" width="10.5" style="2760" bestFit="1" customWidth="1"/>
    <col min="8721" max="8721" width="10" style="2760" customWidth="1"/>
    <col min="8722" max="8722" width="10.125" style="2760" customWidth="1"/>
    <col min="8723" max="8723" width="10" style="2760" customWidth="1"/>
    <col min="8724" max="8724" width="26.125" style="2760" customWidth="1"/>
    <col min="8725" max="8960" width="8.875" style="2760"/>
    <col min="8961" max="8961" width="9.5" style="2760" customWidth="1"/>
    <col min="8962" max="8962" width="8.875" style="2760"/>
    <col min="8963" max="8965" width="12.875" style="2760" customWidth="1"/>
    <col min="8966" max="8966" width="47.5" style="2760" customWidth="1"/>
    <col min="8967" max="8967" width="13" style="2760" customWidth="1"/>
    <col min="8968" max="8969" width="8.875" style="2760"/>
    <col min="8970" max="8970" width="5.75" style="2760" customWidth="1"/>
    <col min="8971" max="8971" width="11.75" style="2760" customWidth="1"/>
    <col min="8972" max="8973" width="10.75" style="2760" customWidth="1"/>
    <col min="8974" max="8974" width="10" style="2760" customWidth="1"/>
    <col min="8975" max="8976" width="10.5" style="2760" bestFit="1" customWidth="1"/>
    <col min="8977" max="8977" width="10" style="2760" customWidth="1"/>
    <col min="8978" max="8978" width="10.125" style="2760" customWidth="1"/>
    <col min="8979" max="8979" width="10" style="2760" customWidth="1"/>
    <col min="8980" max="8980" width="26.125" style="2760" customWidth="1"/>
    <col min="8981" max="9216" width="8.875" style="2760"/>
    <col min="9217" max="9217" width="9.5" style="2760" customWidth="1"/>
    <col min="9218" max="9218" width="8.875" style="2760"/>
    <col min="9219" max="9221" width="12.875" style="2760" customWidth="1"/>
    <col min="9222" max="9222" width="47.5" style="2760" customWidth="1"/>
    <col min="9223" max="9223" width="13" style="2760" customWidth="1"/>
    <col min="9224" max="9225" width="8.875" style="2760"/>
    <col min="9226" max="9226" width="5.75" style="2760" customWidth="1"/>
    <col min="9227" max="9227" width="11.75" style="2760" customWidth="1"/>
    <col min="9228" max="9229" width="10.75" style="2760" customWidth="1"/>
    <col min="9230" max="9230" width="10" style="2760" customWidth="1"/>
    <col min="9231" max="9232" width="10.5" style="2760" bestFit="1" customWidth="1"/>
    <col min="9233" max="9233" width="10" style="2760" customWidth="1"/>
    <col min="9234" max="9234" width="10.125" style="2760" customWidth="1"/>
    <col min="9235" max="9235" width="10" style="2760" customWidth="1"/>
    <col min="9236" max="9236" width="26.125" style="2760" customWidth="1"/>
    <col min="9237" max="9472" width="8.875" style="2760"/>
    <col min="9473" max="9473" width="9.5" style="2760" customWidth="1"/>
    <col min="9474" max="9474" width="8.875" style="2760"/>
    <col min="9475" max="9477" width="12.875" style="2760" customWidth="1"/>
    <col min="9478" max="9478" width="47.5" style="2760" customWidth="1"/>
    <col min="9479" max="9479" width="13" style="2760" customWidth="1"/>
    <col min="9480" max="9481" width="8.875" style="2760"/>
    <col min="9482" max="9482" width="5.75" style="2760" customWidth="1"/>
    <col min="9483" max="9483" width="11.75" style="2760" customWidth="1"/>
    <col min="9484" max="9485" width="10.75" style="2760" customWidth="1"/>
    <col min="9486" max="9486" width="10" style="2760" customWidth="1"/>
    <col min="9487" max="9488" width="10.5" style="2760" bestFit="1" customWidth="1"/>
    <col min="9489" max="9489" width="10" style="2760" customWidth="1"/>
    <col min="9490" max="9490" width="10.125" style="2760" customWidth="1"/>
    <col min="9491" max="9491" width="10" style="2760" customWidth="1"/>
    <col min="9492" max="9492" width="26.125" style="2760" customWidth="1"/>
    <col min="9493" max="9728" width="8.875" style="2760"/>
    <col min="9729" max="9729" width="9.5" style="2760" customWidth="1"/>
    <col min="9730" max="9730" width="8.875" style="2760"/>
    <col min="9731" max="9733" width="12.875" style="2760" customWidth="1"/>
    <col min="9734" max="9734" width="47.5" style="2760" customWidth="1"/>
    <col min="9735" max="9735" width="13" style="2760" customWidth="1"/>
    <col min="9736" max="9737" width="8.875" style="2760"/>
    <col min="9738" max="9738" width="5.75" style="2760" customWidth="1"/>
    <col min="9739" max="9739" width="11.75" style="2760" customWidth="1"/>
    <col min="9740" max="9741" width="10.75" style="2760" customWidth="1"/>
    <col min="9742" max="9742" width="10" style="2760" customWidth="1"/>
    <col min="9743" max="9744" width="10.5" style="2760" bestFit="1" customWidth="1"/>
    <col min="9745" max="9745" width="10" style="2760" customWidth="1"/>
    <col min="9746" max="9746" width="10.125" style="2760" customWidth="1"/>
    <col min="9747" max="9747" width="10" style="2760" customWidth="1"/>
    <col min="9748" max="9748" width="26.125" style="2760" customWidth="1"/>
    <col min="9749" max="9984" width="8.875" style="2760"/>
    <col min="9985" max="9985" width="9.5" style="2760" customWidth="1"/>
    <col min="9986" max="9986" width="8.875" style="2760"/>
    <col min="9987" max="9989" width="12.875" style="2760" customWidth="1"/>
    <col min="9990" max="9990" width="47.5" style="2760" customWidth="1"/>
    <col min="9991" max="9991" width="13" style="2760" customWidth="1"/>
    <col min="9992" max="9993" width="8.875" style="2760"/>
    <col min="9994" max="9994" width="5.75" style="2760" customWidth="1"/>
    <col min="9995" max="9995" width="11.75" style="2760" customWidth="1"/>
    <col min="9996" max="9997" width="10.75" style="2760" customWidth="1"/>
    <col min="9998" max="9998" width="10" style="2760" customWidth="1"/>
    <col min="9999" max="10000" width="10.5" style="2760" bestFit="1" customWidth="1"/>
    <col min="10001" max="10001" width="10" style="2760" customWidth="1"/>
    <col min="10002" max="10002" width="10.125" style="2760" customWidth="1"/>
    <col min="10003" max="10003" width="10" style="2760" customWidth="1"/>
    <col min="10004" max="10004" width="26.125" style="2760" customWidth="1"/>
    <col min="10005" max="10240" width="8.875" style="2760"/>
    <col min="10241" max="10241" width="9.5" style="2760" customWidth="1"/>
    <col min="10242" max="10242" width="8.875" style="2760"/>
    <col min="10243" max="10245" width="12.875" style="2760" customWidth="1"/>
    <col min="10246" max="10246" width="47.5" style="2760" customWidth="1"/>
    <col min="10247" max="10247" width="13" style="2760" customWidth="1"/>
    <col min="10248" max="10249" width="8.875" style="2760"/>
    <col min="10250" max="10250" width="5.75" style="2760" customWidth="1"/>
    <col min="10251" max="10251" width="11.75" style="2760" customWidth="1"/>
    <col min="10252" max="10253" width="10.75" style="2760" customWidth="1"/>
    <col min="10254" max="10254" width="10" style="2760" customWidth="1"/>
    <col min="10255" max="10256" width="10.5" style="2760" bestFit="1" customWidth="1"/>
    <col min="10257" max="10257" width="10" style="2760" customWidth="1"/>
    <col min="10258" max="10258" width="10.125" style="2760" customWidth="1"/>
    <col min="10259" max="10259" width="10" style="2760" customWidth="1"/>
    <col min="10260" max="10260" width="26.125" style="2760" customWidth="1"/>
    <col min="10261" max="10496" width="8.875" style="2760"/>
    <col min="10497" max="10497" width="9.5" style="2760" customWidth="1"/>
    <col min="10498" max="10498" width="8.875" style="2760"/>
    <col min="10499" max="10501" width="12.875" style="2760" customWidth="1"/>
    <col min="10502" max="10502" width="47.5" style="2760" customWidth="1"/>
    <col min="10503" max="10503" width="13" style="2760" customWidth="1"/>
    <col min="10504" max="10505" width="8.875" style="2760"/>
    <col min="10506" max="10506" width="5.75" style="2760" customWidth="1"/>
    <col min="10507" max="10507" width="11.75" style="2760" customWidth="1"/>
    <col min="10508" max="10509" width="10.75" style="2760" customWidth="1"/>
    <col min="10510" max="10510" width="10" style="2760" customWidth="1"/>
    <col min="10511" max="10512" width="10.5" style="2760" bestFit="1" customWidth="1"/>
    <col min="10513" max="10513" width="10" style="2760" customWidth="1"/>
    <col min="10514" max="10514" width="10.125" style="2760" customWidth="1"/>
    <col min="10515" max="10515" width="10" style="2760" customWidth="1"/>
    <col min="10516" max="10516" width="26.125" style="2760" customWidth="1"/>
    <col min="10517" max="10752" width="8.875" style="2760"/>
    <col min="10753" max="10753" width="9.5" style="2760" customWidth="1"/>
    <col min="10754" max="10754" width="8.875" style="2760"/>
    <col min="10755" max="10757" width="12.875" style="2760" customWidth="1"/>
    <col min="10758" max="10758" width="47.5" style="2760" customWidth="1"/>
    <col min="10759" max="10759" width="13" style="2760" customWidth="1"/>
    <col min="10760" max="10761" width="8.875" style="2760"/>
    <col min="10762" max="10762" width="5.75" style="2760" customWidth="1"/>
    <col min="10763" max="10763" width="11.75" style="2760" customWidth="1"/>
    <col min="10764" max="10765" width="10.75" style="2760" customWidth="1"/>
    <col min="10766" max="10766" width="10" style="2760" customWidth="1"/>
    <col min="10767" max="10768" width="10.5" style="2760" bestFit="1" customWidth="1"/>
    <col min="10769" max="10769" width="10" style="2760" customWidth="1"/>
    <col min="10770" max="10770" width="10.125" style="2760" customWidth="1"/>
    <col min="10771" max="10771" width="10" style="2760" customWidth="1"/>
    <col min="10772" max="10772" width="26.125" style="2760" customWidth="1"/>
    <col min="10773" max="11008" width="8.875" style="2760"/>
    <col min="11009" max="11009" width="9.5" style="2760" customWidth="1"/>
    <col min="11010" max="11010" width="8.875" style="2760"/>
    <col min="11011" max="11013" width="12.875" style="2760" customWidth="1"/>
    <col min="11014" max="11014" width="47.5" style="2760" customWidth="1"/>
    <col min="11015" max="11015" width="13" style="2760" customWidth="1"/>
    <col min="11016" max="11017" width="8.875" style="2760"/>
    <col min="11018" max="11018" width="5.75" style="2760" customWidth="1"/>
    <col min="11019" max="11019" width="11.75" style="2760" customWidth="1"/>
    <col min="11020" max="11021" width="10.75" style="2760" customWidth="1"/>
    <col min="11022" max="11022" width="10" style="2760" customWidth="1"/>
    <col min="11023" max="11024" width="10.5" style="2760" bestFit="1" customWidth="1"/>
    <col min="11025" max="11025" width="10" style="2760" customWidth="1"/>
    <col min="11026" max="11026" width="10.125" style="2760" customWidth="1"/>
    <col min="11027" max="11027" width="10" style="2760" customWidth="1"/>
    <col min="11028" max="11028" width="26.125" style="2760" customWidth="1"/>
    <col min="11029" max="11264" width="8.875" style="2760"/>
    <col min="11265" max="11265" width="9.5" style="2760" customWidth="1"/>
    <col min="11266" max="11266" width="8.875" style="2760"/>
    <col min="11267" max="11269" width="12.875" style="2760" customWidth="1"/>
    <col min="11270" max="11270" width="47.5" style="2760" customWidth="1"/>
    <col min="11271" max="11271" width="13" style="2760" customWidth="1"/>
    <col min="11272" max="11273" width="8.875" style="2760"/>
    <col min="11274" max="11274" width="5.75" style="2760" customWidth="1"/>
    <col min="11275" max="11275" width="11.75" style="2760" customWidth="1"/>
    <col min="11276" max="11277" width="10.75" style="2760" customWidth="1"/>
    <col min="11278" max="11278" width="10" style="2760" customWidth="1"/>
    <col min="11279" max="11280" width="10.5" style="2760" bestFit="1" customWidth="1"/>
    <col min="11281" max="11281" width="10" style="2760" customWidth="1"/>
    <col min="11282" max="11282" width="10.125" style="2760" customWidth="1"/>
    <col min="11283" max="11283" width="10" style="2760" customWidth="1"/>
    <col min="11284" max="11284" width="26.125" style="2760" customWidth="1"/>
    <col min="11285" max="11520" width="8.875" style="2760"/>
    <col min="11521" max="11521" width="9.5" style="2760" customWidth="1"/>
    <col min="11522" max="11522" width="8.875" style="2760"/>
    <col min="11523" max="11525" width="12.875" style="2760" customWidth="1"/>
    <col min="11526" max="11526" width="47.5" style="2760" customWidth="1"/>
    <col min="11527" max="11527" width="13" style="2760" customWidth="1"/>
    <col min="11528" max="11529" width="8.875" style="2760"/>
    <col min="11530" max="11530" width="5.75" style="2760" customWidth="1"/>
    <col min="11531" max="11531" width="11.75" style="2760" customWidth="1"/>
    <col min="11532" max="11533" width="10.75" style="2760" customWidth="1"/>
    <col min="11534" max="11534" width="10" style="2760" customWidth="1"/>
    <col min="11535" max="11536" width="10.5" style="2760" bestFit="1" customWidth="1"/>
    <col min="11537" max="11537" width="10" style="2760" customWidth="1"/>
    <col min="11538" max="11538" width="10.125" style="2760" customWidth="1"/>
    <col min="11539" max="11539" width="10" style="2760" customWidth="1"/>
    <col min="11540" max="11540" width="26.125" style="2760" customWidth="1"/>
    <col min="11541" max="11776" width="8.875" style="2760"/>
    <col min="11777" max="11777" width="9.5" style="2760" customWidth="1"/>
    <col min="11778" max="11778" width="8.875" style="2760"/>
    <col min="11779" max="11781" width="12.875" style="2760" customWidth="1"/>
    <col min="11782" max="11782" width="47.5" style="2760" customWidth="1"/>
    <col min="11783" max="11783" width="13" style="2760" customWidth="1"/>
    <col min="11784" max="11785" width="8.875" style="2760"/>
    <col min="11786" max="11786" width="5.75" style="2760" customWidth="1"/>
    <col min="11787" max="11787" width="11.75" style="2760" customWidth="1"/>
    <col min="11788" max="11789" width="10.75" style="2760" customWidth="1"/>
    <col min="11790" max="11790" width="10" style="2760" customWidth="1"/>
    <col min="11791" max="11792" width="10.5" style="2760" bestFit="1" customWidth="1"/>
    <col min="11793" max="11793" width="10" style="2760" customWidth="1"/>
    <col min="11794" max="11794" width="10.125" style="2760" customWidth="1"/>
    <col min="11795" max="11795" width="10" style="2760" customWidth="1"/>
    <col min="11796" max="11796" width="26.125" style="2760" customWidth="1"/>
    <col min="11797" max="12032" width="8.875" style="2760"/>
    <col min="12033" max="12033" width="9.5" style="2760" customWidth="1"/>
    <col min="12034" max="12034" width="8.875" style="2760"/>
    <col min="12035" max="12037" width="12.875" style="2760" customWidth="1"/>
    <col min="12038" max="12038" width="47.5" style="2760" customWidth="1"/>
    <col min="12039" max="12039" width="13" style="2760" customWidth="1"/>
    <col min="12040" max="12041" width="8.875" style="2760"/>
    <col min="12042" max="12042" width="5.75" style="2760" customWidth="1"/>
    <col min="12043" max="12043" width="11.75" style="2760" customWidth="1"/>
    <col min="12044" max="12045" width="10.75" style="2760" customWidth="1"/>
    <col min="12046" max="12046" width="10" style="2760" customWidth="1"/>
    <col min="12047" max="12048" width="10.5" style="2760" bestFit="1" customWidth="1"/>
    <col min="12049" max="12049" width="10" style="2760" customWidth="1"/>
    <col min="12050" max="12050" width="10.125" style="2760" customWidth="1"/>
    <col min="12051" max="12051" width="10" style="2760" customWidth="1"/>
    <col min="12052" max="12052" width="26.125" style="2760" customWidth="1"/>
    <col min="12053" max="12288" width="8.875" style="2760"/>
    <col min="12289" max="12289" width="9.5" style="2760" customWidth="1"/>
    <col min="12290" max="12290" width="8.875" style="2760"/>
    <col min="12291" max="12293" width="12.875" style="2760" customWidth="1"/>
    <col min="12294" max="12294" width="47.5" style="2760" customWidth="1"/>
    <col min="12295" max="12295" width="13" style="2760" customWidth="1"/>
    <col min="12296" max="12297" width="8.875" style="2760"/>
    <col min="12298" max="12298" width="5.75" style="2760" customWidth="1"/>
    <col min="12299" max="12299" width="11.75" style="2760" customWidth="1"/>
    <col min="12300" max="12301" width="10.75" style="2760" customWidth="1"/>
    <col min="12302" max="12302" width="10" style="2760" customWidth="1"/>
    <col min="12303" max="12304" width="10.5" style="2760" bestFit="1" customWidth="1"/>
    <col min="12305" max="12305" width="10" style="2760" customWidth="1"/>
    <col min="12306" max="12306" width="10.125" style="2760" customWidth="1"/>
    <col min="12307" max="12307" width="10" style="2760" customWidth="1"/>
    <col min="12308" max="12308" width="26.125" style="2760" customWidth="1"/>
    <col min="12309" max="12544" width="8.875" style="2760"/>
    <col min="12545" max="12545" width="9.5" style="2760" customWidth="1"/>
    <col min="12546" max="12546" width="8.875" style="2760"/>
    <col min="12547" max="12549" width="12.875" style="2760" customWidth="1"/>
    <col min="12550" max="12550" width="47.5" style="2760" customWidth="1"/>
    <col min="12551" max="12551" width="13" style="2760" customWidth="1"/>
    <col min="12552" max="12553" width="8.875" style="2760"/>
    <col min="12554" max="12554" width="5.75" style="2760" customWidth="1"/>
    <col min="12555" max="12555" width="11.75" style="2760" customWidth="1"/>
    <col min="12556" max="12557" width="10.75" style="2760" customWidth="1"/>
    <col min="12558" max="12558" width="10" style="2760" customWidth="1"/>
    <col min="12559" max="12560" width="10.5" style="2760" bestFit="1" customWidth="1"/>
    <col min="12561" max="12561" width="10" style="2760" customWidth="1"/>
    <col min="12562" max="12562" width="10.125" style="2760" customWidth="1"/>
    <col min="12563" max="12563" width="10" style="2760" customWidth="1"/>
    <col min="12564" max="12564" width="26.125" style="2760" customWidth="1"/>
    <col min="12565" max="12800" width="8.875" style="2760"/>
    <col min="12801" max="12801" width="9.5" style="2760" customWidth="1"/>
    <col min="12802" max="12802" width="8.875" style="2760"/>
    <col min="12803" max="12805" width="12.875" style="2760" customWidth="1"/>
    <col min="12806" max="12806" width="47.5" style="2760" customWidth="1"/>
    <col min="12807" max="12807" width="13" style="2760" customWidth="1"/>
    <col min="12808" max="12809" width="8.875" style="2760"/>
    <col min="12810" max="12810" width="5.75" style="2760" customWidth="1"/>
    <col min="12811" max="12811" width="11.75" style="2760" customWidth="1"/>
    <col min="12812" max="12813" width="10.75" style="2760" customWidth="1"/>
    <col min="12814" max="12814" width="10" style="2760" customWidth="1"/>
    <col min="12815" max="12816" width="10.5" style="2760" bestFit="1" customWidth="1"/>
    <col min="12817" max="12817" width="10" style="2760" customWidth="1"/>
    <col min="12818" max="12818" width="10.125" style="2760" customWidth="1"/>
    <col min="12819" max="12819" width="10" style="2760" customWidth="1"/>
    <col min="12820" max="12820" width="26.125" style="2760" customWidth="1"/>
    <col min="12821" max="13056" width="8.875" style="2760"/>
    <col min="13057" max="13057" width="9.5" style="2760" customWidth="1"/>
    <col min="13058" max="13058" width="8.875" style="2760"/>
    <col min="13059" max="13061" width="12.875" style="2760" customWidth="1"/>
    <col min="13062" max="13062" width="47.5" style="2760" customWidth="1"/>
    <col min="13063" max="13063" width="13" style="2760" customWidth="1"/>
    <col min="13064" max="13065" width="8.875" style="2760"/>
    <col min="13066" max="13066" width="5.75" style="2760" customWidth="1"/>
    <col min="13067" max="13067" width="11.75" style="2760" customWidth="1"/>
    <col min="13068" max="13069" width="10.75" style="2760" customWidth="1"/>
    <col min="13070" max="13070" width="10" style="2760" customWidth="1"/>
    <col min="13071" max="13072" width="10.5" style="2760" bestFit="1" customWidth="1"/>
    <col min="13073" max="13073" width="10" style="2760" customWidth="1"/>
    <col min="13074" max="13074" width="10.125" style="2760" customWidth="1"/>
    <col min="13075" max="13075" width="10" style="2760" customWidth="1"/>
    <col min="13076" max="13076" width="26.125" style="2760" customWidth="1"/>
    <col min="13077" max="13312" width="8.875" style="2760"/>
    <col min="13313" max="13313" width="9.5" style="2760" customWidth="1"/>
    <col min="13314" max="13314" width="8.875" style="2760"/>
    <col min="13315" max="13317" width="12.875" style="2760" customWidth="1"/>
    <col min="13318" max="13318" width="47.5" style="2760" customWidth="1"/>
    <col min="13319" max="13319" width="13" style="2760" customWidth="1"/>
    <col min="13320" max="13321" width="8.875" style="2760"/>
    <col min="13322" max="13322" width="5.75" style="2760" customWidth="1"/>
    <col min="13323" max="13323" width="11.75" style="2760" customWidth="1"/>
    <col min="13324" max="13325" width="10.75" style="2760" customWidth="1"/>
    <col min="13326" max="13326" width="10" style="2760" customWidth="1"/>
    <col min="13327" max="13328" width="10.5" style="2760" bestFit="1" customWidth="1"/>
    <col min="13329" max="13329" width="10" style="2760" customWidth="1"/>
    <col min="13330" max="13330" width="10.125" style="2760" customWidth="1"/>
    <col min="13331" max="13331" width="10" style="2760" customWidth="1"/>
    <col min="13332" max="13332" width="26.125" style="2760" customWidth="1"/>
    <col min="13333" max="13568" width="8.875" style="2760"/>
    <col min="13569" max="13569" width="9.5" style="2760" customWidth="1"/>
    <col min="13570" max="13570" width="8.875" style="2760"/>
    <col min="13571" max="13573" width="12.875" style="2760" customWidth="1"/>
    <col min="13574" max="13574" width="47.5" style="2760" customWidth="1"/>
    <col min="13575" max="13575" width="13" style="2760" customWidth="1"/>
    <col min="13576" max="13577" width="8.875" style="2760"/>
    <col min="13578" max="13578" width="5.75" style="2760" customWidth="1"/>
    <col min="13579" max="13579" width="11.75" style="2760" customWidth="1"/>
    <col min="13580" max="13581" width="10.75" style="2760" customWidth="1"/>
    <col min="13582" max="13582" width="10" style="2760" customWidth="1"/>
    <col min="13583" max="13584" width="10.5" style="2760" bestFit="1" customWidth="1"/>
    <col min="13585" max="13585" width="10" style="2760" customWidth="1"/>
    <col min="13586" max="13586" width="10.125" style="2760" customWidth="1"/>
    <col min="13587" max="13587" width="10" style="2760" customWidth="1"/>
    <col min="13588" max="13588" width="26.125" style="2760" customWidth="1"/>
    <col min="13589" max="13824" width="8.875" style="2760"/>
    <col min="13825" max="13825" width="9.5" style="2760" customWidth="1"/>
    <col min="13826" max="13826" width="8.875" style="2760"/>
    <col min="13827" max="13829" width="12.875" style="2760" customWidth="1"/>
    <col min="13830" max="13830" width="47.5" style="2760" customWidth="1"/>
    <col min="13831" max="13831" width="13" style="2760" customWidth="1"/>
    <col min="13832" max="13833" width="8.875" style="2760"/>
    <col min="13834" max="13834" width="5.75" style="2760" customWidth="1"/>
    <col min="13835" max="13835" width="11.75" style="2760" customWidth="1"/>
    <col min="13836" max="13837" width="10.75" style="2760" customWidth="1"/>
    <col min="13838" max="13838" width="10" style="2760" customWidth="1"/>
    <col min="13839" max="13840" width="10.5" style="2760" bestFit="1" customWidth="1"/>
    <col min="13841" max="13841" width="10" style="2760" customWidth="1"/>
    <col min="13842" max="13842" width="10.125" style="2760" customWidth="1"/>
    <col min="13843" max="13843" width="10" style="2760" customWidth="1"/>
    <col min="13844" max="13844" width="26.125" style="2760" customWidth="1"/>
    <col min="13845" max="14080" width="8.875" style="2760"/>
    <col min="14081" max="14081" width="9.5" style="2760" customWidth="1"/>
    <col min="14082" max="14082" width="8.875" style="2760"/>
    <col min="14083" max="14085" width="12.875" style="2760" customWidth="1"/>
    <col min="14086" max="14086" width="47.5" style="2760" customWidth="1"/>
    <col min="14087" max="14087" width="13" style="2760" customWidth="1"/>
    <col min="14088" max="14089" width="8.875" style="2760"/>
    <col min="14090" max="14090" width="5.75" style="2760" customWidth="1"/>
    <col min="14091" max="14091" width="11.75" style="2760" customWidth="1"/>
    <col min="14092" max="14093" width="10.75" style="2760" customWidth="1"/>
    <col min="14094" max="14094" width="10" style="2760" customWidth="1"/>
    <col min="14095" max="14096" width="10.5" style="2760" bestFit="1" customWidth="1"/>
    <col min="14097" max="14097" width="10" style="2760" customWidth="1"/>
    <col min="14098" max="14098" width="10.125" style="2760" customWidth="1"/>
    <col min="14099" max="14099" width="10" style="2760" customWidth="1"/>
    <col min="14100" max="14100" width="26.125" style="2760" customWidth="1"/>
    <col min="14101" max="14336" width="8.875" style="2760"/>
    <col min="14337" max="14337" width="9.5" style="2760" customWidth="1"/>
    <col min="14338" max="14338" width="8.875" style="2760"/>
    <col min="14339" max="14341" width="12.875" style="2760" customWidth="1"/>
    <col min="14342" max="14342" width="47.5" style="2760" customWidth="1"/>
    <col min="14343" max="14343" width="13" style="2760" customWidth="1"/>
    <col min="14344" max="14345" width="8.875" style="2760"/>
    <col min="14346" max="14346" width="5.75" style="2760" customWidth="1"/>
    <col min="14347" max="14347" width="11.75" style="2760" customWidth="1"/>
    <col min="14348" max="14349" width="10.75" style="2760" customWidth="1"/>
    <col min="14350" max="14350" width="10" style="2760" customWidth="1"/>
    <col min="14351" max="14352" width="10.5" style="2760" bestFit="1" customWidth="1"/>
    <col min="14353" max="14353" width="10" style="2760" customWidth="1"/>
    <col min="14354" max="14354" width="10.125" style="2760" customWidth="1"/>
    <col min="14355" max="14355" width="10" style="2760" customWidth="1"/>
    <col min="14356" max="14356" width="26.125" style="2760" customWidth="1"/>
    <col min="14357" max="14592" width="8.875" style="2760"/>
    <col min="14593" max="14593" width="9.5" style="2760" customWidth="1"/>
    <col min="14594" max="14594" width="8.875" style="2760"/>
    <col min="14595" max="14597" width="12.875" style="2760" customWidth="1"/>
    <col min="14598" max="14598" width="47.5" style="2760" customWidth="1"/>
    <col min="14599" max="14599" width="13" style="2760" customWidth="1"/>
    <col min="14600" max="14601" width="8.875" style="2760"/>
    <col min="14602" max="14602" width="5.75" style="2760" customWidth="1"/>
    <col min="14603" max="14603" width="11.75" style="2760" customWidth="1"/>
    <col min="14604" max="14605" width="10.75" style="2760" customWidth="1"/>
    <col min="14606" max="14606" width="10" style="2760" customWidth="1"/>
    <col min="14607" max="14608" width="10.5" style="2760" bestFit="1" customWidth="1"/>
    <col min="14609" max="14609" width="10" style="2760" customWidth="1"/>
    <col min="14610" max="14610" width="10.125" style="2760" customWidth="1"/>
    <col min="14611" max="14611" width="10" style="2760" customWidth="1"/>
    <col min="14612" max="14612" width="26.125" style="2760" customWidth="1"/>
    <col min="14613" max="14848" width="8.875" style="2760"/>
    <col min="14849" max="14849" width="9.5" style="2760" customWidth="1"/>
    <col min="14850" max="14850" width="8.875" style="2760"/>
    <col min="14851" max="14853" width="12.875" style="2760" customWidth="1"/>
    <col min="14854" max="14854" width="47.5" style="2760" customWidth="1"/>
    <col min="14855" max="14855" width="13" style="2760" customWidth="1"/>
    <col min="14856" max="14857" width="8.875" style="2760"/>
    <col min="14858" max="14858" width="5.75" style="2760" customWidth="1"/>
    <col min="14859" max="14859" width="11.75" style="2760" customWidth="1"/>
    <col min="14860" max="14861" width="10.75" style="2760" customWidth="1"/>
    <col min="14862" max="14862" width="10" style="2760" customWidth="1"/>
    <col min="14863" max="14864" width="10.5" style="2760" bestFit="1" customWidth="1"/>
    <col min="14865" max="14865" width="10" style="2760" customWidth="1"/>
    <col min="14866" max="14866" width="10.125" style="2760" customWidth="1"/>
    <col min="14867" max="14867" width="10" style="2760" customWidth="1"/>
    <col min="14868" max="14868" width="26.125" style="2760" customWidth="1"/>
    <col min="14869" max="15104" width="8.875" style="2760"/>
    <col min="15105" max="15105" width="9.5" style="2760" customWidth="1"/>
    <col min="15106" max="15106" width="8.875" style="2760"/>
    <col min="15107" max="15109" width="12.875" style="2760" customWidth="1"/>
    <col min="15110" max="15110" width="47.5" style="2760" customWidth="1"/>
    <col min="15111" max="15111" width="13" style="2760" customWidth="1"/>
    <col min="15112" max="15113" width="8.875" style="2760"/>
    <col min="15114" max="15114" width="5.75" style="2760" customWidth="1"/>
    <col min="15115" max="15115" width="11.75" style="2760" customWidth="1"/>
    <col min="15116" max="15117" width="10.75" style="2760" customWidth="1"/>
    <col min="15118" max="15118" width="10" style="2760" customWidth="1"/>
    <col min="15119" max="15120" width="10.5" style="2760" bestFit="1" customWidth="1"/>
    <col min="15121" max="15121" width="10" style="2760" customWidth="1"/>
    <col min="15122" max="15122" width="10.125" style="2760" customWidth="1"/>
    <col min="15123" max="15123" width="10" style="2760" customWidth="1"/>
    <col min="15124" max="15124" width="26.125" style="2760" customWidth="1"/>
    <col min="15125" max="15360" width="8.875" style="2760"/>
    <col min="15361" max="15361" width="9.5" style="2760" customWidth="1"/>
    <col min="15362" max="15362" width="8.875" style="2760"/>
    <col min="15363" max="15365" width="12.875" style="2760" customWidth="1"/>
    <col min="15366" max="15366" width="47.5" style="2760" customWidth="1"/>
    <col min="15367" max="15367" width="13" style="2760" customWidth="1"/>
    <col min="15368" max="15369" width="8.875" style="2760"/>
    <col min="15370" max="15370" width="5.75" style="2760" customWidth="1"/>
    <col min="15371" max="15371" width="11.75" style="2760" customWidth="1"/>
    <col min="15372" max="15373" width="10.75" style="2760" customWidth="1"/>
    <col min="15374" max="15374" width="10" style="2760" customWidth="1"/>
    <col min="15375" max="15376" width="10.5" style="2760" bestFit="1" customWidth="1"/>
    <col min="15377" max="15377" width="10" style="2760" customWidth="1"/>
    <col min="15378" max="15378" width="10.125" style="2760" customWidth="1"/>
    <col min="15379" max="15379" width="10" style="2760" customWidth="1"/>
    <col min="15380" max="15380" width="26.125" style="2760" customWidth="1"/>
    <col min="15381" max="15616" width="8.875" style="2760"/>
    <col min="15617" max="15617" width="9.5" style="2760" customWidth="1"/>
    <col min="15618" max="15618" width="8.875" style="2760"/>
    <col min="15619" max="15621" width="12.875" style="2760" customWidth="1"/>
    <col min="15622" max="15622" width="47.5" style="2760" customWidth="1"/>
    <col min="15623" max="15623" width="13" style="2760" customWidth="1"/>
    <col min="15624" max="15625" width="8.875" style="2760"/>
    <col min="15626" max="15626" width="5.75" style="2760" customWidth="1"/>
    <col min="15627" max="15627" width="11.75" style="2760" customWidth="1"/>
    <col min="15628" max="15629" width="10.75" style="2760" customWidth="1"/>
    <col min="15630" max="15630" width="10" style="2760" customWidth="1"/>
    <col min="15631" max="15632" width="10.5" style="2760" bestFit="1" customWidth="1"/>
    <col min="15633" max="15633" width="10" style="2760" customWidth="1"/>
    <col min="15634" max="15634" width="10.125" style="2760" customWidth="1"/>
    <col min="15635" max="15635" width="10" style="2760" customWidth="1"/>
    <col min="15636" max="15636" width="26.125" style="2760" customWidth="1"/>
    <col min="15637" max="15872" width="8.875" style="2760"/>
    <col min="15873" max="15873" width="9.5" style="2760" customWidth="1"/>
    <col min="15874" max="15874" width="8.875" style="2760"/>
    <col min="15875" max="15877" width="12.875" style="2760" customWidth="1"/>
    <col min="15878" max="15878" width="47.5" style="2760" customWidth="1"/>
    <col min="15879" max="15879" width="13" style="2760" customWidth="1"/>
    <col min="15880" max="15881" width="8.875" style="2760"/>
    <col min="15882" max="15882" width="5.75" style="2760" customWidth="1"/>
    <col min="15883" max="15883" width="11.75" style="2760" customWidth="1"/>
    <col min="15884" max="15885" width="10.75" style="2760" customWidth="1"/>
    <col min="15886" max="15886" width="10" style="2760" customWidth="1"/>
    <col min="15887" max="15888" width="10.5" style="2760" bestFit="1" customWidth="1"/>
    <col min="15889" max="15889" width="10" style="2760" customWidth="1"/>
    <col min="15890" max="15890" width="10.125" style="2760" customWidth="1"/>
    <col min="15891" max="15891" width="10" style="2760" customWidth="1"/>
    <col min="15892" max="15892" width="26.125" style="2760" customWidth="1"/>
    <col min="15893" max="16128" width="8.875" style="2760"/>
    <col min="16129" max="16129" width="9.5" style="2760" customWidth="1"/>
    <col min="16130" max="16130" width="8.875" style="2760"/>
    <col min="16131" max="16133" width="12.875" style="2760" customWidth="1"/>
    <col min="16134" max="16134" width="47.5" style="2760" customWidth="1"/>
    <col min="16135" max="16135" width="13" style="2760" customWidth="1"/>
    <col min="16136" max="16137" width="8.875" style="2760"/>
    <col min="16138" max="16138" width="5.75" style="2760" customWidth="1"/>
    <col min="16139" max="16139" width="11.75" style="2760" customWidth="1"/>
    <col min="16140" max="16141" width="10.75" style="2760" customWidth="1"/>
    <col min="16142" max="16142" width="10" style="2760" customWidth="1"/>
    <col min="16143" max="16144" width="10.5" style="2760" bestFit="1" customWidth="1"/>
    <col min="16145" max="16145" width="10" style="2760" customWidth="1"/>
    <col min="16146" max="16146" width="10.125" style="2760" customWidth="1"/>
    <col min="16147" max="16147" width="10" style="2760" customWidth="1"/>
    <col min="16148" max="16148" width="26.125" style="2760" customWidth="1"/>
    <col min="16149" max="16384" width="8.875" style="2760"/>
  </cols>
  <sheetData>
    <row r="1" spans="1:22" ht="21" customHeight="1">
      <c r="A1" s="2749" t="s">
        <v>2936</v>
      </c>
      <c r="B1" s="2750"/>
      <c r="C1" s="2762"/>
      <c r="D1" s="2762"/>
      <c r="E1" s="2751"/>
      <c r="F1" s="2752"/>
      <c r="G1" s="2753"/>
      <c r="J1" s="2756" t="s">
        <v>2815</v>
      </c>
      <c r="K1" s="2757"/>
      <c r="L1" s="2757"/>
      <c r="M1" s="2757"/>
      <c r="N1" s="2757"/>
      <c r="O1" s="2757"/>
      <c r="P1" s="2757"/>
      <c r="Q1" s="2757"/>
      <c r="R1" s="2758"/>
      <c r="S1" s="2759"/>
      <c r="T1" s="2759"/>
      <c r="U1" s="2759"/>
    </row>
    <row r="2" spans="1:22" s="2771" customFormat="1" ht="13.15" customHeight="1">
      <c r="A2" s="1422" t="s">
        <v>2816</v>
      </c>
      <c r="B2" s="2761" t="e">
        <f>C40</f>
        <v>#DIV/0!</v>
      </c>
      <c r="C2" s="2762" t="s">
        <v>2817</v>
      </c>
      <c r="D2" s="2762"/>
      <c r="E2" s="2763"/>
      <c r="F2" s="2764"/>
      <c r="G2" s="2765"/>
      <c r="H2" s="2766"/>
      <c r="I2" s="2767"/>
      <c r="J2" s="3280" t="s">
        <v>2818</v>
      </c>
      <c r="K2" s="3281"/>
      <c r="L2" s="2768" t="s">
        <v>2819</v>
      </c>
      <c r="M2" s="2768" t="s">
        <v>2820</v>
      </c>
      <c r="N2" s="2768" t="s">
        <v>2821</v>
      </c>
      <c r="O2" s="2768" t="s">
        <v>2822</v>
      </c>
      <c r="P2" s="2768" t="s">
        <v>2823</v>
      </c>
      <c r="Q2" s="2769" t="s">
        <v>2824</v>
      </c>
      <c r="R2" s="2770" t="s">
        <v>2825</v>
      </c>
      <c r="S2" s="2759"/>
      <c r="T2" s="2759"/>
      <c r="U2" s="2759"/>
      <c r="V2" s="2767"/>
    </row>
    <row r="3" spans="1:22" s="2771" customFormat="1" ht="13.15" customHeight="1">
      <c r="A3" s="2772" t="s">
        <v>2826</v>
      </c>
      <c r="B3" s="2773" t="e">
        <f>ROUND(B2*10000/B4,0)</f>
        <v>#DIV/0!</v>
      </c>
      <c r="C3" s="2762" t="s">
        <v>2827</v>
      </c>
      <c r="D3" s="2762"/>
      <c r="E3" s="2763"/>
      <c r="F3" s="2764"/>
      <c r="G3" s="2765"/>
      <c r="H3" s="2766"/>
      <c r="I3" s="2767"/>
      <c r="J3" s="3282" t="s">
        <v>2828</v>
      </c>
      <c r="K3" s="3283"/>
      <c r="L3" s="2774"/>
      <c r="M3" s="2774"/>
      <c r="N3" s="2774"/>
      <c r="O3" s="2774"/>
      <c r="P3" s="2774"/>
      <c r="Q3" s="2775"/>
      <c r="R3" s="2776">
        <f>SUM(L3:Q3)</f>
        <v>0</v>
      </c>
      <c r="S3" s="2759"/>
      <c r="T3" s="2759"/>
      <c r="U3" s="2759"/>
      <c r="V3" s="2767"/>
    </row>
    <row r="4" spans="1:22" s="2771" customFormat="1" ht="13.15" customHeight="1">
      <c r="A4" s="2777" t="s">
        <v>2829</v>
      </c>
      <c r="B4" s="2778"/>
      <c r="C4" s="2762"/>
      <c r="D4" s="2762"/>
      <c r="E4" s="2763"/>
      <c r="F4" s="2764"/>
      <c r="G4" s="2765"/>
      <c r="H4" s="2766"/>
      <c r="I4" s="2767"/>
      <c r="J4" s="3282" t="s">
        <v>2830</v>
      </c>
      <c r="K4" s="3283"/>
      <c r="L4" s="2779"/>
      <c r="M4" s="2779"/>
      <c r="N4" s="2779"/>
      <c r="O4" s="2779"/>
      <c r="P4" s="2779"/>
      <c r="Q4" s="2780"/>
      <c r="R4" s="2781">
        <f>SUM(L4:Q4)</f>
        <v>0</v>
      </c>
      <c r="S4" s="2759"/>
      <c r="T4" s="2759"/>
      <c r="U4" s="2759"/>
      <c r="V4" s="2767"/>
    </row>
    <row r="5" spans="1:22" s="2771" customFormat="1" ht="13.15" customHeight="1" thickBot="1">
      <c r="A5" s="2782" t="s">
        <v>2831</v>
      </c>
      <c r="B5" s="2783"/>
      <c r="C5" s="2762"/>
      <c r="D5" s="2784"/>
      <c r="E5" s="2764"/>
      <c r="F5" s="2764"/>
      <c r="G5" s="2765"/>
      <c r="H5" s="2766"/>
      <c r="I5" s="2767"/>
      <c r="J5" s="2785" t="s">
        <v>2832</v>
      </c>
      <c r="K5" s="2786"/>
      <c r="L5" s="2786"/>
      <c r="M5" s="2787"/>
      <c r="N5" s="2787"/>
      <c r="O5" s="2787"/>
      <c r="P5" s="2787"/>
      <c r="Q5" s="2787"/>
      <c r="R5" s="2770">
        <f>SUM(R14,R19,R24,R25,R27,R28)</f>
        <v>0</v>
      </c>
      <c r="S5" s="2759"/>
      <c r="T5" s="2759" t="s">
        <v>2833</v>
      </c>
      <c r="U5" s="2759" t="e">
        <f>ROUND(R5*10000/365/R3,1)</f>
        <v>#DIV/0!</v>
      </c>
      <c r="V5" s="2767"/>
    </row>
    <row r="6" spans="1:22" s="2771" customFormat="1" ht="13.15" customHeight="1" thickBot="1">
      <c r="A6" s="3284" t="s">
        <v>2834</v>
      </c>
      <c r="B6" s="3285"/>
      <c r="C6" s="3286"/>
      <c r="D6" s="2788"/>
      <c r="E6" s="2789"/>
      <c r="F6" s="2790"/>
      <c r="G6" s="2791"/>
      <c r="H6" s="2766"/>
      <c r="I6" s="2767"/>
      <c r="J6" s="3287">
        <v>1</v>
      </c>
      <c r="K6" s="3288" t="s">
        <v>2835</v>
      </c>
      <c r="L6" s="2792" t="s">
        <v>2836</v>
      </c>
      <c r="M6" s="2793" t="s">
        <v>2837</v>
      </c>
      <c r="N6" s="2793" t="s">
        <v>2838</v>
      </c>
      <c r="O6" s="2793" t="s">
        <v>2839</v>
      </c>
      <c r="P6" s="2793" t="s">
        <v>2840</v>
      </c>
      <c r="Q6" s="2793" t="s">
        <v>2841</v>
      </c>
      <c r="R6" s="2776" t="s">
        <v>2842</v>
      </c>
      <c r="S6" s="2759"/>
      <c r="T6" s="2759" t="s">
        <v>2843</v>
      </c>
      <c r="U6" s="2759"/>
      <c r="V6" s="2767"/>
    </row>
    <row r="7" spans="1:22" s="2771" customFormat="1" ht="13.15" customHeight="1">
      <c r="A7" s="2794" t="s">
        <v>2844</v>
      </c>
      <c r="B7" s="2795"/>
      <c r="C7" s="2796"/>
      <c r="D7" s="2797">
        <f>SUM(D9,D10,D11,D17,0)</f>
        <v>0</v>
      </c>
      <c r="E7" s="2798" t="e">
        <f>E9+E10+E11+E17</f>
        <v>#DIV/0!</v>
      </c>
      <c r="F7" s="2799"/>
      <c r="G7" s="2800"/>
      <c r="H7" s="2766"/>
      <c r="I7" s="2767"/>
      <c r="J7" s="3287"/>
      <c r="K7" s="3289"/>
      <c r="L7" s="2801" t="s">
        <v>2845</v>
      </c>
      <c r="M7" s="2802"/>
      <c r="N7" s="2778"/>
      <c r="O7" s="2803"/>
      <c r="P7" s="2803"/>
      <c r="Q7" s="2804">
        <v>365</v>
      </c>
      <c r="R7" s="2805">
        <f>ROUND(M7*N7*O7*P7*Q7/10000,0)</f>
        <v>0</v>
      </c>
      <c r="S7" s="2759"/>
      <c r="T7" s="2759" t="s">
        <v>2846</v>
      </c>
      <c r="U7" s="2759"/>
      <c r="V7" s="2767"/>
    </row>
    <row r="8" spans="1:22" s="2771" customFormat="1" ht="13.15" customHeight="1">
      <c r="A8" s="2806" t="s">
        <v>2847</v>
      </c>
      <c r="B8" s="3291" t="s">
        <v>2848</v>
      </c>
      <c r="C8" s="3292"/>
      <c r="D8" s="2807" t="s">
        <v>2849</v>
      </c>
      <c r="E8" s="2808" t="s">
        <v>2850</v>
      </c>
      <c r="F8" s="2809" t="s">
        <v>2851</v>
      </c>
      <c r="G8" s="2810"/>
      <c r="H8" s="2766"/>
      <c r="I8" s="2767"/>
      <c r="J8" s="3287"/>
      <c r="K8" s="3289"/>
      <c r="L8" s="2801" t="s">
        <v>2852</v>
      </c>
      <c r="M8" s="2802"/>
      <c r="N8" s="2778"/>
      <c r="O8" s="2803"/>
      <c r="P8" s="2803"/>
      <c r="Q8" s="2804">
        <v>365</v>
      </c>
      <c r="R8" s="2805">
        <f t="shared" ref="R8:R13" si="0">ROUND(M8*N8*O8*P8*Q8/10000,0)</f>
        <v>0</v>
      </c>
      <c r="S8" s="2759"/>
      <c r="T8" s="2759" t="s">
        <v>2853</v>
      </c>
      <c r="U8" s="2759"/>
      <c r="V8" s="2767"/>
    </row>
    <row r="9" spans="1:22" s="2771" customFormat="1" ht="13.15" customHeight="1">
      <c r="A9" s="2806">
        <v>1</v>
      </c>
      <c r="B9" s="3291" t="s">
        <v>2854</v>
      </c>
      <c r="C9" s="3292"/>
      <c r="D9" s="2807">
        <f>ROUND(D6*E9,0)</f>
        <v>0</v>
      </c>
      <c r="E9" s="2811"/>
      <c r="F9" s="2812" t="s">
        <v>2855</v>
      </c>
      <c r="G9" s="2791"/>
      <c r="H9" s="2766"/>
      <c r="I9" s="2767"/>
      <c r="J9" s="3287"/>
      <c r="K9" s="3289"/>
      <c r="L9" s="2801" t="s">
        <v>2856</v>
      </c>
      <c r="M9" s="2802"/>
      <c r="N9" s="2778"/>
      <c r="O9" s="2803"/>
      <c r="P9" s="2803"/>
      <c r="Q9" s="2804">
        <v>365</v>
      </c>
      <c r="R9" s="2805">
        <f t="shared" si="0"/>
        <v>0</v>
      </c>
      <c r="S9" s="2759"/>
      <c r="T9" s="2759"/>
      <c r="U9" s="2759"/>
      <c r="V9" s="2767"/>
    </row>
    <row r="10" spans="1:22" s="2771" customFormat="1" ht="13.15" customHeight="1">
      <c r="A10" s="2806">
        <v>2</v>
      </c>
      <c r="B10" s="3291" t="s">
        <v>2857</v>
      </c>
      <c r="C10" s="3292"/>
      <c r="D10" s="2807">
        <f>ROUND(D6*E10,0)</f>
        <v>0</v>
      </c>
      <c r="E10" s="2811"/>
      <c r="F10" s="2812" t="s">
        <v>2858</v>
      </c>
      <c r="G10" s="2791"/>
      <c r="H10" s="2766"/>
      <c r="I10" s="2767"/>
      <c r="J10" s="3287"/>
      <c r="K10" s="3289"/>
      <c r="L10" s="2801" t="s">
        <v>2859</v>
      </c>
      <c r="M10" s="2802"/>
      <c r="N10" s="2778"/>
      <c r="O10" s="2803"/>
      <c r="P10" s="2803"/>
      <c r="Q10" s="2804">
        <v>365</v>
      </c>
      <c r="R10" s="2805">
        <f t="shared" si="0"/>
        <v>0</v>
      </c>
      <c r="S10" s="2759"/>
      <c r="T10" s="2759"/>
      <c r="U10" s="2759"/>
      <c r="V10" s="2767"/>
    </row>
    <row r="11" spans="1:22" s="2771" customFormat="1" ht="13.15" customHeight="1">
      <c r="A11" s="2806">
        <v>3</v>
      </c>
      <c r="B11" s="3291" t="s">
        <v>2860</v>
      </c>
      <c r="C11" s="3292"/>
      <c r="D11" s="2807">
        <f>D12+D14+D15+D16</f>
        <v>0</v>
      </c>
      <c r="E11" s="2813" t="e">
        <f>D11/D6</f>
        <v>#DIV/0!</v>
      </c>
      <c r="F11" s="2809"/>
      <c r="G11" s="2810"/>
      <c r="H11" s="2766"/>
      <c r="I11" s="2767"/>
      <c r="J11" s="3287"/>
      <c r="K11" s="3289"/>
      <c r="L11" s="2801" t="s">
        <v>2861</v>
      </c>
      <c r="M11" s="2802"/>
      <c r="N11" s="2778"/>
      <c r="O11" s="2803"/>
      <c r="P11" s="2803"/>
      <c r="Q11" s="2804">
        <v>365</v>
      </c>
      <c r="R11" s="2805">
        <f t="shared" si="0"/>
        <v>0</v>
      </c>
      <c r="S11" s="2759"/>
      <c r="T11" s="2759"/>
      <c r="U11" s="2759"/>
      <c r="V11" s="2767"/>
    </row>
    <row r="12" spans="1:22" s="2771" customFormat="1" ht="13.15" customHeight="1">
      <c r="A12" s="2814" t="s">
        <v>2862</v>
      </c>
      <c r="B12" s="3293" t="s">
        <v>2863</v>
      </c>
      <c r="C12" s="3294"/>
      <c r="D12" s="2815">
        <f>ROUND(D13*1.2%*(1-30%),0)</f>
        <v>0</v>
      </c>
      <c r="E12" s="2816">
        <v>1.2E-2</v>
      </c>
      <c r="F12" s="2809" t="s">
        <v>2864</v>
      </c>
      <c r="G12" s="2810"/>
      <c r="H12" s="2766"/>
      <c r="I12" s="2767"/>
      <c r="J12" s="3287"/>
      <c r="K12" s="3289"/>
      <c r="L12" s="2801" t="s">
        <v>2865</v>
      </c>
      <c r="M12" s="2802"/>
      <c r="N12" s="2778"/>
      <c r="O12" s="2803"/>
      <c r="P12" s="2803"/>
      <c r="Q12" s="2804">
        <v>365</v>
      </c>
      <c r="R12" s="2805">
        <f t="shared" si="0"/>
        <v>0</v>
      </c>
      <c r="S12" s="2759"/>
      <c r="T12" s="2759"/>
      <c r="U12" s="2759"/>
      <c r="V12" s="2767"/>
    </row>
    <row r="13" spans="1:22" s="2771" customFormat="1" ht="13.15" customHeight="1">
      <c r="A13" s="2814"/>
      <c r="B13" s="2817"/>
      <c r="C13" s="2818" t="s">
        <v>2866</v>
      </c>
      <c r="D13" s="2819"/>
      <c r="E13" s="2820"/>
      <c r="F13" s="2809"/>
      <c r="G13" s="2810"/>
      <c r="H13" s="2766"/>
      <c r="I13" s="2767"/>
      <c r="J13" s="3287"/>
      <c r="K13" s="3289"/>
      <c r="L13" s="2801" t="s">
        <v>2867</v>
      </c>
      <c r="M13" s="2802"/>
      <c r="N13" s="2778"/>
      <c r="O13" s="2803"/>
      <c r="P13" s="2803"/>
      <c r="Q13" s="2804">
        <v>365</v>
      </c>
      <c r="R13" s="2805">
        <f t="shared" si="0"/>
        <v>0</v>
      </c>
      <c r="S13" s="2759"/>
      <c r="T13" s="2759"/>
      <c r="U13" s="2759"/>
      <c r="V13" s="2767"/>
    </row>
    <row r="14" spans="1:22" s="2771" customFormat="1" ht="13.15" customHeight="1">
      <c r="A14" s="2814" t="s">
        <v>2868</v>
      </c>
      <c r="B14" s="3293" t="s">
        <v>2869</v>
      </c>
      <c r="C14" s="3294"/>
      <c r="D14" s="2815">
        <f>ROUND(E14*B5/10000,0)</f>
        <v>0</v>
      </c>
      <c r="E14" s="2804"/>
      <c r="F14" s="2809" t="s">
        <v>2870</v>
      </c>
      <c r="G14" s="2810"/>
      <c r="H14" s="2766"/>
      <c r="I14" s="2767"/>
      <c r="J14" s="3287"/>
      <c r="K14" s="3290"/>
      <c r="L14" s="2821" t="s">
        <v>2871</v>
      </c>
      <c r="M14" s="2822">
        <f>SUM(M7:M13)</f>
        <v>0</v>
      </c>
      <c r="N14" s="2822" t="e">
        <f>ROUND((N7*M7+N8*M8+N9*M9+N10*M10+N11*M11+N12*M12+N13*M13)/M14,0)</f>
        <v>#DIV/0!</v>
      </c>
      <c r="O14" s="2823"/>
      <c r="P14" s="2823"/>
      <c r="Q14" s="2824"/>
      <c r="R14" s="2770">
        <f>SUM(R7:R13)</f>
        <v>0</v>
      </c>
      <c r="S14" s="2759"/>
      <c r="T14" s="2759"/>
      <c r="U14" s="2759"/>
      <c r="V14" s="2767"/>
    </row>
    <row r="15" spans="1:22" s="2771" customFormat="1" ht="13.15" customHeight="1">
      <c r="A15" s="2814" t="s">
        <v>2872</v>
      </c>
      <c r="B15" s="3293" t="s">
        <v>2873</v>
      </c>
      <c r="C15" s="3294"/>
      <c r="D15" s="2815">
        <f>ROUND(D6*E15,0)</f>
        <v>0</v>
      </c>
      <c r="E15" s="2816">
        <v>5.5E-2</v>
      </c>
      <c r="F15" s="2809" t="s">
        <v>2874</v>
      </c>
      <c r="G15" s="2791"/>
      <c r="H15" s="2766"/>
      <c r="I15" s="2767"/>
      <c r="J15" s="3287">
        <v>2</v>
      </c>
      <c r="K15" s="3288" t="s">
        <v>2875</v>
      </c>
      <c r="L15" s="2801" t="s">
        <v>2876</v>
      </c>
      <c r="M15" s="2802" t="s">
        <v>2877</v>
      </c>
      <c r="N15" s="2802" t="s">
        <v>2878</v>
      </c>
      <c r="O15" s="2803" t="s">
        <v>2879</v>
      </c>
      <c r="P15" s="2803" t="s">
        <v>2841</v>
      </c>
      <c r="Q15" s="2778" t="s">
        <v>2880</v>
      </c>
      <c r="R15" s="2825" t="s">
        <v>2842</v>
      </c>
      <c r="S15" s="2759"/>
      <c r="T15" s="2759"/>
      <c r="U15" s="2759"/>
      <c r="V15" s="2767"/>
    </row>
    <row r="16" spans="1:22" s="2771" customFormat="1" ht="13.15" customHeight="1">
      <c r="A16" s="2814" t="s">
        <v>2881</v>
      </c>
      <c r="B16" s="3293" t="s">
        <v>2882</v>
      </c>
      <c r="C16" s="3294"/>
      <c r="D16" s="2826">
        <f>D6*E16</f>
        <v>0</v>
      </c>
      <c r="E16" s="2827"/>
      <c r="F16" s="2812" t="s">
        <v>2883</v>
      </c>
      <c r="G16" s="2791"/>
      <c r="H16" s="2766"/>
      <c r="I16" s="2767"/>
      <c r="J16" s="3287"/>
      <c r="K16" s="3289"/>
      <c r="L16" s="2801" t="s">
        <v>2884</v>
      </c>
      <c r="M16" s="2802"/>
      <c r="N16" s="2802"/>
      <c r="O16" s="2803"/>
      <c r="P16" s="2804">
        <v>365</v>
      </c>
      <c r="Q16" s="2778"/>
      <c r="R16" s="2825">
        <f>ROUND(M16*N16*O16*P16/10000,0)</f>
        <v>0</v>
      </c>
      <c r="S16" s="2759"/>
      <c r="T16" s="2759"/>
      <c r="U16" s="2759"/>
      <c r="V16" s="2767"/>
    </row>
    <row r="17" spans="1:22" s="2771" customFormat="1" ht="13.15" customHeight="1" thickBot="1">
      <c r="A17" s="2828">
        <v>4</v>
      </c>
      <c r="B17" s="3295" t="s">
        <v>2885</v>
      </c>
      <c r="C17" s="3296"/>
      <c r="D17" s="2829">
        <f>ROUND(D6*E17,0)</f>
        <v>0</v>
      </c>
      <c r="E17" s="2830"/>
      <c r="F17" s="2831" t="s">
        <v>2886</v>
      </c>
      <c r="G17" s="2791"/>
      <c r="H17" s="2766"/>
      <c r="I17" s="2767"/>
      <c r="J17" s="3287"/>
      <c r="K17" s="3289"/>
      <c r="L17" s="2801" t="s">
        <v>2887</v>
      </c>
      <c r="M17" s="2802"/>
      <c r="N17" s="2802"/>
      <c r="O17" s="2803"/>
      <c r="P17" s="2804">
        <v>365</v>
      </c>
      <c r="Q17" s="2778"/>
      <c r="R17" s="2825">
        <f>ROUND(M17*N17*O17*P17/10000,0)</f>
        <v>0</v>
      </c>
      <c r="S17" s="2759"/>
      <c r="T17" s="2759"/>
      <c r="U17" s="2759"/>
      <c r="V17" s="2767"/>
    </row>
    <row r="18" spans="1:22" s="2771" customFormat="1" ht="13.15" customHeight="1" thickBot="1">
      <c r="A18" s="2794" t="s">
        <v>2888</v>
      </c>
      <c r="B18" s="2795"/>
      <c r="C18" s="2795"/>
      <c r="D18" s="2832">
        <f>ROUND(D6*E18,0)</f>
        <v>0</v>
      </c>
      <c r="E18" s="2833"/>
      <c r="F18" s="2834" t="s">
        <v>2889</v>
      </c>
      <c r="G18" s="2791"/>
      <c r="H18" s="2766"/>
      <c r="I18" s="2767"/>
      <c r="J18" s="3287"/>
      <c r="K18" s="3289"/>
      <c r="L18" s="2801" t="s">
        <v>2890</v>
      </c>
      <c r="M18" s="2802"/>
      <c r="N18" s="2802"/>
      <c r="O18" s="2803"/>
      <c r="P18" s="2804">
        <v>365</v>
      </c>
      <c r="Q18" s="2778"/>
      <c r="R18" s="2825">
        <f>ROUND(M18*N18*O18*P18/10000,0)</f>
        <v>0</v>
      </c>
      <c r="S18" s="2759"/>
      <c r="T18" s="2759"/>
      <c r="U18" s="2759"/>
      <c r="V18" s="2767"/>
    </row>
    <row r="19" spans="1:22" s="2771" customFormat="1" ht="13.15" customHeight="1" thickBot="1">
      <c r="A19" s="2835" t="s">
        <v>2891</v>
      </c>
      <c r="B19" s="2789"/>
      <c r="C19" s="2789"/>
      <c r="D19" s="2789"/>
      <c r="E19" s="2789"/>
      <c r="F19" s="2790"/>
      <c r="G19" s="2810"/>
      <c r="H19" s="2766"/>
      <c r="I19" s="2767"/>
      <c r="J19" s="3287"/>
      <c r="K19" s="3290"/>
      <c r="L19" s="2821" t="s">
        <v>2871</v>
      </c>
      <c r="M19" s="2822"/>
      <c r="N19" s="2822">
        <f>SUM(N16:N18)</f>
        <v>0</v>
      </c>
      <c r="O19" s="2823"/>
      <c r="P19" s="2836" t="s">
        <v>2935</v>
      </c>
      <c r="Q19" s="2803">
        <v>0</v>
      </c>
      <c r="R19" s="2837">
        <f>ROUND(IF(P19="按比例",R14*Q19,SUM(R16:R18)),0)</f>
        <v>0</v>
      </c>
      <c r="S19" s="2759"/>
      <c r="T19" s="2759"/>
      <c r="U19" s="2759"/>
      <c r="V19" s="2767"/>
    </row>
    <row r="20" spans="1:22" s="2771" customFormat="1" ht="13.15" customHeight="1">
      <c r="A20" s="2794"/>
      <c r="B20" s="2795"/>
      <c r="C20" s="2795"/>
      <c r="D20" s="2795"/>
      <c r="E20" s="2795"/>
      <c r="F20" s="2838"/>
      <c r="G20" s="2810"/>
      <c r="H20" s="2766"/>
      <c r="I20" s="2767"/>
      <c r="J20" s="3287">
        <v>3</v>
      </c>
      <c r="K20" s="3288" t="s">
        <v>2892</v>
      </c>
      <c r="L20" s="2801" t="s">
        <v>2893</v>
      </c>
      <c r="M20" s="2802" t="s">
        <v>2894</v>
      </c>
      <c r="N20" s="2839" t="s">
        <v>2895</v>
      </c>
      <c r="O20" s="2803" t="s">
        <v>2896</v>
      </c>
      <c r="P20" s="2804" t="s">
        <v>2897</v>
      </c>
      <c r="Q20" s="2778" t="s">
        <v>2898</v>
      </c>
      <c r="R20" s="2825" t="s">
        <v>2899</v>
      </c>
      <c r="S20" s="2759"/>
      <c r="T20" s="2759"/>
      <c r="U20" s="2759"/>
      <c r="V20" s="2767"/>
    </row>
    <row r="21" spans="1:22" s="2771" customFormat="1" ht="13.15" customHeight="1">
      <c r="A21" s="2794"/>
      <c r="B21" s="2795"/>
      <c r="C21" s="2840" t="s">
        <v>2900</v>
      </c>
      <c r="D21" s="2841" t="s">
        <v>2901</v>
      </c>
      <c r="E21" s="2842" t="s">
        <v>2902</v>
      </c>
      <c r="F21" s="2838"/>
      <c r="G21" s="2810"/>
      <c r="H21" s="2766"/>
      <c r="I21" s="2767"/>
      <c r="J21" s="3287"/>
      <c r="K21" s="3289"/>
      <c r="L21" s="2801" t="s">
        <v>2903</v>
      </c>
      <c r="M21" s="2802"/>
      <c r="N21" s="2802"/>
      <c r="O21" s="2803"/>
      <c r="P21" s="2804">
        <v>365</v>
      </c>
      <c r="Q21" s="2778"/>
      <c r="R21" s="2843">
        <f>ROUND(M21*N21*O21*P21/10000,0)</f>
        <v>0</v>
      </c>
      <c r="S21" s="2759"/>
      <c r="T21" s="2759"/>
      <c r="U21" s="2759"/>
      <c r="V21" s="2767"/>
    </row>
    <row r="22" spans="1:22" s="2771" customFormat="1" ht="13.15" customHeight="1">
      <c r="A22" s="2794"/>
      <c r="B22" s="2795"/>
      <c r="C22" s="2844" t="s">
        <v>2904</v>
      </c>
      <c r="D22" s="2845" t="s">
        <v>2905</v>
      </c>
      <c r="E22" s="2846" t="s">
        <v>2906</v>
      </c>
      <c r="F22" s="2838"/>
      <c r="G22" s="2759"/>
      <c r="H22" s="2766"/>
      <c r="I22" s="2767"/>
      <c r="J22" s="3287"/>
      <c r="K22" s="3289"/>
      <c r="L22" s="2801" t="s">
        <v>2907</v>
      </c>
      <c r="M22" s="2802"/>
      <c r="N22" s="2802"/>
      <c r="O22" s="2803"/>
      <c r="P22" s="2804">
        <v>365</v>
      </c>
      <c r="Q22" s="2778"/>
      <c r="R22" s="2843">
        <f>ROUND(M22*N22*O22*P22/10000,0)</f>
        <v>0</v>
      </c>
      <c r="S22" s="2759"/>
      <c r="T22" s="2759"/>
      <c r="U22" s="2759"/>
      <c r="V22" s="2767"/>
    </row>
    <row r="23" spans="1:22" s="2771" customFormat="1" ht="13.15" customHeight="1">
      <c r="A23" s="2847">
        <v>1</v>
      </c>
      <c r="B23" s="2848" t="s">
        <v>2908</v>
      </c>
      <c r="C23" s="2849">
        <f>D6</f>
        <v>0</v>
      </c>
      <c r="D23" s="2850">
        <f>C23*(1+D24)</f>
        <v>0</v>
      </c>
      <c r="E23" s="2851">
        <f>D23*(1+E24)</f>
        <v>0</v>
      </c>
      <c r="F23" s="2852"/>
      <c r="G23" s="2853"/>
      <c r="H23" s="2766"/>
      <c r="I23" s="2767"/>
      <c r="J23" s="3287"/>
      <c r="K23" s="3289"/>
      <c r="L23" s="2801" t="s">
        <v>2909</v>
      </c>
      <c r="M23" s="2802"/>
      <c r="N23" s="2802"/>
      <c r="O23" s="2803"/>
      <c r="P23" s="2804">
        <v>365</v>
      </c>
      <c r="Q23" s="2778"/>
      <c r="R23" s="2843">
        <f>ROUND(M23*N23*O23*P23/10000,0)</f>
        <v>0</v>
      </c>
      <c r="S23" s="2759"/>
      <c r="T23" s="2759"/>
      <c r="U23" s="2759"/>
      <c r="V23" s="2767"/>
    </row>
    <row r="24" spans="1:22" s="2771" customFormat="1" ht="13.15" customHeight="1">
      <c r="A24" s="2854"/>
      <c r="B24" s="2855" t="s">
        <v>2910</v>
      </c>
      <c r="C24" s="2856"/>
      <c r="D24" s="2857"/>
      <c r="E24" s="2858"/>
      <c r="F24" s="2859"/>
      <c r="G24" s="2853"/>
      <c r="H24" s="2766"/>
      <c r="I24" s="2767"/>
      <c r="J24" s="3287"/>
      <c r="K24" s="3290"/>
      <c r="L24" s="2821" t="s">
        <v>2871</v>
      </c>
      <c r="M24" s="2822">
        <f>SUM(M21:M23)</f>
        <v>0</v>
      </c>
      <c r="N24" s="2822"/>
      <c r="O24" s="2823"/>
      <c r="P24" s="2836" t="s">
        <v>2935</v>
      </c>
      <c r="Q24" s="2803">
        <v>0</v>
      </c>
      <c r="R24" s="2837">
        <f>ROUND(IF(P24="按比例",R14*Q24,SUM(R21:R23)),0)</f>
        <v>0</v>
      </c>
      <c r="S24" s="2759"/>
      <c r="T24" s="2759"/>
      <c r="U24" s="2759"/>
      <c r="V24" s="2767"/>
    </row>
    <row r="25" spans="1:22" s="2866" customFormat="1" ht="13.15" customHeight="1">
      <c r="A25" s="2854"/>
      <c r="B25" s="2855"/>
      <c r="C25" s="2856"/>
      <c r="D25" s="2857"/>
      <c r="E25" s="2858"/>
      <c r="F25" s="2859"/>
      <c r="G25" s="2759"/>
      <c r="H25" s="2766"/>
      <c r="I25" s="2767"/>
      <c r="J25" s="2860">
        <v>4</v>
      </c>
      <c r="K25" s="2861" t="s">
        <v>2911</v>
      </c>
      <c r="L25" s="2862"/>
      <c r="M25" s="2862"/>
      <c r="N25" s="2862"/>
      <c r="O25" s="2862"/>
      <c r="P25" s="2863"/>
      <c r="Q25" s="2864">
        <v>0</v>
      </c>
      <c r="R25" s="2837">
        <f>ROUND(R14*Q25,0)</f>
        <v>0</v>
      </c>
      <c r="S25" s="2759"/>
      <c r="T25" s="2759"/>
      <c r="U25" s="2759"/>
      <c r="V25" s="2865"/>
    </row>
    <row r="26" spans="1:22" s="2866" customFormat="1" ht="13.15" customHeight="1">
      <c r="A26" s="2847">
        <v>2</v>
      </c>
      <c r="B26" s="2848" t="s">
        <v>2912</v>
      </c>
      <c r="C26" s="2849">
        <f>D7</f>
        <v>0</v>
      </c>
      <c r="D26" s="2850">
        <f>D23*D27</f>
        <v>0</v>
      </c>
      <c r="E26" s="2851">
        <f>E23*E27</f>
        <v>0</v>
      </c>
      <c r="F26" s="2852"/>
      <c r="G26" s="2853"/>
      <c r="H26" s="2766"/>
      <c r="I26" s="2767"/>
      <c r="J26" s="3297">
        <v>5</v>
      </c>
      <c r="K26" s="2867" t="s">
        <v>2913</v>
      </c>
      <c r="L26" s="2868"/>
      <c r="M26" s="2869"/>
      <c r="N26" s="2870" t="s">
        <v>2914</v>
      </c>
      <c r="O26" s="2870" t="s">
        <v>2915</v>
      </c>
      <c r="P26" s="2871" t="s">
        <v>2916</v>
      </c>
      <c r="Q26" s="2871" t="s">
        <v>2917</v>
      </c>
      <c r="R26" s="2776" t="s">
        <v>2842</v>
      </c>
      <c r="S26" s="2810"/>
      <c r="T26" s="2810"/>
      <c r="U26" s="2810"/>
      <c r="V26" s="2865"/>
    </row>
    <row r="27" spans="1:22" s="2771" customFormat="1" ht="13.15" customHeight="1">
      <c r="A27" s="2854"/>
      <c r="B27" s="2855" t="s">
        <v>2918</v>
      </c>
      <c r="C27" s="2872" t="e">
        <f>E7</f>
        <v>#DIV/0!</v>
      </c>
      <c r="D27" s="2857"/>
      <c r="E27" s="2858"/>
      <c r="F27" s="2859"/>
      <c r="G27" s="2853"/>
      <c r="H27" s="2873"/>
      <c r="I27" s="2865"/>
      <c r="J27" s="3298"/>
      <c r="K27" s="2874"/>
      <c r="L27" s="2875"/>
      <c r="M27" s="2876"/>
      <c r="N27" s="2877"/>
      <c r="O27" s="2877"/>
      <c r="P27" s="2877"/>
      <c r="Q27" s="2878"/>
      <c r="R27" s="2837">
        <f>ROUND(O27*N27*P27*(1-Q27)/10000,0)</f>
        <v>0</v>
      </c>
      <c r="S27" s="2759"/>
      <c r="T27" s="2759"/>
      <c r="U27" s="2759"/>
      <c r="V27" s="2767"/>
    </row>
    <row r="28" spans="1:22" s="2866" customFormat="1" ht="13.15" customHeight="1" thickBot="1">
      <c r="A28" s="2854"/>
      <c r="B28" s="2855"/>
      <c r="C28" s="2872"/>
      <c r="D28" s="2857"/>
      <c r="E28" s="2858" t="s">
        <v>2919</v>
      </c>
      <c r="F28" s="2859"/>
      <c r="G28" s="2759"/>
      <c r="H28" s="2873"/>
      <c r="I28" s="2865"/>
      <c r="J28" s="2879">
        <v>6</v>
      </c>
      <c r="K28" s="2880" t="s">
        <v>2920</v>
      </c>
      <c r="L28" s="2881" t="s">
        <v>2921</v>
      </c>
      <c r="M28" s="2882"/>
      <c r="N28" s="2881" t="s">
        <v>2922</v>
      </c>
      <c r="O28" s="2883"/>
      <c r="P28" s="2881" t="s">
        <v>2923</v>
      </c>
      <c r="Q28" s="2884">
        <v>1.4999999999999999E-2</v>
      </c>
      <c r="R28" s="2885"/>
      <c r="S28" s="2759"/>
      <c r="T28" s="2759"/>
      <c r="U28" s="2759"/>
      <c r="V28" s="2865"/>
    </row>
    <row r="29" spans="1:22" s="2866" customFormat="1" ht="13.15" customHeight="1">
      <c r="A29" s="2847">
        <v>3</v>
      </c>
      <c r="B29" s="2848" t="s">
        <v>2924</v>
      </c>
      <c r="C29" s="2849">
        <f>C23*C30</f>
        <v>0</v>
      </c>
      <c r="D29" s="2850">
        <f>D23*C30</f>
        <v>0</v>
      </c>
      <c r="E29" s="2851">
        <f>E23*C30</f>
        <v>0</v>
      </c>
      <c r="F29" s="2852"/>
      <c r="G29" s="2853"/>
      <c r="H29" s="2766"/>
      <c r="I29" s="2767"/>
      <c r="J29" s="2759"/>
      <c r="K29" s="2759"/>
      <c r="L29" s="2759"/>
      <c r="M29" s="2759"/>
      <c r="N29" s="2759"/>
      <c r="O29" s="2759"/>
      <c r="P29" s="2759"/>
      <c r="Q29" s="2759"/>
      <c r="R29" s="2759"/>
      <c r="S29" s="2759"/>
      <c r="T29" s="2759"/>
      <c r="U29" s="2759"/>
      <c r="V29" s="2865"/>
    </row>
    <row r="30" spans="1:22" s="2771" customFormat="1" ht="13.15" customHeight="1" thickBot="1">
      <c r="A30" s="2854"/>
      <c r="B30" s="2855" t="s">
        <v>2918</v>
      </c>
      <c r="C30" s="2872">
        <f>E18</f>
        <v>0</v>
      </c>
      <c r="D30" s="2886"/>
      <c r="E30" s="2820"/>
      <c r="F30" s="2859"/>
      <c r="G30" s="2853"/>
      <c r="H30" s="2873"/>
      <c r="I30" s="2865"/>
      <c r="J30" s="2759"/>
      <c r="K30" s="2759"/>
      <c r="L30" s="2759"/>
      <c r="M30" s="2759"/>
      <c r="N30" s="2759"/>
      <c r="O30" s="2759"/>
      <c r="P30" s="2759"/>
      <c r="Q30" s="2759"/>
      <c r="R30" s="2759"/>
      <c r="S30" s="2759"/>
      <c r="T30" s="2759"/>
      <c r="U30" s="2759"/>
      <c r="V30" s="2767"/>
    </row>
    <row r="31" spans="1:22" s="2866" customFormat="1" ht="13.15" customHeight="1">
      <c r="A31" s="2854"/>
      <c r="B31" s="2855"/>
      <c r="C31" s="2887"/>
      <c r="D31" s="2886"/>
      <c r="E31" s="2820"/>
      <c r="F31" s="2859"/>
      <c r="G31" s="2759"/>
      <c r="H31" s="2873"/>
      <c r="I31" s="2865"/>
      <c r="J31" s="2756" t="s">
        <v>2925</v>
      </c>
      <c r="K31" s="2757"/>
      <c r="L31" s="2757"/>
      <c r="M31" s="2757"/>
      <c r="N31" s="2757"/>
      <c r="O31" s="2757"/>
      <c r="P31" s="2757"/>
      <c r="Q31" s="2757"/>
      <c r="R31" s="2758"/>
      <c r="S31" s="2759"/>
      <c r="T31" s="2759"/>
      <c r="U31" s="2759"/>
      <c r="V31" s="2865"/>
    </row>
    <row r="32" spans="1:22" s="2866" customFormat="1" ht="13.15" customHeight="1">
      <c r="A32" s="2847">
        <v>4</v>
      </c>
      <c r="B32" s="2848" t="s">
        <v>2926</v>
      </c>
      <c r="C32" s="2849">
        <f>C23-C26-C29</f>
        <v>0</v>
      </c>
      <c r="D32" s="2850">
        <f>D23-D26-D29</f>
        <v>0</v>
      </c>
      <c r="E32" s="2851">
        <f>E23-E26-E29</f>
        <v>0</v>
      </c>
      <c r="F32" s="2852"/>
      <c r="G32" s="2759"/>
      <c r="H32" s="2766"/>
      <c r="I32" s="2767"/>
      <c r="J32" s="3280" t="s">
        <v>2818</v>
      </c>
      <c r="K32" s="3281"/>
      <c r="L32" s="2768" t="s">
        <v>2819</v>
      </c>
      <c r="M32" s="2768" t="s">
        <v>2820</v>
      </c>
      <c r="N32" s="2768" t="s">
        <v>2821</v>
      </c>
      <c r="O32" s="2768" t="s">
        <v>2822</v>
      </c>
      <c r="P32" s="2768" t="s">
        <v>2823</v>
      </c>
      <c r="Q32" s="2769" t="s">
        <v>2824</v>
      </c>
      <c r="R32" s="2888" t="s">
        <v>2825</v>
      </c>
      <c r="S32" s="2759"/>
      <c r="T32" s="2759"/>
      <c r="U32" s="2759"/>
      <c r="V32" s="2865"/>
    </row>
    <row r="33" spans="1:23" s="2771" customFormat="1" ht="13.15" customHeight="1">
      <c r="A33" s="2847"/>
      <c r="B33" s="2848"/>
      <c r="C33" s="2849"/>
      <c r="D33" s="2889"/>
      <c r="E33" s="2890"/>
      <c r="F33" s="2852"/>
      <c r="G33" s="2759"/>
      <c r="H33" s="2873"/>
      <c r="I33" s="2865"/>
      <c r="J33" s="3282" t="s">
        <v>2828</v>
      </c>
      <c r="K33" s="3283"/>
      <c r="L33" s="2774"/>
      <c r="M33" s="2774"/>
      <c r="N33" s="2774"/>
      <c r="O33" s="2774"/>
      <c r="P33" s="2774"/>
      <c r="Q33" s="2775"/>
      <c r="R33" s="2891">
        <f>SUM(L33:Q33)</f>
        <v>0</v>
      </c>
      <c r="S33" s="2759"/>
      <c r="T33" s="2759"/>
      <c r="U33" s="2759"/>
      <c r="V33" s="2767"/>
    </row>
    <row r="34" spans="1:23" s="2771" customFormat="1" ht="13.15" customHeight="1">
      <c r="A34" s="2847">
        <v>5</v>
      </c>
      <c r="B34" s="2848" t="s">
        <v>2927</v>
      </c>
      <c r="C34" s="2892"/>
      <c r="D34" s="2893"/>
      <c r="E34" s="2894"/>
      <c r="F34" s="2852"/>
      <c r="G34" s="2759"/>
      <c r="H34" s="2873"/>
      <c r="I34" s="2865"/>
      <c r="J34" s="3282" t="s">
        <v>2830</v>
      </c>
      <c r="K34" s="3283"/>
      <c r="L34" s="2779"/>
      <c r="M34" s="2779"/>
      <c r="N34" s="2779"/>
      <c r="O34" s="2779"/>
      <c r="P34" s="2779"/>
      <c r="Q34" s="2780"/>
      <c r="R34" s="2895">
        <f>SUM(L34:Q34)</f>
        <v>0</v>
      </c>
      <c r="S34" s="2759"/>
      <c r="T34" s="2759"/>
      <c r="U34" s="2759" t="e">
        <f>ROUND(R35*10000/365/R33,1)</f>
        <v>#DIV/0!</v>
      </c>
      <c r="V34" s="2767"/>
    </row>
    <row r="35" spans="1:23" s="2771" customFormat="1" ht="13.15" customHeight="1">
      <c r="A35" s="2847">
        <v>6</v>
      </c>
      <c r="B35" s="2848" t="s">
        <v>2928</v>
      </c>
      <c r="C35" s="2896"/>
      <c r="D35" s="2897"/>
      <c r="E35" s="2898"/>
      <c r="F35" s="2852"/>
      <c r="G35" s="2899"/>
      <c r="H35" s="2766"/>
      <c r="I35" s="2865"/>
      <c r="J35" s="2785" t="s">
        <v>2832</v>
      </c>
      <c r="K35" s="2786"/>
      <c r="L35" s="2786"/>
      <c r="M35" s="2787"/>
      <c r="N35" s="2787"/>
      <c r="O35" s="2787"/>
      <c r="P35" s="2787"/>
      <c r="Q35" s="2787"/>
      <c r="R35" s="2900">
        <f>R40+R41+R43</f>
        <v>0</v>
      </c>
      <c r="S35" s="2759"/>
      <c r="T35" s="2759" t="s">
        <v>2833</v>
      </c>
      <c r="U35" s="2759"/>
      <c r="V35" s="2767"/>
    </row>
    <row r="36" spans="1:23" s="2771" customFormat="1" ht="13.15" customHeight="1" thickBot="1">
      <c r="A36" s="2847">
        <v>7</v>
      </c>
      <c r="B36" s="2901" t="s">
        <v>2929</v>
      </c>
      <c r="C36" s="2902"/>
      <c r="D36" s="2903"/>
      <c r="E36" s="2904"/>
      <c r="F36" s="2905">
        <f>C36+D36+E36</f>
        <v>0</v>
      </c>
      <c r="G36" s="2759"/>
      <c r="H36" s="2766"/>
      <c r="I36" s="2767"/>
      <c r="J36" s="3287">
        <v>1</v>
      </c>
      <c r="K36" s="3288" t="s">
        <v>2930</v>
      </c>
      <c r="L36" s="2792"/>
      <c r="M36" s="2793"/>
      <c r="N36" s="2793"/>
      <c r="O36" s="2793"/>
      <c r="P36" s="2793"/>
      <c r="Q36" s="2793"/>
      <c r="R36" s="2776" t="s">
        <v>2842</v>
      </c>
      <c r="S36" s="2759"/>
      <c r="T36" s="2759" t="s">
        <v>2843</v>
      </c>
      <c r="U36" s="2759"/>
      <c r="V36" s="2767"/>
    </row>
    <row r="37" spans="1:23" s="2771" customFormat="1" ht="13.15" customHeight="1">
      <c r="A37" s="2847"/>
      <c r="B37" s="2848"/>
      <c r="C37" s="2848"/>
      <c r="D37" s="2848"/>
      <c r="E37" s="2848"/>
      <c r="F37" s="2852"/>
      <c r="G37" s="2759"/>
      <c r="H37" s="2766"/>
      <c r="I37" s="2767"/>
      <c r="J37" s="3287"/>
      <c r="K37" s="3289"/>
      <c r="L37" s="2801"/>
      <c r="M37" s="2802"/>
      <c r="N37" s="2778"/>
      <c r="O37" s="2803"/>
      <c r="P37" s="2803"/>
      <c r="Q37" s="2804"/>
      <c r="R37" s="2805"/>
      <c r="S37" s="2759"/>
      <c r="T37" s="2759" t="s">
        <v>2846</v>
      </c>
      <c r="U37" s="2759"/>
      <c r="V37" s="2767"/>
    </row>
    <row r="38" spans="1:23" s="2771" customFormat="1" ht="13.15" customHeight="1">
      <c r="A38" s="2847">
        <v>8</v>
      </c>
      <c r="B38" s="2848"/>
      <c r="C38" s="2807" t="e">
        <f>ROUND(C32*(1-((1+C35)/(1+C34))^C36)/(C34-C35),0)</f>
        <v>#DIV/0!</v>
      </c>
      <c r="D38" s="2807">
        <f>IF(D23=0,0,ROUND(D32*(1-((1+D35)/(1+D34))^D36)/(D34-D35),0))</f>
        <v>0</v>
      </c>
      <c r="E38" s="2807">
        <f>IF(E23=0,0,ROUND(E32*(1-((1+E35)/(1+E34))^E36)/(E34-E35),0))</f>
        <v>0</v>
      </c>
      <c r="F38" s="2852"/>
      <c r="G38" s="2759"/>
      <c r="H38" s="2766"/>
      <c r="I38" s="2767"/>
      <c r="J38" s="3287"/>
      <c r="K38" s="3289"/>
      <c r="L38" s="2801"/>
      <c r="M38" s="2802"/>
      <c r="N38" s="2778"/>
      <c r="O38" s="2803"/>
      <c r="P38" s="2803"/>
      <c r="Q38" s="2804"/>
      <c r="R38" s="2805"/>
      <c r="S38" s="2759"/>
      <c r="T38" s="2759" t="s">
        <v>2853</v>
      </c>
      <c r="U38" s="2759"/>
      <c r="V38" s="2767"/>
    </row>
    <row r="39" spans="1:23" s="2771" customFormat="1" ht="13.15" customHeight="1">
      <c r="A39" s="2847">
        <v>9</v>
      </c>
      <c r="B39" s="2848" t="s">
        <v>2931</v>
      </c>
      <c r="C39" s="2815" t="e">
        <f>C38</f>
        <v>#DIV/0!</v>
      </c>
      <c r="D39" s="2848">
        <f>D38/(1+D34)^C36</f>
        <v>0</v>
      </c>
      <c r="E39" s="2848">
        <f>E38/(1+E34)^(C36+D36)</f>
        <v>0</v>
      </c>
      <c r="F39" s="2852"/>
      <c r="G39" s="2767"/>
      <c r="H39" s="2766"/>
      <c r="I39" s="2767"/>
      <c r="J39" s="3287"/>
      <c r="K39" s="3289"/>
      <c r="L39" s="2801"/>
      <c r="M39" s="2802"/>
      <c r="N39" s="2778"/>
      <c r="O39" s="2803"/>
      <c r="P39" s="2803"/>
      <c r="Q39" s="2804"/>
      <c r="R39" s="2805"/>
      <c r="S39" s="2759"/>
      <c r="T39" s="2759"/>
      <c r="U39" s="2759"/>
      <c r="V39" s="2767"/>
    </row>
    <row r="40" spans="1:23" s="2771" customFormat="1" ht="13.15" customHeight="1">
      <c r="A40" s="2906">
        <v>10</v>
      </c>
      <c r="B40" s="2848" t="s">
        <v>2932</v>
      </c>
      <c r="C40" s="2907" t="e">
        <f>C39+D39+E39</f>
        <v>#DIV/0!</v>
      </c>
      <c r="D40" s="2908"/>
      <c r="E40" s="2908"/>
      <c r="F40" s="2909"/>
      <c r="G40" s="2759"/>
      <c r="H40" s="2766"/>
      <c r="I40" s="2767"/>
      <c r="J40" s="3287"/>
      <c r="K40" s="3290"/>
      <c r="L40" s="2821" t="s">
        <v>2871</v>
      </c>
      <c r="M40" s="2822"/>
      <c r="N40" s="2822"/>
      <c r="O40" s="2823"/>
      <c r="P40" s="2823"/>
      <c r="Q40" s="2824"/>
      <c r="R40" s="2770">
        <f>SUM(R37:R39)</f>
        <v>0</v>
      </c>
      <c r="S40" s="2759"/>
      <c r="T40" s="2759"/>
      <c r="U40" s="2759"/>
      <c r="V40" s="2767"/>
    </row>
    <row r="41" spans="1:23" s="2771" customFormat="1" ht="13.15" customHeight="1" thickBot="1">
      <c r="A41" s="2910">
        <v>11</v>
      </c>
      <c r="B41" s="2911" t="s">
        <v>2933</v>
      </c>
      <c r="C41" s="2911" t="e">
        <f>ROUND(C40*10000/B4,0)</f>
        <v>#DIV/0!</v>
      </c>
      <c r="D41" s="2912"/>
      <c r="E41" s="2912"/>
      <c r="F41" s="2913"/>
      <c r="G41" s="2766"/>
      <c r="H41" s="2766"/>
      <c r="I41" s="2767"/>
      <c r="J41" s="2860">
        <v>2</v>
      </c>
      <c r="K41" s="2861" t="s">
        <v>2911</v>
      </c>
      <c r="L41" s="2862"/>
      <c r="M41" s="2862"/>
      <c r="N41" s="2862"/>
      <c r="O41" s="2862"/>
      <c r="P41" s="2863"/>
      <c r="Q41" s="2864"/>
      <c r="R41" s="2837">
        <f>ROUND(R40*Q41,0)</f>
        <v>0</v>
      </c>
      <c r="S41" s="2759"/>
      <c r="T41" s="2759"/>
      <c r="U41" s="2810"/>
      <c r="V41" s="2767"/>
    </row>
    <row r="42" spans="1:23" s="2771" customFormat="1" ht="13.15" customHeight="1">
      <c r="G42" s="2766"/>
      <c r="H42" s="2766"/>
      <c r="I42" s="2767"/>
      <c r="J42" s="3297">
        <v>3</v>
      </c>
      <c r="K42" s="2867" t="s">
        <v>2913</v>
      </c>
      <c r="L42" s="2868"/>
      <c r="M42" s="2869"/>
      <c r="N42" s="2870" t="s">
        <v>2914</v>
      </c>
      <c r="O42" s="2870" t="s">
        <v>2915</v>
      </c>
      <c r="P42" s="2871" t="s">
        <v>2916</v>
      </c>
      <c r="Q42" s="2871" t="s">
        <v>2917</v>
      </c>
      <c r="R42" s="2776" t="s">
        <v>2842</v>
      </c>
      <c r="S42" s="2810"/>
      <c r="T42" s="2810"/>
      <c r="U42" s="2759"/>
      <c r="V42" s="2767"/>
    </row>
    <row r="43" spans="1:23" ht="13.15" customHeight="1">
      <c r="A43" s="2771"/>
      <c r="B43" s="2771"/>
      <c r="C43" s="2771"/>
      <c r="D43" s="2771"/>
      <c r="E43" s="2771"/>
      <c r="F43" s="2771"/>
      <c r="I43" s="2754"/>
      <c r="J43" s="3298"/>
      <c r="K43" s="2874"/>
      <c r="L43" s="2875"/>
      <c r="M43" s="2876"/>
      <c r="N43" s="2802"/>
      <c r="O43" s="2802"/>
      <c r="P43" s="2802"/>
      <c r="Q43" s="2864"/>
      <c r="R43" s="2837">
        <f>ROUND(O43*N43*P43*(1-Q43)/10000,0)</f>
        <v>0</v>
      </c>
      <c r="S43" s="2759"/>
      <c r="T43" s="2759"/>
      <c r="V43" s="2914"/>
      <c r="W43" s="2915"/>
    </row>
    <row r="44" spans="1:23" ht="13.15" customHeight="1" thickBot="1">
      <c r="J44" s="2879">
        <v>6</v>
      </c>
      <c r="K44" s="2880" t="s">
        <v>2920</v>
      </c>
      <c r="L44" s="2916" t="s">
        <v>2921</v>
      </c>
      <c r="M44" s="2882"/>
      <c r="N44" s="2916" t="s">
        <v>2922</v>
      </c>
      <c r="O44" s="2882"/>
      <c r="P44" s="2916" t="s">
        <v>2923</v>
      </c>
      <c r="Q44" s="2884">
        <v>1.4999999999999999E-2</v>
      </c>
      <c r="R44" s="28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2105</v>
      </c>
      <c r="B1" s="1856"/>
      <c r="C1" s="1856"/>
      <c r="D1" s="1856"/>
      <c r="E1" s="1857"/>
      <c r="F1" s="2646"/>
      <c r="G1" s="467"/>
      <c r="H1" s="467"/>
      <c r="I1" s="467"/>
      <c r="J1" s="467"/>
      <c r="K1" s="467"/>
      <c r="L1" s="467"/>
      <c r="M1" s="467"/>
      <c r="N1" s="467"/>
      <c r="O1" s="467"/>
      <c r="P1" s="467"/>
      <c r="Q1" s="467"/>
      <c r="R1" s="467"/>
      <c r="S1" s="467"/>
    </row>
    <row r="2" spans="1:22" ht="15.75">
      <c r="A2" s="1858" t="s">
        <v>1906</v>
      </c>
      <c r="B2" s="918">
        <f ca="1">SUMIF(B6:B13,"&lt;&gt;#ref!",B6:B13)</f>
        <v>3416</v>
      </c>
      <c r="C2" s="1859" t="s">
        <v>2098</v>
      </c>
      <c r="D2" s="1860" t="s">
        <v>2099</v>
      </c>
      <c r="E2" s="2556">
        <f>SUM(E6:E13)</f>
        <v>1018</v>
      </c>
      <c r="F2" s="2646"/>
      <c r="G2" s="467"/>
      <c r="H2" s="467"/>
      <c r="I2" s="467"/>
      <c r="J2" s="467"/>
      <c r="K2" s="467"/>
      <c r="L2" s="467"/>
      <c r="M2" s="467"/>
      <c r="N2" s="467"/>
      <c r="O2" s="467"/>
      <c r="P2" s="467"/>
      <c r="Q2" s="467"/>
      <c r="R2" s="467"/>
      <c r="S2" s="467"/>
    </row>
    <row r="3" spans="1:22" ht="15.75">
      <c r="A3" s="1858" t="s">
        <v>1118</v>
      </c>
      <c r="B3" s="2550">
        <f ca="1">ROUND(B2*10000/E2,0)</f>
        <v>33556</v>
      </c>
      <c r="C3" s="1859" t="s">
        <v>2106</v>
      </c>
      <c r="D3" s="2646"/>
      <c r="E3" s="2649"/>
      <c r="F3" s="2646"/>
      <c r="G3" s="467"/>
      <c r="H3" s="467"/>
      <c r="I3" s="467"/>
      <c r="J3" s="467"/>
      <c r="K3" s="467"/>
      <c r="L3" s="467"/>
      <c r="M3" s="467"/>
      <c r="N3" s="467"/>
      <c r="O3" s="467"/>
      <c r="P3" s="467"/>
      <c r="Q3" s="467"/>
      <c r="R3" s="467"/>
      <c r="S3" s="467"/>
    </row>
    <row r="4" spans="1:22" ht="15.75">
      <c r="A4" s="2650"/>
      <c r="B4" s="2646"/>
      <c r="C4" s="2646"/>
      <c r="D4" s="2646"/>
      <c r="E4" s="2649"/>
      <c r="F4" s="2646"/>
      <c r="G4" s="467"/>
      <c r="H4" s="467"/>
      <c r="I4" s="467"/>
      <c r="J4" s="467"/>
      <c r="K4" s="467"/>
      <c r="L4" s="467"/>
      <c r="M4" s="467"/>
      <c r="N4" s="467"/>
      <c r="O4" s="467"/>
      <c r="P4" s="467"/>
      <c r="Q4" s="467"/>
      <c r="R4" s="467"/>
      <c r="S4" s="467"/>
    </row>
    <row r="5" spans="1:22" ht="15">
      <c r="A5" s="2552" t="s">
        <v>2100</v>
      </c>
      <c r="B5" s="3299" t="s">
        <v>2101</v>
      </c>
      <c r="C5" s="3300"/>
      <c r="D5" s="2647"/>
      <c r="E5" s="1861" t="s">
        <v>2102</v>
      </c>
      <c r="F5" s="134" t="s">
        <v>2103</v>
      </c>
      <c r="G5" s="467"/>
      <c r="H5" s="467"/>
      <c r="I5" s="467"/>
      <c r="J5" s="467"/>
      <c r="K5" s="467"/>
      <c r="L5" s="467"/>
      <c r="M5" s="467"/>
      <c r="N5" s="467"/>
      <c r="O5" s="467"/>
      <c r="P5" s="467"/>
      <c r="Q5" s="467"/>
      <c r="R5" s="467"/>
      <c r="S5" s="467"/>
    </row>
    <row r="6" spans="1:22">
      <c r="A6" s="2553" t="str">
        <f>'数据-取费表'!AN6</f>
        <v>收益法 (1层)</v>
      </c>
      <c r="B6" s="2551">
        <f ca="1">IF(F6="是",'数据-取费表'!AO6,0)</f>
        <v>1221</v>
      </c>
      <c r="C6" s="1859" t="s">
        <v>2098</v>
      </c>
      <c r="D6" s="2646"/>
      <c r="E6" s="2555">
        <f>IF(OR(A6=0,F6="否"),0,'数据-取费表'!K6+'数据-取费表'!S6)</f>
        <v>256</v>
      </c>
      <c r="F6" s="1862" t="s">
        <v>2104</v>
      </c>
      <c r="G6" s="467"/>
      <c r="H6" s="467"/>
      <c r="I6" s="467"/>
      <c r="J6" s="467"/>
      <c r="K6" s="467"/>
      <c r="L6" s="467"/>
      <c r="M6" s="467"/>
      <c r="N6" s="467"/>
      <c r="O6" s="467"/>
      <c r="P6" s="467"/>
      <c r="Q6" s="467"/>
      <c r="R6" s="467"/>
      <c r="S6" s="467"/>
    </row>
    <row r="7" spans="1:22">
      <c r="A7" s="2553" t="str">
        <f>'数据-取费表'!AN7</f>
        <v>收益法 (3层)</v>
      </c>
      <c r="B7" s="2551">
        <f ca="1">IF(F7="是",'数据-取费表'!AO7,0)</f>
        <v>2195</v>
      </c>
      <c r="C7" s="1859" t="s">
        <v>2098</v>
      </c>
      <c r="D7" s="2646"/>
      <c r="E7" s="2555">
        <f>IF(OR(A7=0,F7="否"),0,'数据-取费表'!K7+'数据-取费表'!S7)</f>
        <v>762</v>
      </c>
      <c r="F7" s="1862" t="s">
        <v>2104</v>
      </c>
      <c r="G7" s="467"/>
      <c r="H7" s="467"/>
      <c r="I7" s="467"/>
      <c r="J7" s="467"/>
      <c r="K7" s="467"/>
      <c r="L7" s="467"/>
      <c r="M7" s="467"/>
      <c r="N7" s="467"/>
      <c r="O7" s="467"/>
      <c r="P7" s="467"/>
      <c r="Q7" s="467"/>
      <c r="R7" s="467"/>
      <c r="S7" s="467"/>
    </row>
    <row r="8" spans="1:22">
      <c r="A8" s="2553">
        <f>'数据-取费表'!AN8</f>
        <v>0</v>
      </c>
      <c r="B8" s="2551" t="e">
        <f ca="1">IF(F8="是",'数据-取费表'!AO8,0)</f>
        <v>#REF!</v>
      </c>
      <c r="C8" s="1859" t="s">
        <v>2098</v>
      </c>
      <c r="D8" s="2646"/>
      <c r="E8" s="2555">
        <f>IF(OR(A8=0,F8="否"),0,'数据-取费表'!K8+'数据-取费表'!S8)</f>
        <v>0</v>
      </c>
      <c r="F8" s="1862" t="s">
        <v>2104</v>
      </c>
      <c r="G8" s="467"/>
      <c r="H8" s="467"/>
      <c r="I8" s="467"/>
      <c r="J8" s="467"/>
      <c r="K8" s="467"/>
      <c r="L8" s="467"/>
      <c r="M8" s="467"/>
      <c r="N8" s="467"/>
      <c r="O8" s="467"/>
      <c r="P8" s="467"/>
      <c r="Q8" s="467"/>
      <c r="R8" s="467"/>
      <c r="S8" s="467"/>
    </row>
    <row r="9" spans="1:22">
      <c r="A9" s="2553">
        <f>'数据-取费表'!AN9</f>
        <v>0</v>
      </c>
      <c r="B9" s="2551" t="e">
        <f ca="1">IF(F9="是",'数据-取费表'!AO9,0)</f>
        <v>#REF!</v>
      </c>
      <c r="C9" s="1859" t="s">
        <v>2098</v>
      </c>
      <c r="D9" s="2646"/>
      <c r="E9" s="2555">
        <f>IF(OR(A9=0,F9="否"),0,'数据-取费表'!K9+'数据-取费表'!S9)</f>
        <v>0</v>
      </c>
      <c r="F9" s="1862" t="s">
        <v>2104</v>
      </c>
      <c r="G9" s="467"/>
      <c r="H9" s="467"/>
      <c r="I9" s="467"/>
      <c r="J9" s="467"/>
      <c r="K9" s="467"/>
      <c r="L9" s="467"/>
      <c r="M9" s="467"/>
      <c r="N9" s="467"/>
      <c r="O9" s="467"/>
      <c r="P9" s="467"/>
      <c r="Q9" s="467"/>
      <c r="R9" s="467"/>
      <c r="S9" s="467"/>
    </row>
    <row r="10" spans="1:22">
      <c r="A10" s="2553">
        <f>'数据-取费表'!AN10</f>
        <v>0</v>
      </c>
      <c r="B10" s="2551" t="e">
        <f ca="1">IF(F10="是",'数据-取费表'!AO10,0)</f>
        <v>#REF!</v>
      </c>
      <c r="C10" s="1859" t="s">
        <v>2098</v>
      </c>
      <c r="D10" s="2646"/>
      <c r="E10" s="2555">
        <f>IF(OR(A10=0,F10="否"),0,'数据-取费表'!K10+'数据-取费表'!S10)</f>
        <v>0</v>
      </c>
      <c r="F10" s="1862" t="s">
        <v>2104</v>
      </c>
      <c r="G10" s="467"/>
      <c r="H10" s="467"/>
      <c r="I10" s="467"/>
      <c r="J10" s="467"/>
      <c r="K10" s="467"/>
      <c r="L10" s="467"/>
      <c r="M10" s="467"/>
      <c r="N10" s="467"/>
      <c r="O10" s="467"/>
      <c r="P10" s="467"/>
      <c r="Q10" s="467"/>
      <c r="R10" s="467"/>
      <c r="S10" s="467"/>
    </row>
    <row r="11" spans="1:22">
      <c r="A11" s="2553">
        <f>'数据-取费表'!AN11</f>
        <v>0</v>
      </c>
      <c r="B11" s="2551" t="e">
        <f ca="1">IF(F11="是",'数据-取费表'!AO11,0)</f>
        <v>#REF!</v>
      </c>
      <c r="C11" s="1859" t="s">
        <v>2098</v>
      </c>
      <c r="D11" s="2646"/>
      <c r="E11" s="2555">
        <f>IF(OR(A11=0,F11="否"),0,'数据-取费表'!K11+'数据-取费表'!S11)</f>
        <v>0</v>
      </c>
      <c r="F11" s="1862" t="s">
        <v>2104</v>
      </c>
      <c r="G11" s="467"/>
      <c r="H11" s="467"/>
      <c r="I11" s="467"/>
      <c r="J11" s="467"/>
      <c r="K11" s="467"/>
      <c r="L11" s="467"/>
      <c r="M11" s="467"/>
      <c r="N11" s="467"/>
      <c r="O11" s="467"/>
      <c r="P11" s="467"/>
      <c r="Q11" s="467"/>
      <c r="R11" s="467"/>
      <c r="S11" s="467"/>
    </row>
    <row r="12" spans="1:22">
      <c r="A12" s="2553">
        <f>'数据-取费表'!AN12</f>
        <v>0</v>
      </c>
      <c r="B12" s="2551" t="e">
        <f ca="1">IF(F12="是",'数据-取费表'!AO12,0)</f>
        <v>#REF!</v>
      </c>
      <c r="C12" s="1859" t="s">
        <v>2098</v>
      </c>
      <c r="D12" s="2646"/>
      <c r="E12" s="2555">
        <f>IF(OR(A12=0,F12="否"),0,'数据-取费表'!K12+'数据-取费表'!S12)</f>
        <v>0</v>
      </c>
      <c r="F12" s="1862" t="s">
        <v>2104</v>
      </c>
      <c r="G12" s="467"/>
      <c r="H12" s="467"/>
      <c r="I12" s="467"/>
      <c r="J12" s="467"/>
      <c r="K12" s="467"/>
      <c r="L12" s="467"/>
      <c r="M12" s="467"/>
      <c r="N12" s="467"/>
      <c r="O12" s="467"/>
      <c r="P12" s="467"/>
      <c r="Q12" s="467"/>
      <c r="R12" s="467"/>
      <c r="S12" s="467"/>
    </row>
    <row r="13" spans="1:22" ht="15" thickBot="1">
      <c r="A13" s="2554">
        <f>'数据-取费表'!AN13</f>
        <v>0</v>
      </c>
      <c r="B13" s="2551" t="e">
        <f ca="1">IF(F13="是",'数据-取费表'!AO13,0)</f>
        <v>#REF!</v>
      </c>
      <c r="C13" s="1863" t="s">
        <v>2098</v>
      </c>
      <c r="D13" s="2648"/>
      <c r="E13" s="2555">
        <f>IF(OR(A13=0,F13="否"),0,'数据-取费表'!K13+'数据-取费表'!S13)</f>
        <v>0</v>
      </c>
      <c r="F13" s="1862" t="s">
        <v>2104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2108</v>
      </c>
      <c r="C1" s="1270" t="s">
        <v>2109</v>
      </c>
      <c r="D1" s="1257"/>
      <c r="E1" s="2307"/>
      <c r="F1" s="1865" t="s">
        <v>2110</v>
      </c>
      <c r="G1" s="1267" t="s">
        <v>2111</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1117</v>
      </c>
      <c r="B2" s="1195" t="e">
        <f ca="1">IF(C2="——",ROUND(C49*D3/10000,0),ROUND(C49*D3/10000,0)-D2)</f>
        <v>#DIV/0!</v>
      </c>
      <c r="C2" s="1867"/>
      <c r="D2" s="1160" t="e">
        <f ca="1">SUMIF(INDIRECT("'"&amp;F2&amp;"'"&amp;"!A:A"),"承租人权益价值",INDIRECT("'"&amp;F2&amp;"'"&amp;"!c:c"))</f>
        <v>#REF!</v>
      </c>
      <c r="E2" s="1868" t="s">
        <v>2112</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1118</v>
      </c>
      <c r="B3" s="349" t="e">
        <f ca="1">IF(C2="——",C49,ROUND(B2*10000/D3,0))</f>
        <v>#DIV/0!</v>
      </c>
      <c r="C3" s="350" t="s">
        <v>2113</v>
      </c>
      <c r="D3" s="349">
        <f>IF(D1="",'数据-汇总表'!E3,SUMIF('数据-汇总表'!$C19:$C33,D1,'数据-汇总表'!$E19:$E33))</f>
        <v>1018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ht="15">
      <c r="A4" s="351" t="s">
        <v>2114</v>
      </c>
      <c r="B4" s="352"/>
      <c r="C4" s="3226" t="s">
        <v>2115</v>
      </c>
      <c r="D4" s="3227"/>
      <c r="E4" s="3228" t="s">
        <v>2116</v>
      </c>
      <c r="F4" s="3229"/>
      <c r="G4" s="3226" t="s">
        <v>2117</v>
      </c>
      <c r="H4" s="3227"/>
      <c r="I4" s="3226" t="s">
        <v>2118</v>
      </c>
      <c r="J4" s="3227"/>
      <c r="K4" s="1874" t="s">
        <v>2119</v>
      </c>
      <c r="L4" s="2653"/>
      <c r="M4" s="2654"/>
      <c r="N4" s="2654"/>
      <c r="O4" s="2654"/>
      <c r="P4" s="3230" t="s">
        <v>2120</v>
      </c>
      <c r="Q4" s="3231"/>
      <c r="R4" s="3236" t="s">
        <v>2116</v>
      </c>
      <c r="S4" s="3237"/>
      <c r="T4" s="3236" t="s">
        <v>2117</v>
      </c>
      <c r="U4" s="3237"/>
      <c r="V4" s="3252" t="s">
        <v>2118</v>
      </c>
      <c r="W4" s="3252"/>
      <c r="X4" s="1394"/>
      <c r="Y4" s="3236" t="s">
        <v>2120</v>
      </c>
      <c r="Z4" s="3237"/>
      <c r="AA4" s="3223" t="s">
        <v>2116</v>
      </c>
      <c r="AB4" s="3223" t="s">
        <v>2117</v>
      </c>
      <c r="AC4" s="3223" t="s">
        <v>2118</v>
      </c>
    </row>
    <row r="5" spans="1:29" ht="15">
      <c r="A5" s="354"/>
      <c r="B5" s="355"/>
      <c r="C5" s="3240" t="s">
        <v>2121</v>
      </c>
      <c r="D5" s="3241"/>
      <c r="E5" s="3301" t="s">
        <v>2122</v>
      </c>
      <c r="F5" s="3243"/>
      <c r="G5" s="3240" t="s">
        <v>2123</v>
      </c>
      <c r="H5" s="3241"/>
      <c r="I5" s="3240" t="s">
        <v>2124</v>
      </c>
      <c r="J5" s="3241"/>
      <c r="K5" s="1875"/>
      <c r="L5" s="2653"/>
      <c r="M5" s="2654"/>
      <c r="N5" s="2654"/>
      <c r="O5" s="2654"/>
      <c r="P5" s="3232"/>
      <c r="Q5" s="3233"/>
      <c r="R5" s="3238"/>
      <c r="S5" s="3239"/>
      <c r="T5" s="3238"/>
      <c r="U5" s="3239"/>
      <c r="V5" s="3252"/>
      <c r="W5" s="3252"/>
      <c r="X5" s="1394"/>
      <c r="Y5" s="3238"/>
      <c r="Z5" s="3239"/>
      <c r="AA5" s="3224"/>
      <c r="AB5" s="3224"/>
      <c r="AC5" s="3224"/>
    </row>
    <row r="6" spans="1:29" ht="15.75" thickBot="1">
      <c r="A6" s="356"/>
      <c r="B6" s="357"/>
      <c r="C6" s="3245" t="s">
        <v>2125</v>
      </c>
      <c r="D6" s="3246"/>
      <c r="E6" s="3247" t="s">
        <v>2125</v>
      </c>
      <c r="F6" s="3248"/>
      <c r="G6" s="3245" t="s">
        <v>2125</v>
      </c>
      <c r="H6" s="3246"/>
      <c r="I6" s="3245" t="s">
        <v>2125</v>
      </c>
      <c r="J6" s="3246"/>
      <c r="K6" s="1875" t="s">
        <v>2126</v>
      </c>
      <c r="L6" s="2653"/>
      <c r="M6" s="2654"/>
      <c r="N6" s="2654"/>
      <c r="O6" s="2654"/>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SUMIF(58:58,YEAR(E7)&amp;"-"&amp;MONTH(E7),59:59)</f>
        <v>0</v>
      </c>
      <c r="G7" s="362"/>
      <c r="H7" s="361">
        <f>SUMIF(58:58,YEAR(G7)&amp;"-"&amp;MONTH(G7),59:59)</f>
        <v>0</v>
      </c>
      <c r="I7" s="362"/>
      <c r="J7" s="361">
        <f>SUMIF(58:58,YEAR(I7)&amp;"-"&amp;MONTH(I7),59:59)</f>
        <v>0</v>
      </c>
      <c r="K7" s="1876"/>
      <c r="L7" s="2655"/>
      <c r="M7" s="2604"/>
      <c r="N7" s="2604"/>
      <c r="O7" s="2604"/>
      <c r="P7" s="3253" t="s">
        <v>2128</v>
      </c>
      <c r="Q7" s="3254"/>
      <c r="R7" s="673" t="s">
        <v>23</v>
      </c>
      <c r="S7" s="674">
        <f t="shared" ref="S7:S15" si="0">F7</f>
        <v>0</v>
      </c>
      <c r="T7" s="673" t="s">
        <v>23</v>
      </c>
      <c r="U7" s="674">
        <f t="shared" ref="U7:U15" si="1">H7</f>
        <v>0</v>
      </c>
      <c r="V7" s="673" t="s">
        <v>23</v>
      </c>
      <c r="W7" s="674">
        <f t="shared" ref="W7:W15" si="2">J7</f>
        <v>0</v>
      </c>
      <c r="X7" s="675"/>
      <c r="Y7" s="3253" t="s">
        <v>2128</v>
      </c>
      <c r="Z7" s="3255"/>
      <c r="AA7" s="53" t="e">
        <f>D7/F7</f>
        <v>#DIV/0!</v>
      </c>
      <c r="AB7" s="53" t="e">
        <f>D7/H7</f>
        <v>#DIV/0!</v>
      </c>
      <c r="AC7" s="53" t="e">
        <f>D7/J7</f>
        <v>#DIV/0!</v>
      </c>
    </row>
    <row r="8" spans="1:29" s="107" customFormat="1" ht="15.75" thickBot="1">
      <c r="A8" s="358" t="s">
        <v>2129</v>
      </c>
      <c r="B8" s="359"/>
      <c r="C8" s="364" t="s">
        <v>2130</v>
      </c>
      <c r="D8" s="361">
        <v>100</v>
      </c>
      <c r="E8" s="1877"/>
      <c r="F8" s="363">
        <f>SUMIF(61:61,E8,62:62)-SUMIF(61:61,C8,62:62)+100</f>
        <v>0</v>
      </c>
      <c r="G8" s="364"/>
      <c r="H8" s="361">
        <f>SUMIF(61:61,G8,62:62)-SUMIF(61:61,C8,62:62)+100</f>
        <v>0</v>
      </c>
      <c r="I8" s="1877"/>
      <c r="J8" s="361">
        <f>SUMIF(61:61,I8,62:62)-SUMIF(61:61,C8,62:62)+100</f>
        <v>0</v>
      </c>
      <c r="K8" s="1876"/>
      <c r="L8" s="2655"/>
      <c r="M8" s="2604"/>
      <c r="N8" s="2604"/>
      <c r="O8" s="2604"/>
      <c r="P8" s="3253" t="s">
        <v>2131</v>
      </c>
      <c r="Q8" s="3255"/>
      <c r="R8" s="673" t="s">
        <v>23</v>
      </c>
      <c r="S8" s="674">
        <f t="shared" si="0"/>
        <v>0</v>
      </c>
      <c r="T8" s="673" t="s">
        <v>23</v>
      </c>
      <c r="U8" s="674">
        <f t="shared" si="1"/>
        <v>0</v>
      </c>
      <c r="V8" s="673" t="s">
        <v>23</v>
      </c>
      <c r="W8" s="674">
        <f t="shared" si="2"/>
        <v>0</v>
      </c>
      <c r="X8" s="675"/>
      <c r="Y8" s="3253" t="s">
        <v>2131</v>
      </c>
      <c r="Z8" s="3255"/>
      <c r="AA8" s="53" t="e">
        <f t="shared" ref="AA8:AA19" si="3">D8/F8</f>
        <v>#DIV/0!</v>
      </c>
      <c r="AB8" s="53" t="e">
        <f t="shared" ref="AB8:AB19" si="4">D8/H8</f>
        <v>#DIV/0!</v>
      </c>
      <c r="AC8" s="53" t="e">
        <f t="shared" ref="AC8:AC19" si="5">D8/J8</f>
        <v>#DIV/0!</v>
      </c>
    </row>
    <row r="9" spans="1:29" s="107" customFormat="1">
      <c r="A9" s="365" t="s">
        <v>2132</v>
      </c>
      <c r="B9" s="64" t="s">
        <v>2133</v>
      </c>
      <c r="C9" s="366"/>
      <c r="D9" s="63">
        <v>100</v>
      </c>
      <c r="E9" s="367"/>
      <c r="F9" s="64">
        <f>SUMIF(63:63,E9,64:64)-SUMIF(63:63,C9,64:64)+100</f>
        <v>100</v>
      </c>
      <c r="G9" s="368"/>
      <c r="H9" s="63">
        <f>SUMIF(63:63,G9,64:64)-SUMIF(63:63,C9,64:64)+100</f>
        <v>100</v>
      </c>
      <c r="I9" s="368"/>
      <c r="J9" s="63">
        <f>SUMIF(63:63,I9,64:64)-SUMIF(63:63,C9,64:64)+100</f>
        <v>100</v>
      </c>
      <c r="K9" s="1876"/>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
      <c r="A11" s="375"/>
      <c r="B11" s="370" t="s">
        <v>2137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56"/>
      <c r="Q11" s="538" t="str">
        <f t="shared" si="6"/>
        <v>容积率</v>
      </c>
      <c r="R11" s="673" t="s">
        <v>21</v>
      </c>
      <c r="S11" s="674" t="e">
        <f t="shared" si="0"/>
        <v>#N/A</v>
      </c>
      <c r="T11" s="673" t="s">
        <v>21</v>
      </c>
      <c r="U11" s="674" t="e">
        <f t="shared" si="1"/>
        <v>#N/A</v>
      </c>
      <c r="V11" s="673" t="s">
        <v>21</v>
      </c>
      <c r="W11" s="674" t="e">
        <f t="shared" si="2"/>
        <v>#N/A</v>
      </c>
      <c r="X11" s="675"/>
      <c r="Y11" s="3191"/>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4"/>
      <c r="N12" s="2604"/>
      <c r="O12" s="2604"/>
      <c r="P12" s="3256"/>
      <c r="Q12" s="538">
        <f t="shared" si="6"/>
        <v>111</v>
      </c>
      <c r="R12" s="673" t="s">
        <v>21</v>
      </c>
      <c r="S12" s="674">
        <f t="shared" si="0"/>
        <v>100</v>
      </c>
      <c r="T12" s="673" t="s">
        <v>21</v>
      </c>
      <c r="U12" s="674">
        <f t="shared" si="1"/>
        <v>100</v>
      </c>
      <c r="V12" s="673" t="s">
        <v>21</v>
      </c>
      <c r="W12" s="674">
        <f t="shared" si="2"/>
        <v>100</v>
      </c>
      <c r="X12" s="675"/>
      <c r="Y12" s="3191"/>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56"/>
      <c r="Q13" s="538">
        <f t="shared" si="6"/>
        <v>111</v>
      </c>
      <c r="R13" s="673" t="s">
        <v>21</v>
      </c>
      <c r="S13" s="674">
        <f t="shared" si="0"/>
        <v>100</v>
      </c>
      <c r="T13" s="673" t="s">
        <v>21</v>
      </c>
      <c r="U13" s="674">
        <f t="shared" si="1"/>
        <v>100</v>
      </c>
      <c r="V13" s="673" t="s">
        <v>21</v>
      </c>
      <c r="W13" s="674">
        <f t="shared" si="2"/>
        <v>100</v>
      </c>
      <c r="X13" s="675"/>
      <c r="Y13" s="3191"/>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56"/>
      <c r="Q14" s="538">
        <f t="shared" si="6"/>
        <v>111</v>
      </c>
      <c r="R14" s="673" t="s">
        <v>21</v>
      </c>
      <c r="S14" s="674">
        <f t="shared" si="0"/>
        <v>100</v>
      </c>
      <c r="T14" s="673" t="s">
        <v>21</v>
      </c>
      <c r="U14" s="674">
        <f t="shared" si="1"/>
        <v>100</v>
      </c>
      <c r="V14" s="673" t="s">
        <v>21</v>
      </c>
      <c r="W14" s="674">
        <f t="shared" si="2"/>
        <v>100</v>
      </c>
      <c r="X14" s="675"/>
      <c r="Y14" s="3191"/>
      <c r="Z14" s="53">
        <f t="shared" si="7"/>
        <v>111</v>
      </c>
      <c r="AA14" s="53">
        <f t="shared" si="3"/>
        <v>1</v>
      </c>
      <c r="AB14" s="53">
        <f t="shared" si="4"/>
        <v>1</v>
      </c>
      <c r="AC14" s="53">
        <f t="shared" si="5"/>
        <v>1</v>
      </c>
    </row>
    <row r="15" spans="1:29" ht="99.75">
      <c r="A15" s="387" t="s">
        <v>2138</v>
      </c>
      <c r="B15" s="62" t="s">
        <v>1701</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57" t="s">
        <v>2139</v>
      </c>
      <c r="Q15" s="1392" t="str">
        <f t="shared" si="6"/>
        <v>居住社区成熟度</v>
      </c>
      <c r="R15" s="676" t="s">
        <v>21</v>
      </c>
      <c r="S15" s="677">
        <f t="shared" si="0"/>
        <v>100</v>
      </c>
      <c r="T15" s="676" t="s">
        <v>21</v>
      </c>
      <c r="U15" s="677">
        <f t="shared" si="1"/>
        <v>100</v>
      </c>
      <c r="V15" s="676" t="s">
        <v>21</v>
      </c>
      <c r="W15" s="677">
        <f t="shared" si="2"/>
        <v>100</v>
      </c>
      <c r="X15" s="1394"/>
      <c r="Y15" s="3259" t="s">
        <v>2139</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9"/>
      <c r="M16" s="2654"/>
      <c r="N16" s="2654"/>
      <c r="O16" s="2654"/>
      <c r="P16" s="3258"/>
      <c r="Q16" s="1392"/>
      <c r="R16" s="676"/>
      <c r="S16" s="677"/>
      <c r="T16" s="676"/>
      <c r="U16" s="677"/>
      <c r="V16" s="676"/>
      <c r="W16" s="677"/>
      <c r="X16" s="1394"/>
      <c r="Y16" s="3260"/>
      <c r="Z16" s="1393"/>
      <c r="AA16" s="1393">
        <v>1</v>
      </c>
      <c r="AB16" s="1393">
        <v>1</v>
      </c>
      <c r="AC16" s="1393">
        <v>1</v>
      </c>
    </row>
    <row r="17" spans="1:29" ht="185.25">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58"/>
      <c r="Q17" s="1392" t="str">
        <f>B17</f>
        <v>交通便捷度</v>
      </c>
      <c r="R17" s="676" t="s">
        <v>21</v>
      </c>
      <c r="S17" s="677">
        <f>F17</f>
        <v>100</v>
      </c>
      <c r="T17" s="676" t="s">
        <v>21</v>
      </c>
      <c r="U17" s="677">
        <f>H17</f>
        <v>100</v>
      </c>
      <c r="V17" s="676" t="s">
        <v>21</v>
      </c>
      <c r="W17" s="677">
        <f>J17</f>
        <v>100</v>
      </c>
      <c r="X17" s="1394"/>
      <c r="Y17" s="3260"/>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9"/>
      <c r="M18" s="2654"/>
      <c r="N18" s="2654"/>
      <c r="O18" s="2654"/>
      <c r="P18" s="3258"/>
      <c r="Q18" s="1392"/>
      <c r="R18" s="676"/>
      <c r="S18" s="677"/>
      <c r="T18" s="676"/>
      <c r="U18" s="677"/>
      <c r="V18" s="676"/>
      <c r="W18" s="677"/>
      <c r="X18" s="1394"/>
      <c r="Y18" s="3260"/>
      <c r="Z18" s="1393"/>
      <c r="AA18" s="1393">
        <v>1</v>
      </c>
      <c r="AB18" s="1393">
        <v>1</v>
      </c>
      <c r="AC18" s="1393">
        <v>1</v>
      </c>
    </row>
    <row r="19" spans="1:29" ht="42.75">
      <c r="A19" s="375"/>
      <c r="B19" s="398" t="s">
        <v>1702</v>
      </c>
      <c r="C19" s="1884" t="str">
        <f>估价对象房地状况!C7</f>
        <v>估价对象所在区域公共配套设施齐备</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58"/>
      <c r="Q19" s="1392" t="str">
        <f>B19</f>
        <v>公共配套设施</v>
      </c>
      <c r="R19" s="676" t="s">
        <v>21</v>
      </c>
      <c r="S19" s="677">
        <f>F19</f>
        <v>100</v>
      </c>
      <c r="T19" s="676" t="s">
        <v>21</v>
      </c>
      <c r="U19" s="677">
        <f>H19</f>
        <v>100</v>
      </c>
      <c r="V19" s="676" t="s">
        <v>21</v>
      </c>
      <c r="W19" s="677">
        <f>J19</f>
        <v>100</v>
      </c>
      <c r="X19" s="1394"/>
      <c r="Y19" s="3260"/>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9"/>
      <c r="M20" s="2654"/>
      <c r="N20" s="2654"/>
      <c r="O20" s="2654"/>
      <c r="P20" s="3258"/>
      <c r="Q20" s="1392"/>
      <c r="R20" s="676"/>
      <c r="S20" s="677"/>
      <c r="T20" s="676"/>
      <c r="U20" s="677"/>
      <c r="V20" s="676"/>
      <c r="W20" s="677"/>
      <c r="X20" s="1394"/>
      <c r="Y20" s="3260"/>
      <c r="Z20" s="1393"/>
      <c r="AA20" s="1393">
        <v>1</v>
      </c>
      <c r="AB20" s="1393">
        <v>1</v>
      </c>
      <c r="AC20" s="1393">
        <v>1</v>
      </c>
    </row>
    <row r="21" spans="1:29" ht="42.75">
      <c r="A21" s="375"/>
      <c r="B21" s="594" t="s">
        <v>1704</v>
      </c>
      <c r="C21" s="1884" t="str">
        <f>估价对象房地状况!C8</f>
        <v>估价对象所在区域基础设施水平达七通</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c r="D22" s="395"/>
      <c r="E22" s="394"/>
      <c r="F22" s="395"/>
      <c r="G22" s="1888"/>
      <c r="H22" s="395"/>
      <c r="I22" s="394"/>
      <c r="J22" s="395"/>
      <c r="K22" s="1889"/>
      <c r="L22" s="2659"/>
      <c r="M22" s="2654"/>
      <c r="N22" s="2654"/>
      <c r="O22" s="2654"/>
      <c r="P22" s="3258"/>
      <c r="Q22" s="1392"/>
      <c r="R22" s="676"/>
      <c r="S22" s="677"/>
      <c r="T22" s="676"/>
      <c r="U22" s="677"/>
      <c r="V22" s="676"/>
      <c r="W22" s="677"/>
      <c r="X22" s="1394"/>
      <c r="Y22" s="3260"/>
      <c r="Z22" s="1393"/>
      <c r="AA22" s="1393">
        <v>1</v>
      </c>
      <c r="AB22" s="1393">
        <v>1</v>
      </c>
      <c r="AC22" s="1393">
        <v>1</v>
      </c>
    </row>
    <row r="23" spans="1:29" ht="128.25">
      <c r="A23" s="375"/>
      <c r="B23" s="398" t="s">
        <v>1705</v>
      </c>
      <c r="C23" s="1884" t="str">
        <f>估价对象房地状况!C9</f>
        <v>区域自然环境：南长河、北护城河等；人文环境：北京动物园、北京海洋馆、北京展览馆、北京天文馆等；综合评价环境状况好</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58"/>
      <c r="Q23" s="1392" t="str">
        <f>B23</f>
        <v>自然及人文环境</v>
      </c>
      <c r="R23" s="676" t="s">
        <v>21</v>
      </c>
      <c r="S23" s="677">
        <f>F23</f>
        <v>100</v>
      </c>
      <c r="T23" s="676" t="s">
        <v>21</v>
      </c>
      <c r="U23" s="677">
        <f>H23</f>
        <v>100</v>
      </c>
      <c r="V23" s="676" t="s">
        <v>21</v>
      </c>
      <c r="W23" s="677">
        <f>J23</f>
        <v>100</v>
      </c>
      <c r="X23" s="1394"/>
      <c r="Y23" s="3260"/>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9"/>
      <c r="M24" s="2654"/>
      <c r="N24" s="2654"/>
      <c r="O24" s="2654"/>
      <c r="P24" s="3258"/>
      <c r="Q24" s="1392"/>
      <c r="R24" s="676"/>
      <c r="S24" s="677"/>
      <c r="T24" s="676"/>
      <c r="U24" s="677"/>
      <c r="V24" s="676"/>
      <c r="W24" s="677"/>
      <c r="X24" s="1394"/>
      <c r="Y24" s="3260"/>
      <c r="Z24" s="1393"/>
      <c r="AA24" s="1393">
        <v>1</v>
      </c>
      <c r="AB24" s="1393">
        <v>1</v>
      </c>
      <c r="AC24" s="1393">
        <v>1</v>
      </c>
    </row>
    <row r="25" spans="1:29" ht="15">
      <c r="A25" s="375"/>
      <c r="B25" s="370" t="s">
        <v>2140</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58"/>
      <c r="Q25" s="1392" t="str">
        <f t="shared" ref="Q25:Q46" si="8">B25</f>
        <v>楼层-1</v>
      </c>
      <c r="R25" s="676" t="s">
        <v>21</v>
      </c>
      <c r="S25" s="677">
        <f t="shared" ref="S25:S46" si="9">F25</f>
        <v>100</v>
      </c>
      <c r="T25" s="676" t="s">
        <v>21</v>
      </c>
      <c r="U25" s="677">
        <f t="shared" ref="U25:U46" si="10">H25</f>
        <v>100</v>
      </c>
      <c r="V25" s="676" t="s">
        <v>21</v>
      </c>
      <c r="W25" s="677">
        <f t="shared" ref="W25:W46" si="11">J25</f>
        <v>100</v>
      </c>
      <c r="X25" s="1394"/>
      <c r="Y25" s="3260"/>
      <c r="Z25" s="1393" t="str">
        <f>Q25</f>
        <v>楼层-1</v>
      </c>
      <c r="AA25" s="1393">
        <f t="shared" ref="AA25:AA46" si="12">D25/F25</f>
        <v>1</v>
      </c>
      <c r="AB25" s="1393">
        <f t="shared" ref="AB25:AB46" si="13">D25/H25</f>
        <v>1</v>
      </c>
      <c r="AC25" s="1393">
        <f t="shared" ref="AC25:AC46" si="14">D25/J25</f>
        <v>1</v>
      </c>
    </row>
    <row r="26" spans="1:29" ht="15">
      <c r="A26" s="375"/>
      <c r="B26" s="370" t="s">
        <v>2141</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58"/>
      <c r="Q26" s="1392" t="str">
        <f t="shared" si="8"/>
        <v>朝向</v>
      </c>
      <c r="R26" s="676" t="s">
        <v>21</v>
      </c>
      <c r="S26" s="677">
        <f t="shared" si="9"/>
        <v>100</v>
      </c>
      <c r="T26" s="676" t="s">
        <v>21</v>
      </c>
      <c r="U26" s="677">
        <f t="shared" si="10"/>
        <v>100</v>
      </c>
      <c r="V26" s="676" t="s">
        <v>21</v>
      </c>
      <c r="W26" s="677">
        <f t="shared" si="11"/>
        <v>100</v>
      </c>
      <c r="X26" s="1394"/>
      <c r="Y26" s="3260"/>
      <c r="Z26" s="1393" t="str">
        <f>Q26</f>
        <v>朝向</v>
      </c>
      <c r="AA26" s="1393">
        <f t="shared" si="12"/>
        <v>1</v>
      </c>
      <c r="AB26" s="1393">
        <f t="shared" si="13"/>
        <v>1</v>
      </c>
      <c r="AC26" s="1393">
        <f t="shared" si="14"/>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4"/>
      <c r="N27" s="2604"/>
      <c r="O27" s="2604"/>
      <c r="P27" s="3258"/>
      <c r="Q27" s="538">
        <f t="shared" si="8"/>
        <v>111</v>
      </c>
      <c r="R27" s="673" t="s">
        <v>21</v>
      </c>
      <c r="S27" s="674">
        <f t="shared" si="9"/>
        <v>100</v>
      </c>
      <c r="T27" s="673" t="s">
        <v>21</v>
      </c>
      <c r="U27" s="674">
        <f t="shared" si="10"/>
        <v>100</v>
      </c>
      <c r="V27" s="673" t="s">
        <v>21</v>
      </c>
      <c r="W27" s="674">
        <f t="shared" si="11"/>
        <v>100</v>
      </c>
      <c r="X27" s="675"/>
      <c r="Y27" s="3260"/>
      <c r="Z27" s="53">
        <f>Q27</f>
        <v>111</v>
      </c>
      <c r="AA27" s="1393">
        <f t="shared" si="12"/>
        <v>1</v>
      </c>
      <c r="AB27" s="1393">
        <f t="shared" si="13"/>
        <v>1</v>
      </c>
      <c r="AC27" s="1393">
        <f t="shared" si="14"/>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58"/>
      <c r="Q28" s="1392">
        <f t="shared" si="8"/>
        <v>111</v>
      </c>
      <c r="R28" s="676" t="s">
        <v>21</v>
      </c>
      <c r="S28" s="677">
        <f t="shared" si="9"/>
        <v>100</v>
      </c>
      <c r="T28" s="676" t="s">
        <v>21</v>
      </c>
      <c r="U28" s="677">
        <f t="shared" si="10"/>
        <v>100</v>
      </c>
      <c r="V28" s="676" t="s">
        <v>21</v>
      </c>
      <c r="W28" s="677">
        <f t="shared" si="11"/>
        <v>100</v>
      </c>
      <c r="X28" s="1394"/>
      <c r="Y28" s="3260"/>
      <c r="Z28" s="1393">
        <f t="shared" ref="Z28:Z46" si="15">Q28</f>
        <v>111</v>
      </c>
      <c r="AA28" s="1393">
        <f t="shared" si="12"/>
        <v>1</v>
      </c>
      <c r="AB28" s="1393">
        <f t="shared" si="13"/>
        <v>1</v>
      </c>
      <c r="AC28" s="1393">
        <f t="shared" si="14"/>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58"/>
      <c r="Q29" s="1392">
        <f t="shared" si="8"/>
        <v>111</v>
      </c>
      <c r="R29" s="676" t="s">
        <v>21</v>
      </c>
      <c r="S29" s="677">
        <f t="shared" si="9"/>
        <v>100</v>
      </c>
      <c r="T29" s="676" t="s">
        <v>21</v>
      </c>
      <c r="U29" s="677">
        <f t="shared" si="10"/>
        <v>100</v>
      </c>
      <c r="V29" s="676" t="s">
        <v>21</v>
      </c>
      <c r="W29" s="677">
        <f t="shared" si="11"/>
        <v>100</v>
      </c>
      <c r="X29" s="1394"/>
      <c r="Y29" s="3260"/>
      <c r="Z29" s="1393">
        <f t="shared" si="15"/>
        <v>111</v>
      </c>
      <c r="AA29" s="1393">
        <f t="shared" si="12"/>
        <v>1</v>
      </c>
      <c r="AB29" s="1393">
        <f t="shared" si="13"/>
        <v>1</v>
      </c>
      <c r="AC29" s="1393">
        <f t="shared" si="14"/>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58"/>
      <c r="Q30" s="1392">
        <f t="shared" si="8"/>
        <v>111</v>
      </c>
      <c r="R30" s="676" t="s">
        <v>21</v>
      </c>
      <c r="S30" s="677">
        <f t="shared" si="9"/>
        <v>100</v>
      </c>
      <c r="T30" s="676" t="s">
        <v>21</v>
      </c>
      <c r="U30" s="677">
        <f t="shared" si="10"/>
        <v>100</v>
      </c>
      <c r="V30" s="676" t="s">
        <v>21</v>
      </c>
      <c r="W30" s="677">
        <f t="shared" si="11"/>
        <v>100</v>
      </c>
      <c r="X30" s="1394"/>
      <c r="Y30" s="3260"/>
      <c r="Z30" s="1393">
        <f t="shared" si="15"/>
        <v>111</v>
      </c>
      <c r="AA30" s="1393">
        <f t="shared" si="12"/>
        <v>1</v>
      </c>
      <c r="AB30" s="1393">
        <f t="shared" si="13"/>
        <v>1</v>
      </c>
      <c r="AC30" s="1393">
        <f t="shared" si="14"/>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58"/>
      <c r="Q31" s="1392">
        <f t="shared" si="8"/>
        <v>111</v>
      </c>
      <c r="R31" s="676" t="s">
        <v>21</v>
      </c>
      <c r="S31" s="677">
        <f t="shared" si="9"/>
        <v>100</v>
      </c>
      <c r="T31" s="676" t="s">
        <v>21</v>
      </c>
      <c r="U31" s="677">
        <f t="shared" si="10"/>
        <v>100</v>
      </c>
      <c r="V31" s="676" t="s">
        <v>21</v>
      </c>
      <c r="W31" s="677">
        <f t="shared" si="11"/>
        <v>100</v>
      </c>
      <c r="X31" s="1394"/>
      <c r="Y31" s="3260"/>
      <c r="Z31" s="1393">
        <f t="shared" si="15"/>
        <v>111</v>
      </c>
      <c r="AA31" s="1393">
        <f t="shared" si="12"/>
        <v>1</v>
      </c>
      <c r="AB31" s="1393">
        <f t="shared" si="13"/>
        <v>1</v>
      </c>
      <c r="AC31" s="1393">
        <f t="shared" si="14"/>
        <v>1</v>
      </c>
    </row>
    <row r="32" spans="1:29" ht="15">
      <c r="A32" s="387" t="s">
        <v>2142</v>
      </c>
      <c r="B32" s="64" t="s">
        <v>2143</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61" t="s">
        <v>2144</v>
      </c>
      <c r="Q32" s="1392" t="str">
        <f t="shared" si="8"/>
        <v>建筑类型</v>
      </c>
      <c r="R32" s="676" t="s">
        <v>21</v>
      </c>
      <c r="S32" s="677">
        <f t="shared" si="9"/>
        <v>100</v>
      </c>
      <c r="T32" s="676" t="s">
        <v>21</v>
      </c>
      <c r="U32" s="677">
        <f t="shared" si="10"/>
        <v>100</v>
      </c>
      <c r="V32" s="676" t="s">
        <v>21</v>
      </c>
      <c r="W32" s="677">
        <f t="shared" si="11"/>
        <v>100</v>
      </c>
      <c r="X32" s="1394"/>
      <c r="Y32" s="3264" t="s">
        <v>2144</v>
      </c>
      <c r="Z32" s="1393" t="str">
        <f t="shared" si="15"/>
        <v>建筑类型</v>
      </c>
      <c r="AA32" s="1393">
        <f t="shared" si="12"/>
        <v>1</v>
      </c>
      <c r="AB32" s="1393">
        <f t="shared" si="13"/>
        <v>1</v>
      </c>
      <c r="AC32" s="1393">
        <f t="shared" si="14"/>
        <v>1</v>
      </c>
    </row>
    <row r="33" spans="1:29" s="416" customFormat="1" ht="15">
      <c r="A33" s="414"/>
      <c r="B33" s="370" t="s">
        <v>2145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62"/>
      <c r="Q33" s="539" t="str">
        <f t="shared" si="8"/>
        <v>项目建筑规模</v>
      </c>
      <c r="R33" s="678" t="s">
        <v>21</v>
      </c>
      <c r="S33" s="679" t="e">
        <f t="shared" si="9"/>
        <v>#N/A</v>
      </c>
      <c r="T33" s="678" t="s">
        <v>21</v>
      </c>
      <c r="U33" s="679" t="e">
        <f t="shared" si="10"/>
        <v>#N/A</v>
      </c>
      <c r="V33" s="678" t="s">
        <v>21</v>
      </c>
      <c r="W33" s="679" t="e">
        <f t="shared" si="11"/>
        <v>#N/A</v>
      </c>
      <c r="X33" s="680"/>
      <c r="Y33" s="3264"/>
      <c r="Z33" s="681" t="str">
        <f t="shared" si="15"/>
        <v>项目建筑规模</v>
      </c>
      <c r="AA33" s="1393" t="e">
        <f t="shared" si="12"/>
        <v>#N/A</v>
      </c>
      <c r="AB33" s="1393" t="e">
        <f t="shared" si="13"/>
        <v>#N/A</v>
      </c>
      <c r="AC33" s="1393" t="e">
        <f t="shared" si="14"/>
        <v>#N/A</v>
      </c>
    </row>
    <row r="34" spans="1:29" ht="15">
      <c r="A34" s="417"/>
      <c r="B34" s="370" t="s">
        <v>2146</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62"/>
      <c r="Q34" s="1392" t="str">
        <f t="shared" si="8"/>
        <v>建筑结构</v>
      </c>
      <c r="R34" s="676" t="s">
        <v>21</v>
      </c>
      <c r="S34" s="677">
        <f t="shared" si="9"/>
        <v>100</v>
      </c>
      <c r="T34" s="676" t="s">
        <v>21</v>
      </c>
      <c r="U34" s="677">
        <f t="shared" si="10"/>
        <v>100</v>
      </c>
      <c r="V34" s="676" t="s">
        <v>21</v>
      </c>
      <c r="W34" s="677">
        <f t="shared" si="11"/>
        <v>100</v>
      </c>
      <c r="X34" s="1394"/>
      <c r="Y34" s="3264"/>
      <c r="Z34" s="1393" t="str">
        <f t="shared" si="15"/>
        <v>建筑结构</v>
      </c>
      <c r="AA34" s="1393">
        <f t="shared" si="12"/>
        <v>1</v>
      </c>
      <c r="AB34" s="1393">
        <f t="shared" si="13"/>
        <v>1</v>
      </c>
      <c r="AC34" s="1393">
        <f t="shared" si="14"/>
        <v>1</v>
      </c>
    </row>
    <row r="35" spans="1:29" ht="15">
      <c r="A35" s="417"/>
      <c r="B35" s="370" t="s">
        <v>2147</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62"/>
      <c r="Q35" s="1392" t="str">
        <f t="shared" si="8"/>
        <v>建筑品质</v>
      </c>
      <c r="R35" s="676" t="s">
        <v>21</v>
      </c>
      <c r="S35" s="677">
        <f t="shared" si="9"/>
        <v>100</v>
      </c>
      <c r="T35" s="676" t="s">
        <v>21</v>
      </c>
      <c r="U35" s="677">
        <f t="shared" si="10"/>
        <v>100</v>
      </c>
      <c r="V35" s="676" t="s">
        <v>21</v>
      </c>
      <c r="W35" s="677">
        <f t="shared" si="11"/>
        <v>100</v>
      </c>
      <c r="X35" s="1394"/>
      <c r="Y35" s="3264"/>
      <c r="Z35" s="1393" t="str">
        <f t="shared" si="15"/>
        <v>建筑品质</v>
      </c>
      <c r="AA35" s="1393">
        <f t="shared" si="12"/>
        <v>1</v>
      </c>
      <c r="AB35" s="1393">
        <f t="shared" si="13"/>
        <v>1</v>
      </c>
      <c r="AC35" s="1393">
        <f t="shared" si="14"/>
        <v>1</v>
      </c>
    </row>
    <row r="36" spans="1:29" ht="15">
      <c r="A36" s="417"/>
      <c r="B36" s="370" t="s">
        <v>2148</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62"/>
      <c r="Q36" s="1392" t="str">
        <f t="shared" si="8"/>
        <v>公共部分装修</v>
      </c>
      <c r="R36" s="676" t="s">
        <v>21</v>
      </c>
      <c r="S36" s="677">
        <f t="shared" si="9"/>
        <v>100</v>
      </c>
      <c r="T36" s="676" t="s">
        <v>21</v>
      </c>
      <c r="U36" s="677">
        <f t="shared" si="10"/>
        <v>100</v>
      </c>
      <c r="V36" s="676" t="s">
        <v>21</v>
      </c>
      <c r="W36" s="677">
        <f t="shared" si="11"/>
        <v>100</v>
      </c>
      <c r="X36" s="1394"/>
      <c r="Y36" s="3264"/>
      <c r="Z36" s="1393" t="str">
        <f t="shared" si="15"/>
        <v>公共部分装修</v>
      </c>
      <c r="AA36" s="1393">
        <f t="shared" si="12"/>
        <v>1</v>
      </c>
      <c r="AB36" s="1393">
        <f t="shared" si="13"/>
        <v>1</v>
      </c>
      <c r="AC36" s="1393">
        <f t="shared" si="14"/>
        <v>1</v>
      </c>
    </row>
    <row r="37" spans="1:29" s="107" customFormat="1" ht="15">
      <c r="A37" s="418"/>
      <c r="B37" s="370" t="s">
        <v>2149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4"/>
      <c r="N37" s="2604"/>
      <c r="O37" s="2604"/>
      <c r="P37" s="3262"/>
      <c r="Q37" s="538" t="str">
        <f t="shared" si="8"/>
        <v>成新度</v>
      </c>
      <c r="R37" s="673" t="s">
        <v>21</v>
      </c>
      <c r="S37" s="674" t="e">
        <f t="shared" si="9"/>
        <v>#N/A</v>
      </c>
      <c r="T37" s="673" t="s">
        <v>21</v>
      </c>
      <c r="U37" s="674" t="e">
        <f t="shared" si="10"/>
        <v>#N/A</v>
      </c>
      <c r="V37" s="673" t="s">
        <v>21</v>
      </c>
      <c r="W37" s="674" t="e">
        <f t="shared" si="11"/>
        <v>#N/A</v>
      </c>
      <c r="X37" s="675"/>
      <c r="Y37" s="3264"/>
      <c r="Z37" s="53" t="str">
        <f t="shared" si="15"/>
        <v>成新度</v>
      </c>
      <c r="AA37" s="53" t="e">
        <f t="shared" si="12"/>
        <v>#N/A</v>
      </c>
      <c r="AB37" s="53" t="e">
        <f t="shared" si="13"/>
        <v>#N/A</v>
      </c>
      <c r="AC37" s="53" t="e">
        <f t="shared" si="14"/>
        <v>#N/A</v>
      </c>
    </row>
    <row r="38" spans="1:29" ht="15">
      <c r="A38" s="417"/>
      <c r="B38" s="370" t="s">
        <v>2150</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62" t="s">
        <v>2144</v>
      </c>
      <c r="Q38" s="1392" t="str">
        <f t="shared" si="8"/>
        <v>物业管理</v>
      </c>
      <c r="R38" s="676" t="s">
        <v>21</v>
      </c>
      <c r="S38" s="677">
        <f t="shared" si="9"/>
        <v>100</v>
      </c>
      <c r="T38" s="676" t="s">
        <v>21</v>
      </c>
      <c r="U38" s="677">
        <f t="shared" si="10"/>
        <v>100</v>
      </c>
      <c r="V38" s="676" t="s">
        <v>21</v>
      </c>
      <c r="W38" s="677">
        <f t="shared" si="11"/>
        <v>100</v>
      </c>
      <c r="X38" s="1394"/>
      <c r="Y38" s="3264" t="s">
        <v>2144</v>
      </c>
      <c r="Z38" s="1393" t="str">
        <f t="shared" si="15"/>
        <v>物业管理</v>
      </c>
      <c r="AA38" s="1393">
        <f t="shared" si="12"/>
        <v>1</v>
      </c>
      <c r="AB38" s="1393">
        <f t="shared" si="13"/>
        <v>1</v>
      </c>
      <c r="AC38" s="1393">
        <f t="shared" si="14"/>
        <v>1</v>
      </c>
    </row>
    <row r="39" spans="1:29" ht="15">
      <c r="A39" s="417"/>
      <c r="B39" s="370" t="s">
        <v>2151</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62"/>
      <c r="Q39" s="1392" t="str">
        <f t="shared" si="8"/>
        <v>市政基础设施</v>
      </c>
      <c r="R39" s="676" t="s">
        <v>21</v>
      </c>
      <c r="S39" s="677">
        <f t="shared" si="9"/>
        <v>100</v>
      </c>
      <c r="T39" s="676" t="s">
        <v>21</v>
      </c>
      <c r="U39" s="677">
        <f t="shared" si="10"/>
        <v>100</v>
      </c>
      <c r="V39" s="676" t="s">
        <v>21</v>
      </c>
      <c r="W39" s="677">
        <f t="shared" si="11"/>
        <v>100</v>
      </c>
      <c r="X39" s="1394"/>
      <c r="Y39" s="3264"/>
      <c r="Z39" s="1393" t="str">
        <f t="shared" si="15"/>
        <v>市政基础设施</v>
      </c>
      <c r="AA39" s="1393">
        <f t="shared" si="12"/>
        <v>1</v>
      </c>
      <c r="AB39" s="1393">
        <f t="shared" si="13"/>
        <v>1</v>
      </c>
      <c r="AC39" s="1393">
        <f t="shared" si="14"/>
        <v>1</v>
      </c>
    </row>
    <row r="40" spans="1:29" ht="15">
      <c r="A40" s="417"/>
      <c r="B40" s="370" t="s">
        <v>2152</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62"/>
      <c r="Q40" s="1392" t="str">
        <f t="shared" si="8"/>
        <v>房型</v>
      </c>
      <c r="R40" s="676" t="s">
        <v>21</v>
      </c>
      <c r="S40" s="677">
        <f t="shared" si="9"/>
        <v>100</v>
      </c>
      <c r="T40" s="676" t="s">
        <v>21</v>
      </c>
      <c r="U40" s="677">
        <f t="shared" si="10"/>
        <v>100</v>
      </c>
      <c r="V40" s="676" t="s">
        <v>21</v>
      </c>
      <c r="W40" s="677">
        <f t="shared" si="11"/>
        <v>100</v>
      </c>
      <c r="X40" s="1394"/>
      <c r="Y40" s="3264"/>
      <c r="Z40" s="1393" t="str">
        <f t="shared" si="15"/>
        <v>房型</v>
      </c>
      <c r="AA40" s="1393">
        <f t="shared" si="12"/>
        <v>1</v>
      </c>
      <c r="AB40" s="1393">
        <f t="shared" si="13"/>
        <v>1</v>
      </c>
      <c r="AC40" s="1393">
        <f t="shared" si="14"/>
        <v>1</v>
      </c>
    </row>
    <row r="41" spans="1:29" s="416" customFormat="1" ht="28.5">
      <c r="A41" s="414"/>
      <c r="B41" s="370" t="s">
        <v>2153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62"/>
      <c r="Q41" s="539" t="str">
        <f t="shared" si="8"/>
        <v>单套/主力户型建筑面积</v>
      </c>
      <c r="R41" s="678" t="s">
        <v>21</v>
      </c>
      <c r="S41" s="679">
        <f t="shared" si="9"/>
        <v>100</v>
      </c>
      <c r="T41" s="678" t="s">
        <v>21</v>
      </c>
      <c r="U41" s="679">
        <f t="shared" si="10"/>
        <v>100</v>
      </c>
      <c r="V41" s="678" t="s">
        <v>21</v>
      </c>
      <c r="W41" s="679">
        <f t="shared" si="11"/>
        <v>100</v>
      </c>
      <c r="X41" s="680"/>
      <c r="Y41" s="3264"/>
      <c r="Z41" s="681" t="str">
        <f t="shared" si="15"/>
        <v>单套/主力户型建筑面积</v>
      </c>
      <c r="AA41" s="1393">
        <f t="shared" si="12"/>
        <v>1</v>
      </c>
      <c r="AB41" s="1393">
        <f t="shared" si="13"/>
        <v>1</v>
      </c>
      <c r="AC41" s="1393">
        <f t="shared" si="14"/>
        <v>1</v>
      </c>
    </row>
    <row r="42" spans="1:29" ht="15">
      <c r="A42" s="417"/>
      <c r="B42" s="370" t="s">
        <v>2154</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62"/>
      <c r="Q42" s="1392" t="str">
        <f t="shared" si="8"/>
        <v>内部装修</v>
      </c>
      <c r="R42" s="676" t="s">
        <v>21</v>
      </c>
      <c r="S42" s="677">
        <f t="shared" si="9"/>
        <v>100</v>
      </c>
      <c r="T42" s="676" t="s">
        <v>21</v>
      </c>
      <c r="U42" s="677">
        <f t="shared" si="10"/>
        <v>100</v>
      </c>
      <c r="V42" s="676" t="s">
        <v>21</v>
      </c>
      <c r="W42" s="677">
        <f t="shared" si="11"/>
        <v>100</v>
      </c>
      <c r="X42" s="1394"/>
      <c r="Y42" s="3264"/>
      <c r="Z42" s="1393" t="str">
        <f t="shared" si="15"/>
        <v>内部装修</v>
      </c>
      <c r="AA42" s="1393">
        <f t="shared" si="12"/>
        <v>1</v>
      </c>
      <c r="AB42" s="1393">
        <f t="shared" si="13"/>
        <v>1</v>
      </c>
      <c r="AC42" s="1393">
        <f t="shared" si="14"/>
        <v>1</v>
      </c>
    </row>
    <row r="43" spans="1:29" ht="15">
      <c r="A43" s="417"/>
      <c r="B43" s="370" t="s">
        <v>2155</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62"/>
      <c r="Q43" s="1392" t="str">
        <f t="shared" si="8"/>
        <v>内部装修维护情况</v>
      </c>
      <c r="R43" s="676" t="s">
        <v>21</v>
      </c>
      <c r="S43" s="677">
        <f t="shared" si="9"/>
        <v>100</v>
      </c>
      <c r="T43" s="676" t="s">
        <v>21</v>
      </c>
      <c r="U43" s="677">
        <f t="shared" si="10"/>
        <v>100</v>
      </c>
      <c r="V43" s="676" t="s">
        <v>21</v>
      </c>
      <c r="W43" s="677">
        <f t="shared" si="11"/>
        <v>100</v>
      </c>
      <c r="X43" s="1394"/>
      <c r="Y43" s="3264"/>
      <c r="Z43" s="1393" t="str">
        <f t="shared" si="15"/>
        <v>内部装修维护情况</v>
      </c>
      <c r="AA43" s="1393">
        <f t="shared" si="12"/>
        <v>1</v>
      </c>
      <c r="AB43" s="1393">
        <f t="shared" si="13"/>
        <v>1</v>
      </c>
      <c r="AC43" s="1393">
        <f t="shared" si="14"/>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4"/>
      <c r="N44" s="2604"/>
      <c r="O44" s="2604"/>
      <c r="P44" s="3262"/>
      <c r="Q44" s="538">
        <f t="shared" si="8"/>
        <v>111</v>
      </c>
      <c r="R44" s="673" t="s">
        <v>21</v>
      </c>
      <c r="S44" s="674">
        <f t="shared" si="9"/>
        <v>100</v>
      </c>
      <c r="T44" s="673" t="s">
        <v>21</v>
      </c>
      <c r="U44" s="674">
        <f t="shared" si="10"/>
        <v>100</v>
      </c>
      <c r="V44" s="673" t="s">
        <v>21</v>
      </c>
      <c r="W44" s="674">
        <f t="shared" si="11"/>
        <v>100</v>
      </c>
      <c r="X44" s="675"/>
      <c r="Y44" s="3264"/>
      <c r="Z44" s="53">
        <f t="shared" si="15"/>
        <v>111</v>
      </c>
      <c r="AA44" s="53">
        <f t="shared" si="12"/>
        <v>1</v>
      </c>
      <c r="AB44" s="53">
        <f t="shared" si="13"/>
        <v>1</v>
      </c>
      <c r="AC44" s="53">
        <f t="shared" si="14"/>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62"/>
      <c r="Q45" s="1392">
        <f t="shared" si="8"/>
        <v>111</v>
      </c>
      <c r="R45" s="676" t="s">
        <v>21</v>
      </c>
      <c r="S45" s="677">
        <f t="shared" si="9"/>
        <v>100</v>
      </c>
      <c r="T45" s="676" t="s">
        <v>21</v>
      </c>
      <c r="U45" s="677">
        <f t="shared" si="10"/>
        <v>100</v>
      </c>
      <c r="V45" s="676" t="s">
        <v>21</v>
      </c>
      <c r="W45" s="677">
        <f t="shared" si="11"/>
        <v>100</v>
      </c>
      <c r="X45" s="1394"/>
      <c r="Y45" s="3264"/>
      <c r="Z45" s="1393">
        <f t="shared" si="15"/>
        <v>111</v>
      </c>
      <c r="AA45" s="1393">
        <f t="shared" si="12"/>
        <v>1</v>
      </c>
      <c r="AB45" s="1393">
        <f t="shared" si="13"/>
        <v>1</v>
      </c>
      <c r="AC45" s="1393">
        <f t="shared" si="14"/>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63"/>
      <c r="Q46" s="1392">
        <f t="shared" si="8"/>
        <v>111</v>
      </c>
      <c r="R46" s="676" t="s">
        <v>20</v>
      </c>
      <c r="S46" s="677">
        <f t="shared" si="9"/>
        <v>100</v>
      </c>
      <c r="T46" s="676" t="s">
        <v>20</v>
      </c>
      <c r="U46" s="677">
        <f t="shared" si="10"/>
        <v>100</v>
      </c>
      <c r="V46" s="676" t="s">
        <v>20</v>
      </c>
      <c r="W46" s="677">
        <f t="shared" si="11"/>
        <v>100</v>
      </c>
      <c r="X46" s="1394"/>
      <c r="Y46" s="3265"/>
      <c r="Z46" s="1393">
        <f t="shared" si="15"/>
        <v>111</v>
      </c>
      <c r="AA46" s="1393">
        <f t="shared" si="12"/>
        <v>1</v>
      </c>
      <c r="AB46" s="1393">
        <f t="shared" si="13"/>
        <v>1</v>
      </c>
      <c r="AC46" s="1393">
        <f t="shared" si="14"/>
        <v>1</v>
      </c>
    </row>
    <row r="47" spans="1:29" ht="15">
      <c r="A47" s="424" t="s">
        <v>2156</v>
      </c>
      <c r="B47" s="425"/>
      <c r="C47" s="1191" t="s">
        <v>19</v>
      </c>
      <c r="D47" s="426"/>
      <c r="E47" s="427"/>
      <c r="F47" s="428"/>
      <c r="G47" s="429"/>
      <c r="H47" s="430"/>
      <c r="I47" s="427"/>
      <c r="J47" s="430"/>
      <c r="K47" s="1897"/>
      <c r="L47" s="2661"/>
      <c r="M47" s="2654"/>
      <c r="N47" s="2654"/>
      <c r="O47" s="2654"/>
      <c r="P47" s="3266" t="str">
        <f>A47</f>
        <v>成交单价（元/平方米）</v>
      </c>
      <c r="Q47" s="3266"/>
      <c r="R47" s="3252">
        <f>E47</f>
        <v>0</v>
      </c>
      <c r="S47" s="3252"/>
      <c r="T47" s="3252">
        <f>G47</f>
        <v>0</v>
      </c>
      <c r="U47" s="3252"/>
      <c r="V47" s="3252">
        <f>I47</f>
        <v>0</v>
      </c>
      <c r="W47" s="3252"/>
      <c r="X47" s="393"/>
      <c r="Y47" s="682"/>
      <c r="Z47" s="393"/>
      <c r="AA47" s="393"/>
      <c r="AB47" s="393"/>
      <c r="AC47" s="393"/>
    </row>
    <row r="48" spans="1:29" ht="15.75" thickBot="1">
      <c r="A48" s="431" t="s">
        <v>2157</v>
      </c>
      <c r="B48" s="432"/>
      <c r="C48" s="1192" t="e">
        <f>R49</f>
        <v>#DIV/0!</v>
      </c>
      <c r="D48" s="2301" t="s">
        <v>2638</v>
      </c>
      <c r="E48" s="1193" t="e">
        <f>R48</f>
        <v>#DIV/0!</v>
      </c>
      <c r="F48" s="2302"/>
      <c r="G48" s="1192" t="e">
        <f>T48</f>
        <v>#DIV/0!</v>
      </c>
      <c r="H48" s="2302"/>
      <c r="I48" s="1193" t="e">
        <f>V48</f>
        <v>#DIV/0!</v>
      </c>
      <c r="J48" s="2302"/>
      <c r="K48" s="2303">
        <f>F48+H48+J48</f>
        <v>0</v>
      </c>
      <c r="L48" s="2661"/>
      <c r="M48" s="2654"/>
      <c r="N48" s="2654"/>
      <c r="O48" s="2654"/>
      <c r="P48" s="3266" t="str">
        <f>A48</f>
        <v>比较价值（元/平方米）</v>
      </c>
      <c r="Q48" s="3266"/>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393"/>
      <c r="Y48" s="393"/>
      <c r="Z48" s="393"/>
      <c r="AA48" s="393"/>
      <c r="AB48" s="393"/>
      <c r="AC48" s="393"/>
    </row>
    <row r="49" spans="1:29" ht="15.75" thickBot="1">
      <c r="A49" s="435" t="s">
        <v>2158</v>
      </c>
      <c r="B49" s="436"/>
      <c r="C49" s="1194" t="e">
        <f>R49</f>
        <v>#DIV/0!</v>
      </c>
      <c r="D49" s="357"/>
      <c r="E49" s="357"/>
      <c r="F49" s="357"/>
      <c r="G49" s="357"/>
      <c r="H49" s="357"/>
      <c r="I49" s="357"/>
      <c r="J49" s="357"/>
      <c r="K49" s="1898"/>
      <c r="L49" s="2661"/>
      <c r="M49" s="2654"/>
      <c r="N49" s="2654"/>
      <c r="O49" s="2654"/>
      <c r="P49" s="3267" t="str">
        <f>A49</f>
        <v>估价对象XX用房的比较价值（楼面单价，元/平方米）</v>
      </c>
      <c r="Q49" s="3268"/>
      <c r="R49" s="3269" t="e">
        <f>IF(F1="售价",ROUND(IF(D48="简单平均",AVERAGE(R48:V48),R48*F48+T48*H48+V48*J48),0),ROUND(IF(D48="简单平均",AVERAGE(R48:V48),R48*F48+T48*H48+V48*J48),1))</f>
        <v>#DIV/0!</v>
      </c>
      <c r="S49" s="3269"/>
      <c r="T49" s="3269"/>
      <c r="U49" s="3269"/>
      <c r="V49" s="3269"/>
      <c r="W49" s="3269"/>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2159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75" thickBot="1">
      <c r="A57" s="667" t="s">
        <v>2162</v>
      </c>
      <c r="B57" s="393"/>
      <c r="C57" s="668"/>
      <c r="D57" s="668"/>
      <c r="E57" s="668"/>
      <c r="F57" s="669"/>
      <c r="G57" s="669"/>
      <c r="H57" s="668"/>
      <c r="I57" s="668"/>
      <c r="J57" s="668"/>
      <c r="K57" s="994"/>
      <c r="L57" s="995"/>
      <c r="M57" s="993"/>
      <c r="N57" s="993"/>
      <c r="O57" s="993"/>
      <c r="P57" s="1901"/>
      <c r="Q57" s="447"/>
    </row>
    <row r="58" spans="1:29" s="450" customFormat="1" ht="15">
      <c r="A58" s="448" t="s">
        <v>2163</v>
      </c>
      <c r="B58" s="449"/>
      <c r="C58" s="1215" t="str">
        <f>YEAR(C7)&amp;"-"&amp;MONTH(C7)</f>
        <v>2022-12</v>
      </c>
      <c r="D58" s="1214">
        <f>EDATE(C58,-1)</f>
        <v>44866</v>
      </c>
      <c r="E58" s="1214">
        <f>EDATE(D58,-1)</f>
        <v>44835</v>
      </c>
      <c r="F58" s="1214">
        <f t="shared" ref="F58:O58" si="16">EDATE(E58,-1)</f>
        <v>44805</v>
      </c>
      <c r="G58" s="1214">
        <f t="shared" si="16"/>
        <v>44774</v>
      </c>
      <c r="H58" s="1214">
        <f t="shared" si="16"/>
        <v>44743</v>
      </c>
      <c r="I58" s="1214">
        <f t="shared" si="16"/>
        <v>44713</v>
      </c>
      <c r="J58" s="1214">
        <f t="shared" si="16"/>
        <v>44682</v>
      </c>
      <c r="K58" s="1214">
        <f t="shared" si="16"/>
        <v>44652</v>
      </c>
      <c r="L58" s="1214">
        <f t="shared" si="16"/>
        <v>44621</v>
      </c>
      <c r="M58" s="1214">
        <f t="shared" si="16"/>
        <v>44593</v>
      </c>
      <c r="N58" s="1214">
        <f t="shared" si="16"/>
        <v>44562</v>
      </c>
      <c r="O58" s="1214">
        <f t="shared" si="16"/>
        <v>44531</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2164</v>
      </c>
      <c r="B60" s="458"/>
      <c r="C60" s="459"/>
      <c r="D60" s="460"/>
      <c r="E60" s="460"/>
      <c r="F60" s="460"/>
      <c r="G60" s="460"/>
      <c r="H60" s="460"/>
      <c r="I60" s="460"/>
      <c r="J60" s="460"/>
      <c r="K60" s="460"/>
      <c r="L60" s="460"/>
      <c r="M60" s="461"/>
      <c r="N60" s="460"/>
      <c r="O60" s="461"/>
      <c r="P60" s="1903"/>
      <c r="Q60" s="447"/>
    </row>
    <row r="61" spans="1:29" s="107" customFormat="1" ht="15">
      <c r="A61" s="463" t="s">
        <v>2165</v>
      </c>
      <c r="B61" s="452"/>
      <c r="C61" s="464" t="s">
        <v>2166</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2167</v>
      </c>
      <c r="B63" s="468" t="s">
        <v>2133</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2136</v>
      </c>
      <c r="C65" s="478" t="s">
        <v>2168</v>
      </c>
      <c r="D65" s="478" t="s">
        <v>2169</v>
      </c>
      <c r="E65" s="478" t="s">
        <v>2170</v>
      </c>
      <c r="F65" s="478" t="s">
        <v>2171</v>
      </c>
      <c r="G65" s="478" t="s">
        <v>2172</v>
      </c>
      <c r="H65" s="478" t="s">
        <v>2173</v>
      </c>
      <c r="I65" s="478" t="s">
        <v>2174</v>
      </c>
      <c r="J65" s="478"/>
      <c r="K65" s="479"/>
      <c r="L65" s="480"/>
      <c r="M65" s="481"/>
      <c r="N65" s="986"/>
      <c r="O65" s="986"/>
      <c r="P65" s="1905"/>
      <c r="Q65" s="447"/>
    </row>
    <row r="66" spans="1:17" ht="15.75" thickBot="1">
      <c r="A66" s="375"/>
      <c r="B66" s="482"/>
      <c r="C66" s="483">
        <v>100</v>
      </c>
      <c r="D66" s="483">
        <f t="shared" ref="D66:I66" si="17">C66-$K10</f>
        <v>100</v>
      </c>
      <c r="E66" s="483">
        <f t="shared" si="17"/>
        <v>100</v>
      </c>
      <c r="F66" s="483">
        <f t="shared" si="17"/>
        <v>100</v>
      </c>
      <c r="G66" s="483">
        <f t="shared" si="17"/>
        <v>100</v>
      </c>
      <c r="H66" s="483">
        <f t="shared" si="17"/>
        <v>100</v>
      </c>
      <c r="I66" s="483">
        <f t="shared" si="17"/>
        <v>100</v>
      </c>
      <c r="J66" s="483"/>
      <c r="K66" s="483"/>
      <c r="L66" s="483"/>
      <c r="M66" s="484"/>
      <c r="N66" s="987"/>
      <c r="O66" s="987"/>
      <c r="P66" s="1905"/>
      <c r="Q66" s="447"/>
    </row>
    <row r="67" spans="1:17" ht="15.75" thickTop="1">
      <c r="A67" s="375"/>
      <c r="B67" s="485" t="s">
        <v>2137</v>
      </c>
      <c r="C67" s="486" t="str">
        <f>C68&amp;"（含）"&amp;"-"&amp;D68</f>
        <v>（含）-</v>
      </c>
      <c r="D67" s="486" t="str">
        <f t="shared" ref="D67:L67" si="18">D68&amp;"（含）"&amp;"-"&amp;E68</f>
        <v>（含）-</v>
      </c>
      <c r="E67" s="486" t="str">
        <f t="shared" si="18"/>
        <v>（含）-</v>
      </c>
      <c r="F67" s="486" t="str">
        <f t="shared" si="18"/>
        <v>（含）-</v>
      </c>
      <c r="G67" s="486" t="str">
        <f t="shared" si="18"/>
        <v>（含）-</v>
      </c>
      <c r="H67" s="486" t="str">
        <f t="shared" si="18"/>
        <v>（含）-</v>
      </c>
      <c r="I67" s="486" t="str">
        <f t="shared" si="18"/>
        <v>（含）-</v>
      </c>
      <c r="J67" s="486" t="str">
        <f t="shared" si="18"/>
        <v>（含）-</v>
      </c>
      <c r="K67" s="486" t="str">
        <f>K68&amp;"（含）"&amp;"-"&amp;L68</f>
        <v>（含）-</v>
      </c>
      <c r="L67" s="486" t="str">
        <f t="shared" si="18"/>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19">C69-$K11</f>
        <v>100</v>
      </c>
      <c r="E69" s="483">
        <f t="shared" si="19"/>
        <v>100</v>
      </c>
      <c r="F69" s="483">
        <f t="shared" si="19"/>
        <v>100</v>
      </c>
      <c r="G69" s="483">
        <f t="shared" si="19"/>
        <v>100</v>
      </c>
      <c r="H69" s="483">
        <f t="shared" si="19"/>
        <v>100</v>
      </c>
      <c r="I69" s="483">
        <f t="shared" si="19"/>
        <v>100</v>
      </c>
      <c r="J69" s="483">
        <f t="shared" si="19"/>
        <v>100</v>
      </c>
      <c r="K69" s="483">
        <f t="shared" si="19"/>
        <v>100</v>
      </c>
      <c r="L69" s="483">
        <f t="shared" si="19"/>
        <v>100</v>
      </c>
      <c r="M69" s="484">
        <f t="shared" si="19"/>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2138</v>
      </c>
      <c r="B76" s="468" t="s">
        <v>2175</v>
      </c>
      <c r="C76" s="512" t="s">
        <v>2176</v>
      </c>
      <c r="D76" s="512" t="s">
        <v>2177</v>
      </c>
      <c r="E76" s="512" t="s">
        <v>2178</v>
      </c>
      <c r="F76" s="512" t="s">
        <v>2179</v>
      </c>
      <c r="G76" s="512" t="s">
        <v>2180</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2181</v>
      </c>
      <c r="C78" s="517" t="s">
        <v>2176</v>
      </c>
      <c r="D78" s="517" t="s">
        <v>2177</v>
      </c>
      <c r="E78" s="517" t="s">
        <v>2178</v>
      </c>
      <c r="F78" s="517" t="s">
        <v>2179</v>
      </c>
      <c r="G78" s="517" t="s">
        <v>2180</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2182</v>
      </c>
      <c r="C80" s="517" t="s">
        <v>2176</v>
      </c>
      <c r="D80" s="517" t="s">
        <v>2177</v>
      </c>
      <c r="E80" s="517" t="s">
        <v>2178</v>
      </c>
      <c r="F80" s="517" t="s">
        <v>2179</v>
      </c>
      <c r="G80" s="517" t="s">
        <v>2180</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1704</v>
      </c>
      <c r="C82" s="478" t="s">
        <v>2183</v>
      </c>
      <c r="D82" s="478" t="s">
        <v>2184</v>
      </c>
      <c r="E82" s="478" t="s">
        <v>2185</v>
      </c>
      <c r="F82" s="478" t="s">
        <v>2186</v>
      </c>
      <c r="G82" s="478" t="s">
        <v>2187</v>
      </c>
      <c r="H82" s="478"/>
      <c r="I82" s="478"/>
      <c r="J82" s="478"/>
      <c r="K82" s="478"/>
      <c r="L82" s="478"/>
      <c r="M82" s="1173"/>
      <c r="N82" s="987"/>
      <c r="O82" s="987"/>
      <c r="P82" s="1905"/>
      <c r="Q82" s="447"/>
    </row>
    <row r="83" spans="1:17" ht="15.75" thickBot="1">
      <c r="A83" s="375"/>
      <c r="B83" s="485"/>
      <c r="C83" s="589">
        <v>100</v>
      </c>
      <c r="D83" s="589">
        <f>C83-$K21</f>
        <v>100</v>
      </c>
      <c r="E83" s="589">
        <f>D83-$K21</f>
        <v>100</v>
      </c>
      <c r="F83" s="589">
        <f>E83-$K21</f>
        <v>100</v>
      </c>
      <c r="G83" s="589">
        <f>F83-$K21</f>
        <v>100</v>
      </c>
      <c r="H83" s="589"/>
      <c r="I83" s="589"/>
      <c r="J83" s="589"/>
      <c r="K83" s="589"/>
      <c r="L83" s="589"/>
      <c r="M83" s="397"/>
      <c r="N83" s="987"/>
      <c r="O83" s="987"/>
      <c r="P83" s="1905"/>
      <c r="Q83" s="447"/>
    </row>
    <row r="84" spans="1:17" ht="15.75" thickTop="1">
      <c r="A84" s="375"/>
      <c r="B84" s="477" t="s">
        <v>2188</v>
      </c>
      <c r="C84" s="517" t="s">
        <v>2176</v>
      </c>
      <c r="D84" s="517" t="s">
        <v>2177</v>
      </c>
      <c r="E84" s="517" t="s">
        <v>2178</v>
      </c>
      <c r="F84" s="517" t="s">
        <v>2179</v>
      </c>
      <c r="G84" s="517" t="s">
        <v>2180</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2189</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0">$C$87-($C$86-D86)*$K$25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987"/>
      <c r="O87" s="987"/>
      <c r="P87" s="1905"/>
      <c r="Q87" s="447"/>
    </row>
    <row r="88" spans="1:17" s="107" customFormat="1" ht="15.75" thickTop="1">
      <c r="A88" s="378"/>
      <c r="B88" s="477" t="s">
        <v>2190</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1">C89-$K26</f>
        <v>100</v>
      </c>
      <c r="E89" s="483">
        <f t="shared" si="21"/>
        <v>100</v>
      </c>
      <c r="F89" s="483">
        <f t="shared" si="21"/>
        <v>100</v>
      </c>
      <c r="G89" s="483">
        <f t="shared" si="21"/>
        <v>100</v>
      </c>
      <c r="H89" s="483">
        <f t="shared" si="21"/>
        <v>100</v>
      </c>
      <c r="I89" s="483">
        <f t="shared" si="21"/>
        <v>100</v>
      </c>
      <c r="J89" s="483">
        <f t="shared" si="21"/>
        <v>100</v>
      </c>
      <c r="K89" s="483">
        <f t="shared" si="21"/>
        <v>100</v>
      </c>
      <c r="L89" s="483">
        <f t="shared" si="21"/>
        <v>100</v>
      </c>
      <c r="M89" s="483">
        <f t="shared" si="21"/>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2142</v>
      </c>
      <c r="B100" s="468" t="s">
        <v>2191</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3">
        <f t="shared" si="22"/>
        <v>100</v>
      </c>
      <c r="N101" s="987"/>
      <c r="O101" s="987"/>
      <c r="P101" s="1905"/>
      <c r="Q101" s="447"/>
    </row>
    <row r="102" spans="1:17" ht="15.75" thickTop="1">
      <c r="A102" s="375"/>
      <c r="B102" s="477" t="s">
        <v>2192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K103&amp;"(含)"&amp;"-"&amp;L103</f>
        <v>(含)-</v>
      </c>
      <c r="L102" s="517" t="str">
        <f t="shared" si="23"/>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2193</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987"/>
      <c r="O106" s="987"/>
      <c r="P106" s="1905"/>
      <c r="Q106" s="447"/>
    </row>
    <row r="107" spans="1:17" ht="15" thickTop="1">
      <c r="A107" s="417"/>
      <c r="B107" s="477" t="s">
        <v>2194</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987"/>
      <c r="O108" s="987"/>
      <c r="P108" s="1905"/>
      <c r="Q108" s="447"/>
    </row>
    <row r="109" spans="1:17" ht="15" thickTop="1">
      <c r="A109" s="417"/>
      <c r="B109" s="477" t="s">
        <v>2195</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26">C110-$K36</f>
        <v>100</v>
      </c>
      <c r="E110" s="483">
        <f t="shared" si="26"/>
        <v>100</v>
      </c>
      <c r="F110" s="483">
        <f t="shared" si="26"/>
        <v>100</v>
      </c>
      <c r="G110" s="483">
        <f t="shared" si="26"/>
        <v>100</v>
      </c>
      <c r="H110" s="483">
        <f t="shared" si="26"/>
        <v>100</v>
      </c>
      <c r="I110" s="483">
        <f t="shared" si="26"/>
        <v>100</v>
      </c>
      <c r="J110" s="483">
        <f t="shared" si="26"/>
        <v>100</v>
      </c>
      <c r="K110" s="483">
        <f t="shared" si="26"/>
        <v>100</v>
      </c>
      <c r="L110" s="483">
        <f t="shared" si="26"/>
        <v>100</v>
      </c>
      <c r="M110" s="483">
        <f t="shared" si="26"/>
        <v>100</v>
      </c>
      <c r="N110" s="987"/>
      <c r="O110" s="987"/>
      <c r="P110" s="1905"/>
      <c r="Q110" s="447"/>
    </row>
    <row r="111" spans="1:17" s="416" customFormat="1" ht="15" thickTop="1">
      <c r="A111" s="414"/>
      <c r="B111" s="477" t="s">
        <v>1634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2196</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27">C115-$K38</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3">
        <f t="shared" si="27"/>
        <v>100</v>
      </c>
      <c r="N115" s="987"/>
      <c r="O115" s="987"/>
      <c r="P115" s="1905"/>
      <c r="Q115" s="447"/>
    </row>
    <row r="116" spans="1:17" ht="15" thickTop="1">
      <c r="A116" s="417"/>
      <c r="B116" s="477" t="s">
        <v>2197</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2198</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28">C119-$K40</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3">
        <f t="shared" si="28"/>
        <v>100</v>
      </c>
      <c r="N119" s="987"/>
      <c r="O119" s="987"/>
      <c r="P119" s="1905"/>
      <c r="Q119" s="447"/>
    </row>
    <row r="120" spans="1:17" s="416" customFormat="1" ht="28.5" thickTop="1">
      <c r="A120" s="414"/>
      <c r="B120" s="477" t="s">
        <v>2153</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2199</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29">C123-$K42</f>
        <v>100</v>
      </c>
      <c r="E123" s="483">
        <f t="shared" si="29"/>
        <v>100</v>
      </c>
      <c r="F123" s="483">
        <f t="shared" si="29"/>
        <v>100</v>
      </c>
      <c r="G123" s="483">
        <f t="shared" si="29"/>
        <v>100</v>
      </c>
      <c r="H123" s="483">
        <f t="shared" si="29"/>
        <v>100</v>
      </c>
      <c r="I123" s="483">
        <f t="shared" si="29"/>
        <v>100</v>
      </c>
      <c r="J123" s="483">
        <f t="shared" si="29"/>
        <v>100</v>
      </c>
      <c r="K123" s="483">
        <f t="shared" si="29"/>
        <v>100</v>
      </c>
      <c r="L123" s="483">
        <f t="shared" si="29"/>
        <v>100</v>
      </c>
      <c r="M123" s="483">
        <f t="shared" si="29"/>
        <v>100</v>
      </c>
      <c r="N123" s="987"/>
      <c r="O123" s="987"/>
      <c r="P123" s="1905"/>
      <c r="Q123" s="447"/>
    </row>
    <row r="124" spans="1:17" ht="15" thickTop="1">
      <c r="A124" s="417"/>
      <c r="B124" s="477" t="s">
        <v>2200</v>
      </c>
      <c r="C124" s="517" t="s">
        <v>2176</v>
      </c>
      <c r="D124" s="517" t="s">
        <v>2177</v>
      </c>
      <c r="E124" s="517" t="s">
        <v>2178</v>
      </c>
      <c r="F124" s="517" t="s">
        <v>2179</v>
      </c>
      <c r="G124" s="517" t="s">
        <v>2180</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2201</v>
      </c>
    </row>
    <row r="137" spans="1:17" ht="15">
      <c r="B137" s="1912" t="s">
        <v>2202</v>
      </c>
      <c r="C137" s="1913"/>
      <c r="D137" s="1913"/>
      <c r="E137" s="1913"/>
      <c r="F137" s="1913"/>
      <c r="G137" s="1914"/>
      <c r="H137" s="1915"/>
      <c r="I137" s="1916" t="s">
        <v>2203</v>
      </c>
      <c r="J137" s="1913"/>
      <c r="K137" s="1917"/>
    </row>
    <row r="138" spans="1:17" ht="15">
      <c r="B138" s="1918"/>
      <c r="C138" s="134" t="s">
        <v>2204</v>
      </c>
      <c r="D138" s="134" t="s">
        <v>2205</v>
      </c>
      <c r="E138" s="1919" t="s">
        <v>2206</v>
      </c>
      <c r="F138" s="1920" t="s">
        <v>2207</v>
      </c>
      <c r="G138" s="134" t="s">
        <v>2205</v>
      </c>
      <c r="H138" s="135" t="s">
        <v>2206</v>
      </c>
      <c r="I138" s="1921"/>
      <c r="J138" s="134" t="s">
        <v>2208</v>
      </c>
      <c r="K138" s="135" t="s">
        <v>2209</v>
      </c>
    </row>
    <row r="139" spans="1:17" ht="15">
      <c r="B139" s="921">
        <v>6</v>
      </c>
      <c r="C139" s="922">
        <v>96</v>
      </c>
      <c r="D139" s="1922" t="s">
        <v>2210</v>
      </c>
      <c r="E139" s="923">
        <v>100</v>
      </c>
      <c r="F139" s="924">
        <v>102.5</v>
      </c>
      <c r="G139" s="1922" t="s">
        <v>2210</v>
      </c>
      <c r="H139" s="925">
        <v>105</v>
      </c>
      <c r="I139" s="1923" t="s">
        <v>2211</v>
      </c>
      <c r="J139" s="922">
        <v>20</v>
      </c>
      <c r="K139" s="926">
        <f>C145/(J139-2)</f>
        <v>4.0555555555555553E-3</v>
      </c>
    </row>
    <row r="140" spans="1:17" ht="15">
      <c r="B140" s="927">
        <v>5</v>
      </c>
      <c r="C140" s="928">
        <v>100</v>
      </c>
      <c r="D140" s="928"/>
      <c r="E140" s="929"/>
      <c r="F140" s="930">
        <v>102</v>
      </c>
      <c r="G140" s="928"/>
      <c r="H140" s="931"/>
      <c r="I140" s="1924" t="s">
        <v>2212</v>
      </c>
      <c r="J140" s="269">
        <f>ROUNDUP((J139-1)/2,0)</f>
        <v>10</v>
      </c>
      <c r="K140" s="932">
        <v>100</v>
      </c>
    </row>
    <row r="141" spans="1:17" ht="15">
      <c r="B141" s="927">
        <v>4</v>
      </c>
      <c r="C141" s="928">
        <v>102</v>
      </c>
      <c r="D141" s="928"/>
      <c r="E141" s="929"/>
      <c r="F141" s="930">
        <v>101.5</v>
      </c>
      <c r="G141" s="928"/>
      <c r="H141" s="931"/>
      <c r="I141" s="1924" t="s">
        <v>2213</v>
      </c>
      <c r="J141" s="269">
        <v>1</v>
      </c>
      <c r="K141" s="933">
        <f>ROUND(100+(J141-J140)*K139*100,1)</f>
        <v>96.4</v>
      </c>
    </row>
    <row r="142" spans="1:17" ht="15">
      <c r="B142" s="927">
        <v>3</v>
      </c>
      <c r="C142" s="928">
        <v>103</v>
      </c>
      <c r="D142" s="928"/>
      <c r="E142" s="929"/>
      <c r="F142" s="930">
        <v>101</v>
      </c>
      <c r="G142" s="928"/>
      <c r="H142" s="931"/>
      <c r="I142" s="1924" t="s">
        <v>2214</v>
      </c>
      <c r="J142" s="269">
        <f>J139</f>
        <v>20</v>
      </c>
      <c r="K142" s="934">
        <v>95</v>
      </c>
    </row>
    <row r="143" spans="1:17" ht="15">
      <c r="B143" s="927">
        <v>2</v>
      </c>
      <c r="C143" s="928">
        <v>100</v>
      </c>
      <c r="D143" s="928"/>
      <c r="E143" s="929"/>
      <c r="F143" s="930">
        <v>100.5</v>
      </c>
      <c r="G143" s="928"/>
      <c r="H143" s="931"/>
      <c r="I143" s="1924" t="s">
        <v>2215</v>
      </c>
      <c r="J143" s="928">
        <v>15</v>
      </c>
      <c r="K143" s="933">
        <f>ROUND(100+(J143-J140)*K139*100,1)</f>
        <v>102</v>
      </c>
    </row>
    <row r="144" spans="1:17" ht="15">
      <c r="B144" s="927">
        <v>1</v>
      </c>
      <c r="C144" s="928">
        <v>98</v>
      </c>
      <c r="D144" s="1925" t="s">
        <v>2216</v>
      </c>
      <c r="E144" s="929">
        <v>102</v>
      </c>
      <c r="F144" s="935">
        <v>100</v>
      </c>
      <c r="G144" s="1925" t="s">
        <v>2216</v>
      </c>
      <c r="H144" s="931">
        <v>105</v>
      </c>
      <c r="I144" s="1924" t="s">
        <v>2215</v>
      </c>
      <c r="J144" s="928">
        <v>18</v>
      </c>
      <c r="K144" s="933">
        <f>ROUND(100+(J144-J140)*K139*100,1)</f>
        <v>103.2</v>
      </c>
    </row>
    <row r="145" spans="2:11" ht="15.75" thickBot="1">
      <c r="B145" s="1926" t="s">
        <v>2217</v>
      </c>
      <c r="C145" s="936">
        <f>ROUND(MAX(C139:C144)/MIN(C139:C144)-1,3)</f>
        <v>7.2999999999999995E-2</v>
      </c>
      <c r="D145" s="937"/>
      <c r="E145" s="937"/>
      <c r="F145" s="1927" t="s">
        <v>2218</v>
      </c>
      <c r="G145" s="1928"/>
      <c r="H145" s="1929"/>
      <c r="I145" s="1930" t="s">
        <v>2215</v>
      </c>
      <c r="J145" s="938">
        <v>8</v>
      </c>
      <c r="K145" s="939">
        <f>ROUND(100+(J145-J140)*K139*100,1)</f>
        <v>99.2</v>
      </c>
    </row>
    <row r="147" spans="2:11">
      <c r="B147" s="1911" t="s">
        <v>2219</v>
      </c>
    </row>
    <row r="148" spans="2:11">
      <c r="B148" s="1911"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2"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2265</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IF(C2="——",ROUND(C50*D3/10000,0),ROUND(C50*D3/10000,0)-D2)</f>
        <v>#DIV/0!</v>
      </c>
      <c r="C2" s="1867"/>
      <c r="D2" s="1160" t="e">
        <f ca="1">SUMIF(INDIRECT("'"&amp;F2&amp;"'"&amp;"!A:A"),"承租人权益价值",INDIRECT("'"&amp;F2&amp;"'"&amp;"!c:c"))</f>
        <v>#REF!</v>
      </c>
      <c r="E2" s="1868" t="s">
        <v>1907</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IF(C2="——",C50,ROUND(B2*10000/D3,0))</f>
        <v>#DIV/0!</v>
      </c>
      <c r="C3" s="350" t="s">
        <v>2223</v>
      </c>
      <c r="D3" s="349">
        <f>IF(D1="",'数据-汇总表'!E3,SUMIF('数据-汇总表'!$C19:$C33,D1,'数据-汇总表'!$E19:$E33))</f>
        <v>1018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308" t="s">
        <v>2230</v>
      </c>
      <c r="Q4" s="3309"/>
      <c r="R4" s="3303" t="s">
        <v>2226</v>
      </c>
      <c r="S4" s="3304"/>
      <c r="T4" s="3303" t="s">
        <v>2227</v>
      </c>
      <c r="U4" s="3304"/>
      <c r="V4" s="3312" t="s">
        <v>2228</v>
      </c>
      <c r="W4" s="3312"/>
      <c r="X4" s="1939"/>
      <c r="Y4" s="3303" t="s">
        <v>2230</v>
      </c>
      <c r="Z4" s="3304"/>
      <c r="AA4" s="3302" t="s">
        <v>2226</v>
      </c>
      <c r="AB4" s="3302" t="s">
        <v>2227</v>
      </c>
      <c r="AC4" s="3305" t="s">
        <v>2228</v>
      </c>
    </row>
    <row r="5" spans="1:29" ht="15">
      <c r="A5" s="354"/>
      <c r="B5" s="355"/>
      <c r="C5" s="3240" t="s">
        <v>2121</v>
      </c>
      <c r="D5" s="3241"/>
      <c r="E5" s="3301" t="s">
        <v>2122</v>
      </c>
      <c r="F5" s="3243"/>
      <c r="G5" s="3240" t="s">
        <v>2123</v>
      </c>
      <c r="H5" s="3241"/>
      <c r="I5" s="3240" t="s">
        <v>2124</v>
      </c>
      <c r="J5" s="3241"/>
      <c r="K5" s="545"/>
      <c r="L5" s="2653"/>
      <c r="M5" s="2654"/>
      <c r="N5" s="2654"/>
      <c r="O5" s="2654"/>
      <c r="P5" s="3310"/>
      <c r="Q5" s="3233"/>
      <c r="R5" s="3238"/>
      <c r="S5" s="3239"/>
      <c r="T5" s="3238"/>
      <c r="U5" s="3239"/>
      <c r="V5" s="3252"/>
      <c r="W5" s="3252"/>
      <c r="X5" s="1394"/>
      <c r="Y5" s="3238"/>
      <c r="Z5" s="3239"/>
      <c r="AA5" s="3224"/>
      <c r="AB5" s="3224"/>
      <c r="AC5" s="3306"/>
    </row>
    <row r="6" spans="1:29" ht="15.75" thickBot="1">
      <c r="A6" s="356"/>
      <c r="B6" s="357"/>
      <c r="C6" s="3245" t="s">
        <v>2125</v>
      </c>
      <c r="D6" s="3246"/>
      <c r="E6" s="3247" t="s">
        <v>2125</v>
      </c>
      <c r="F6" s="3248"/>
      <c r="G6" s="3245" t="s">
        <v>2125</v>
      </c>
      <c r="H6" s="3246"/>
      <c r="I6" s="3245" t="s">
        <v>2125</v>
      </c>
      <c r="J6" s="3246"/>
      <c r="K6" s="545" t="s">
        <v>2126</v>
      </c>
      <c r="L6" s="2653"/>
      <c r="M6" s="2654"/>
      <c r="N6" s="2654"/>
      <c r="O6" s="2654"/>
      <c r="P6" s="3311"/>
      <c r="Q6" s="3235"/>
      <c r="R6" s="3238"/>
      <c r="S6" s="3239"/>
      <c r="T6" s="3250"/>
      <c r="U6" s="3251"/>
      <c r="V6" s="3252"/>
      <c r="W6" s="3252"/>
      <c r="X6" s="1394"/>
      <c r="Y6" s="3250"/>
      <c r="Z6" s="3251"/>
      <c r="AA6" s="3225"/>
      <c r="AB6" s="3225"/>
      <c r="AC6" s="3307"/>
    </row>
    <row r="7" spans="1:29" s="107" customFormat="1" ht="15.75" thickBot="1">
      <c r="A7" s="358" t="s">
        <v>2127</v>
      </c>
      <c r="B7" s="359"/>
      <c r="C7" s="360">
        <f>'数据-取费表'!B2</f>
        <v>44914</v>
      </c>
      <c r="D7" s="361">
        <v>100</v>
      </c>
      <c r="E7" s="362"/>
      <c r="F7" s="363">
        <f>SUMIF(59:59,YEAR(E7)&amp;"-"&amp;MONTH(E7),60:60)</f>
        <v>0</v>
      </c>
      <c r="G7" s="362"/>
      <c r="H7" s="361">
        <f>SUMIF(59:59,YEAR(G7)&amp;"-"&amp;MONTH(G7),60:60)</f>
        <v>0</v>
      </c>
      <c r="I7" s="362"/>
      <c r="J7" s="361">
        <f>SUMIF(59:59,YEAR(I7)&amp;"-"&amp;MONTH(I7),60:60)</f>
        <v>0</v>
      </c>
      <c r="K7" s="41"/>
      <c r="L7" s="2655"/>
      <c r="M7" s="2604"/>
      <c r="N7" s="2604"/>
      <c r="O7" s="2604"/>
      <c r="P7" s="3313" t="s">
        <v>2128</v>
      </c>
      <c r="Q7" s="3254"/>
      <c r="R7" s="673" t="s">
        <v>17</v>
      </c>
      <c r="S7" s="674">
        <f t="shared" ref="S7:S15" si="0">F7</f>
        <v>0</v>
      </c>
      <c r="T7" s="673" t="s">
        <v>17</v>
      </c>
      <c r="U7" s="674">
        <f t="shared" ref="U7:U15" si="1">H7</f>
        <v>0</v>
      </c>
      <c r="V7" s="673" t="s">
        <v>17</v>
      </c>
      <c r="W7" s="674">
        <f t="shared" ref="W7:W15" si="2">J7</f>
        <v>0</v>
      </c>
      <c r="X7" s="675"/>
      <c r="Y7" s="3253" t="s">
        <v>2128</v>
      </c>
      <c r="Z7" s="3255"/>
      <c r="AA7" s="53" t="e">
        <f>D7/F7</f>
        <v>#DIV/0!</v>
      </c>
      <c r="AB7" s="53" t="e">
        <f>D7/H7</f>
        <v>#DIV/0!</v>
      </c>
      <c r="AC7" s="887" t="e">
        <f>D7/J7</f>
        <v>#DIV/0!</v>
      </c>
    </row>
    <row r="8" spans="1:29" s="107" customFormat="1" ht="15.75" thickBot="1">
      <c r="A8" s="358" t="s">
        <v>2129</v>
      </c>
      <c r="B8" s="359"/>
      <c r="C8" s="364" t="s">
        <v>2231</v>
      </c>
      <c r="D8" s="361">
        <v>100</v>
      </c>
      <c r="E8" s="364"/>
      <c r="F8" s="363">
        <f>SUMIF(62:62,E8,63:63)-SUMIF(62:62,C8,63:63)+100</f>
        <v>0</v>
      </c>
      <c r="G8" s="364"/>
      <c r="H8" s="361">
        <f>SUMIF(62:62,G8,63:63)-SUMIF(62:62,C8,63:63)+100</f>
        <v>0</v>
      </c>
      <c r="I8" s="364"/>
      <c r="J8" s="361">
        <f>SUMIF(62:62,I8,63:63)-SUMIF(62:62,C8,63:63)+100</f>
        <v>0</v>
      </c>
      <c r="K8" s="41"/>
      <c r="L8" s="2655"/>
      <c r="M8" s="2604"/>
      <c r="N8" s="2604"/>
      <c r="O8" s="2604"/>
      <c r="P8" s="3313" t="s">
        <v>2131</v>
      </c>
      <c r="Q8" s="3255"/>
      <c r="R8" s="673" t="s">
        <v>17</v>
      </c>
      <c r="S8" s="674">
        <f t="shared" si="0"/>
        <v>0</v>
      </c>
      <c r="T8" s="673" t="s">
        <v>17</v>
      </c>
      <c r="U8" s="674">
        <f t="shared" si="1"/>
        <v>0</v>
      </c>
      <c r="V8" s="673" t="s">
        <v>17</v>
      </c>
      <c r="W8" s="674">
        <f t="shared" si="2"/>
        <v>0</v>
      </c>
      <c r="X8" s="675"/>
      <c r="Y8" s="3253" t="s">
        <v>2131</v>
      </c>
      <c r="Z8" s="3255"/>
      <c r="AA8" s="53" t="e">
        <f t="shared" ref="AA8:AA47" si="3">D8/F8</f>
        <v>#DIV/0!</v>
      </c>
      <c r="AB8" s="53" t="e">
        <f t="shared" ref="AB8:AB47" si="4">D8/H8</f>
        <v>#DIV/0!</v>
      </c>
      <c r="AC8" s="887" t="e">
        <f t="shared" ref="AC8:AC47" si="5">D8/J8</f>
        <v>#DIV/0!</v>
      </c>
    </row>
    <row r="9" spans="1:29" s="107" customFormat="1">
      <c r="A9" s="365" t="s">
        <v>2132</v>
      </c>
      <c r="B9" s="64" t="s">
        <v>2133</v>
      </c>
      <c r="C9" s="366"/>
      <c r="D9" s="63">
        <v>100</v>
      </c>
      <c r="E9" s="368"/>
      <c r="F9" s="63">
        <f>SUMIF(64:64,E9,65:65)-SUMIF(64:64,C9,65:65)+100</f>
        <v>100</v>
      </c>
      <c r="G9" s="367"/>
      <c r="H9" s="63">
        <f>SUMIF(64:64,G9,65:65)-SUMIF(64:64,C9,65:65)+100</f>
        <v>100</v>
      </c>
      <c r="I9" s="367"/>
      <c r="J9" s="63">
        <f>SUMIF(64:64,I9,65:65)-SUMIF(64:64,C9,65:65)+100</f>
        <v>100</v>
      </c>
      <c r="K9" s="41"/>
      <c r="L9" s="2655"/>
      <c r="M9" s="2604"/>
      <c r="N9" s="2604"/>
      <c r="O9" s="2604"/>
      <c r="P9" s="325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887">
        <f t="shared" si="5"/>
        <v>1</v>
      </c>
    </row>
    <row r="10" spans="1:29" s="374" customFormat="1" ht="27">
      <c r="A10" s="369"/>
      <c r="B10" s="370" t="s">
        <v>2136</v>
      </c>
      <c r="C10" s="371"/>
      <c r="D10" s="124">
        <v>100</v>
      </c>
      <c r="E10" s="371"/>
      <c r="F10" s="124">
        <f>SUMIF(66:66,E10,67:67)-SUMIF(66:66,C10,67:67)+100</f>
        <v>100</v>
      </c>
      <c r="G10" s="372"/>
      <c r="H10" s="124">
        <f>SUMIF(66:66,G10,67:67)-SUMIF(66:66,C10,67:67)+100</f>
        <v>100</v>
      </c>
      <c r="I10" s="371"/>
      <c r="J10" s="124">
        <f>SUMIF(66:66,I10,67:67)-SUMIF(66:66,C10,67:67)+100</f>
        <v>100</v>
      </c>
      <c r="K10" s="546"/>
      <c r="L10" s="2656"/>
      <c r="M10" s="2657"/>
      <c r="N10" s="2657"/>
      <c r="O10" s="2657"/>
      <c r="P10" s="325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887">
        <f t="shared" si="5"/>
        <v>1</v>
      </c>
    </row>
    <row r="11" spans="1:29" ht="15">
      <c r="A11" s="375"/>
      <c r="B11" s="370" t="s">
        <v>2137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8"/>
      <c r="M11" s="2654"/>
      <c r="N11" s="2654"/>
      <c r="O11" s="2654"/>
      <c r="P11" s="3256"/>
      <c r="Q11" s="538" t="str">
        <f t="shared" si="6"/>
        <v>容积率</v>
      </c>
      <c r="R11" s="673" t="s">
        <v>17</v>
      </c>
      <c r="S11" s="674" t="e">
        <f t="shared" si="0"/>
        <v>#N/A</v>
      </c>
      <c r="T11" s="673" t="s">
        <v>17</v>
      </c>
      <c r="U11" s="674" t="e">
        <f t="shared" si="1"/>
        <v>#N/A</v>
      </c>
      <c r="V11" s="673" t="s">
        <v>17</v>
      </c>
      <c r="W11" s="674" t="e">
        <f t="shared" si="2"/>
        <v>#N/A</v>
      </c>
      <c r="X11" s="675"/>
      <c r="Y11" s="3191"/>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4"/>
      <c r="N12" s="2604"/>
      <c r="O12" s="2604"/>
      <c r="P12" s="325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5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887">
        <f t="shared" si="5"/>
        <v>1</v>
      </c>
    </row>
    <row r="14" spans="1:29" ht="15.75"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5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887">
        <f t="shared" si="5"/>
        <v>1</v>
      </c>
    </row>
    <row r="15" spans="1:29" ht="114">
      <c r="A15" s="387" t="s">
        <v>2138</v>
      </c>
      <c r="B15" s="562" t="s">
        <v>2266</v>
      </c>
      <c r="C15" s="1941" t="str">
        <f>估价对象房地状况!C5</f>
        <v>估价对象位于西直门商圈，周边有智地钻河中心、华远企业中心、阳光大厦、京煤大厦等写字楼，项目较多，入驻率较高，办公集聚程度较好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9"/>
      <c r="M15" s="2654"/>
      <c r="N15" s="2654"/>
      <c r="O15" s="2654"/>
      <c r="P15" s="3257" t="s">
        <v>2139</v>
      </c>
      <c r="Q15" s="1392" t="str">
        <f t="shared" si="6"/>
        <v>办公集聚程度</v>
      </c>
      <c r="R15" s="676" t="s">
        <v>17</v>
      </c>
      <c r="S15" s="677">
        <f t="shared" si="0"/>
        <v>100</v>
      </c>
      <c r="T15" s="676" t="s">
        <v>17</v>
      </c>
      <c r="U15" s="677">
        <f t="shared" si="1"/>
        <v>100</v>
      </c>
      <c r="V15" s="676" t="s">
        <v>17</v>
      </c>
      <c r="W15" s="677">
        <f t="shared" si="2"/>
        <v>100</v>
      </c>
      <c r="X15" s="1394"/>
      <c r="Y15" s="3259" t="s">
        <v>2139</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59"/>
      <c r="M16" s="2654"/>
      <c r="N16" s="2654"/>
      <c r="O16" s="2654"/>
      <c r="P16" s="3258"/>
      <c r="Q16" s="1392"/>
      <c r="R16" s="676"/>
      <c r="S16" s="677"/>
      <c r="T16" s="676"/>
      <c r="U16" s="677"/>
      <c r="V16" s="676"/>
      <c r="W16" s="677"/>
      <c r="X16" s="1394"/>
      <c r="Y16" s="3260"/>
      <c r="Z16" s="1393"/>
      <c r="AA16" s="1393">
        <v>1</v>
      </c>
      <c r="AB16" s="1393">
        <v>1</v>
      </c>
      <c r="AC16" s="1942">
        <v>1</v>
      </c>
    </row>
    <row r="17" spans="1:29" ht="171">
      <c r="A17" s="375"/>
      <c r="B17" s="564" t="s">
        <v>1703</v>
      </c>
      <c r="C17" s="1943"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9"/>
      <c r="M17" s="2654"/>
      <c r="N17" s="2654"/>
      <c r="O17" s="2654"/>
      <c r="P17" s="3258"/>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59"/>
      <c r="M18" s="2654"/>
      <c r="N18" s="2654"/>
      <c r="O18" s="2654"/>
      <c r="P18" s="3258"/>
      <c r="Q18" s="1392"/>
      <c r="R18" s="676"/>
      <c r="S18" s="677"/>
      <c r="T18" s="676"/>
      <c r="U18" s="677"/>
      <c r="V18" s="676"/>
      <c r="W18" s="677"/>
      <c r="X18" s="1394"/>
      <c r="Y18" s="3260"/>
      <c r="Z18" s="1393"/>
      <c r="AA18" s="1393">
        <v>1</v>
      </c>
      <c r="AB18" s="1393">
        <v>1</v>
      </c>
      <c r="AC18" s="1942">
        <v>1</v>
      </c>
    </row>
    <row r="19" spans="1:29" ht="28.5">
      <c r="A19" s="375"/>
      <c r="B19" s="564" t="s">
        <v>2267</v>
      </c>
      <c r="C19" s="1943" t="str">
        <f>估价对象房地状况!C7</f>
        <v>估价对象所在区域公共配套设施齐备</v>
      </c>
      <c r="D19" s="402">
        <v>100</v>
      </c>
      <c r="E19" s="406"/>
      <c r="F19" s="402">
        <f>SUMIF(81:81,E20,82:82)-SUMIF(81:81,C20,82:82)+100</f>
        <v>100</v>
      </c>
      <c r="G19" s="404"/>
      <c r="H19" s="397">
        <f>SUMIF(81:81,G20,82:82)-SUMIF(81:81,C20,82:82)+100</f>
        <v>100</v>
      </c>
      <c r="I19" s="404"/>
      <c r="J19" s="397">
        <f>SUMIF(81:81,I20,82:82)-SUMIF(81:81,C20,82:82)+100</f>
        <v>100</v>
      </c>
      <c r="K19" s="548"/>
      <c r="L19" s="2659"/>
      <c r="M19" s="2654"/>
      <c r="N19" s="2654"/>
      <c r="O19" s="2654"/>
      <c r="P19" s="3258"/>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59"/>
      <c r="M20" s="2654"/>
      <c r="N20" s="2654"/>
      <c r="O20" s="2654"/>
      <c r="P20" s="3258"/>
      <c r="Q20" s="1392"/>
      <c r="R20" s="676"/>
      <c r="S20" s="677"/>
      <c r="T20" s="676"/>
      <c r="U20" s="677"/>
      <c r="V20" s="676"/>
      <c r="W20" s="677"/>
      <c r="X20" s="1394"/>
      <c r="Y20" s="3260"/>
      <c r="Z20" s="1393"/>
      <c r="AA20" s="1393">
        <v>1</v>
      </c>
      <c r="AB20" s="1393">
        <v>1</v>
      </c>
      <c r="AC20" s="1942">
        <v>1</v>
      </c>
    </row>
    <row r="21" spans="1:29" ht="42.75">
      <c r="A21" s="375"/>
      <c r="B21" s="565" t="s">
        <v>2268</v>
      </c>
      <c r="C21" s="1943" t="str">
        <f>估价对象房地状况!C8</f>
        <v>估价对象所在区域基础设施水平达七通</v>
      </c>
      <c r="D21" s="397">
        <v>100</v>
      </c>
      <c r="E21" s="406"/>
      <c r="F21" s="402">
        <f>SUMIF(83:83,E22,84:84)-SUMIF(83:83,C22,84:84)+100</f>
        <v>100</v>
      </c>
      <c r="G21" s="404"/>
      <c r="H21" s="397">
        <f>SUMIF(83:83,G22,84:84)-SUMIF(83:83,C22,84:84)+100</f>
        <v>100</v>
      </c>
      <c r="I21" s="404"/>
      <c r="J21" s="397">
        <f>SUMIF(83:83,I22,84:84)-SUMIF(83:83,C22,84:84)+100</f>
        <v>100</v>
      </c>
      <c r="K21" s="548"/>
      <c r="L21" s="2659"/>
      <c r="M21" s="2654"/>
      <c r="N21" s="2654"/>
      <c r="O21" s="2654"/>
      <c r="P21" s="3258"/>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942">
        <f>D21/J21</f>
        <v>1</v>
      </c>
    </row>
    <row r="22" spans="1:29" ht="15">
      <c r="A22" s="375"/>
      <c r="B22" s="565"/>
      <c r="C22" s="1944"/>
      <c r="D22" s="395"/>
      <c r="E22" s="394"/>
      <c r="F22" s="395"/>
      <c r="G22" s="1888"/>
      <c r="H22" s="395"/>
      <c r="I22" s="1888"/>
      <c r="J22" s="395"/>
      <c r="K22" s="1174"/>
      <c r="L22" s="2659"/>
      <c r="M22" s="2654"/>
      <c r="N22" s="2654"/>
      <c r="O22" s="2654"/>
      <c r="P22" s="3258"/>
      <c r="Q22" s="1392"/>
      <c r="R22" s="676"/>
      <c r="S22" s="677"/>
      <c r="T22" s="676"/>
      <c r="U22" s="677"/>
      <c r="V22" s="676"/>
      <c r="W22" s="677"/>
      <c r="X22" s="1394"/>
      <c r="Y22" s="3260"/>
      <c r="Z22" s="1393"/>
      <c r="AA22" s="1393">
        <v>1</v>
      </c>
      <c r="AB22" s="1393">
        <v>1</v>
      </c>
      <c r="AC22" s="1942">
        <v>1</v>
      </c>
    </row>
    <row r="23" spans="1:29" ht="114">
      <c r="A23" s="375"/>
      <c r="B23" s="564" t="s">
        <v>2269</v>
      </c>
      <c r="C23" s="1943" t="str">
        <f>估价对象房地状况!C9</f>
        <v>区域自然环境：南长河、北护城河等；人文环境：北京动物园、北京海洋馆、北京展览馆、北京天文馆等；综合评价环境状况好</v>
      </c>
      <c r="D23" s="397">
        <v>100</v>
      </c>
      <c r="E23" s="401"/>
      <c r="F23" s="397">
        <f>SUMIF(85:85,E24,86:86)-SUMIF(85:85,C24,86:86)+100</f>
        <v>100</v>
      </c>
      <c r="G23" s="399"/>
      <c r="H23" s="397">
        <f>SUMIF(85:85,G24,86:86)-SUMIF(85:85,C24,86:86)+100</f>
        <v>100</v>
      </c>
      <c r="I23" s="399"/>
      <c r="J23" s="397">
        <f>SUMIF(85:85,I24,86:86)-SUMIF(85:85,C24,86:86)+100</f>
        <v>100</v>
      </c>
      <c r="K23" s="548"/>
      <c r="L23" s="2659"/>
      <c r="M23" s="2654"/>
      <c r="N23" s="2654"/>
      <c r="O23" s="2654"/>
      <c r="P23" s="3258"/>
      <c r="Q23" s="1392" t="str">
        <f>B23</f>
        <v>环境质量</v>
      </c>
      <c r="R23" s="676" t="s">
        <v>17</v>
      </c>
      <c r="S23" s="677">
        <f>F23</f>
        <v>100</v>
      </c>
      <c r="T23" s="676" t="s">
        <v>17</v>
      </c>
      <c r="U23" s="677">
        <f>H23</f>
        <v>100</v>
      </c>
      <c r="V23" s="676" t="s">
        <v>17</v>
      </c>
      <c r="W23" s="677">
        <f>J23</f>
        <v>100</v>
      </c>
      <c r="X23" s="1394"/>
      <c r="Y23" s="3260"/>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59"/>
      <c r="M24" s="2654"/>
      <c r="N24" s="2654"/>
      <c r="O24" s="2654"/>
      <c r="P24" s="3258"/>
      <c r="Q24" s="1392"/>
      <c r="R24" s="676"/>
      <c r="S24" s="677"/>
      <c r="T24" s="676"/>
      <c r="U24" s="677"/>
      <c r="V24" s="676"/>
      <c r="W24" s="677"/>
      <c r="X24" s="1394"/>
      <c r="Y24" s="3260"/>
      <c r="Z24" s="1393"/>
      <c r="AA24" s="1393">
        <v>1</v>
      </c>
      <c r="AB24" s="1393">
        <v>1</v>
      </c>
      <c r="AC24" s="1942">
        <v>1</v>
      </c>
    </row>
    <row r="25" spans="1:29" ht="27">
      <c r="A25" s="354"/>
      <c r="B25" s="564" t="s">
        <v>2270</v>
      </c>
      <c r="C25" s="1892"/>
      <c r="D25" s="382">
        <v>100</v>
      </c>
      <c r="E25" s="381"/>
      <c r="F25" s="382">
        <f>SUMIF(87:87,E26,88:88)-SUMIF(87:87,C26,88:88)+100</f>
        <v>100</v>
      </c>
      <c r="G25" s="1892"/>
      <c r="H25" s="382">
        <f>SUMIF(87:87,G26,88:88)-SUMIF(87:87,C26,88:88)+100</f>
        <v>100</v>
      </c>
      <c r="I25" s="381"/>
      <c r="J25" s="382">
        <f>SUMIF(87:87,I26,88:88)-SUMIF(87:87,C26,88:88)+100</f>
        <v>100</v>
      </c>
      <c r="K25" s="548"/>
      <c r="L25" s="2659"/>
      <c r="M25" s="2654"/>
      <c r="N25" s="2654"/>
      <c r="O25" s="2654"/>
      <c r="P25" s="3258"/>
      <c r="Q25" s="1392" t="str">
        <f>B25</f>
        <v>毗邻道路的类型与等级</v>
      </c>
      <c r="R25" s="676" t="s">
        <v>17</v>
      </c>
      <c r="S25" s="677">
        <f>F25</f>
        <v>100</v>
      </c>
      <c r="T25" s="676" t="s">
        <v>17</v>
      </c>
      <c r="U25" s="677">
        <f>H25</f>
        <v>100</v>
      </c>
      <c r="V25" s="676" t="s">
        <v>17</v>
      </c>
      <c r="W25" s="677">
        <f>J25</f>
        <v>100</v>
      </c>
      <c r="X25" s="1394"/>
      <c r="Y25" s="3260"/>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59"/>
      <c r="M26" s="2654"/>
      <c r="N26" s="2654"/>
      <c r="O26" s="2654"/>
      <c r="P26" s="3258"/>
      <c r="Q26" s="1392"/>
      <c r="R26" s="676"/>
      <c r="S26" s="677"/>
      <c r="T26" s="676"/>
      <c r="U26" s="677"/>
      <c r="V26" s="676"/>
      <c r="W26" s="677"/>
      <c r="X26" s="1394"/>
      <c r="Y26" s="3260"/>
      <c r="Z26" s="1393"/>
      <c r="AA26" s="1393">
        <v>1</v>
      </c>
      <c r="AB26" s="1393">
        <v>1</v>
      </c>
      <c r="AC26" s="1942">
        <v>1</v>
      </c>
    </row>
    <row r="27" spans="1:29" ht="15">
      <c r="A27" s="375"/>
      <c r="B27" s="409" t="s">
        <v>2238</v>
      </c>
      <c r="C27" s="566"/>
      <c r="D27" s="382">
        <v>100</v>
      </c>
      <c r="E27" s="550"/>
      <c r="F27" s="382">
        <f>SUMIF(89:89,E27,90:90)-SUMIF(89:89,C27,90:90)+100</f>
        <v>100</v>
      </c>
      <c r="G27" s="566"/>
      <c r="H27" s="382">
        <f>SUMIF(89:89,G27,90:90)-SUMIF(89:89,C27,90:90)+100</f>
        <v>100</v>
      </c>
      <c r="I27" s="550"/>
      <c r="J27" s="382">
        <f>SUMIF(89:89,I27,90:90)-SUMIF(89:89,C27,90:90)+100</f>
        <v>100</v>
      </c>
      <c r="K27" s="546"/>
      <c r="L27" s="2659"/>
      <c r="M27" s="2654"/>
      <c r="N27" s="2654"/>
      <c r="O27" s="2654"/>
      <c r="P27" s="3258"/>
      <c r="Q27" s="1392" t="str">
        <f t="shared" ref="Q27:Q47" si="8">B27</f>
        <v>楼层</v>
      </c>
      <c r="R27" s="676" t="s">
        <v>17</v>
      </c>
      <c r="S27" s="677">
        <f>F27</f>
        <v>100</v>
      </c>
      <c r="T27" s="676" t="s">
        <v>17</v>
      </c>
      <c r="U27" s="677">
        <f>H27</f>
        <v>100</v>
      </c>
      <c r="V27" s="676" t="s">
        <v>17</v>
      </c>
      <c r="W27" s="677">
        <f>J27</f>
        <v>100</v>
      </c>
      <c r="X27" s="1394"/>
      <c r="Y27" s="3260"/>
      <c r="Z27" s="1393" t="str">
        <f>Q27</f>
        <v>楼层</v>
      </c>
      <c r="AA27" s="1393">
        <f t="shared" si="3"/>
        <v>1</v>
      </c>
      <c r="AB27" s="1393">
        <f t="shared" si="4"/>
        <v>1</v>
      </c>
      <c r="AC27" s="1942">
        <f t="shared" si="5"/>
        <v>1</v>
      </c>
    </row>
    <row r="28" spans="1:29" s="107" customFormat="1" ht="15">
      <c r="A28" s="378"/>
      <c r="B28" s="564" t="s">
        <v>2271</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4"/>
      <c r="N28" s="2604"/>
      <c r="O28" s="2604"/>
      <c r="P28" s="3258"/>
      <c r="Q28" s="538" t="str">
        <f t="shared" si="8"/>
        <v>朝向</v>
      </c>
      <c r="R28" s="673" t="s">
        <v>17</v>
      </c>
      <c r="S28" s="674">
        <f>F28</f>
        <v>100</v>
      </c>
      <c r="T28" s="673" t="s">
        <v>17</v>
      </c>
      <c r="U28" s="674">
        <f>H28</f>
        <v>100</v>
      </c>
      <c r="V28" s="673" t="s">
        <v>17</v>
      </c>
      <c r="W28" s="674">
        <f>J28</f>
        <v>100</v>
      </c>
      <c r="X28" s="675"/>
      <c r="Y28" s="3260"/>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58"/>
      <c r="Q29" s="1392">
        <f t="shared" si="8"/>
        <v>111</v>
      </c>
      <c r="R29" s="676" t="s">
        <v>17</v>
      </c>
      <c r="S29" s="677">
        <f t="shared" ref="S29:S47" si="9">F29</f>
        <v>100</v>
      </c>
      <c r="T29" s="676" t="s">
        <v>17</v>
      </c>
      <c r="U29" s="677">
        <f t="shared" ref="U29:U47" si="10">H29</f>
        <v>100</v>
      </c>
      <c r="V29" s="676" t="s">
        <v>17</v>
      </c>
      <c r="W29" s="677">
        <f t="shared" ref="W29:W47" si="11">J29</f>
        <v>100</v>
      </c>
      <c r="X29" s="1394"/>
      <c r="Y29" s="3260"/>
      <c r="Z29" s="1393">
        <f t="shared" ref="Z29:Z47" si="12">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58"/>
      <c r="Q30" s="1392">
        <f t="shared" si="8"/>
        <v>111</v>
      </c>
      <c r="R30" s="676" t="s">
        <v>17</v>
      </c>
      <c r="S30" s="677">
        <f t="shared" si="9"/>
        <v>100</v>
      </c>
      <c r="T30" s="676" t="s">
        <v>17</v>
      </c>
      <c r="U30" s="677">
        <f t="shared" si="10"/>
        <v>100</v>
      </c>
      <c r="V30" s="676" t="s">
        <v>17</v>
      </c>
      <c r="W30" s="677">
        <f t="shared" si="11"/>
        <v>100</v>
      </c>
      <c r="X30" s="1394"/>
      <c r="Y30" s="3260"/>
      <c r="Z30" s="1393">
        <f t="shared" si="12"/>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58"/>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58"/>
      <c r="Q32" s="1392">
        <f t="shared" si="8"/>
        <v>111</v>
      </c>
      <c r="R32" s="676" t="s">
        <v>17</v>
      </c>
      <c r="S32" s="677">
        <f t="shared" si="9"/>
        <v>100</v>
      </c>
      <c r="T32" s="676" t="s">
        <v>17</v>
      </c>
      <c r="U32" s="677">
        <f t="shared" si="10"/>
        <v>100</v>
      </c>
      <c r="V32" s="676" t="s">
        <v>17</v>
      </c>
      <c r="W32" s="677">
        <f t="shared" si="11"/>
        <v>100</v>
      </c>
      <c r="X32" s="1394"/>
      <c r="Y32" s="3260"/>
      <c r="Z32" s="1393">
        <f t="shared" si="12"/>
        <v>111</v>
      </c>
      <c r="AA32" s="1393">
        <f t="shared" si="3"/>
        <v>1</v>
      </c>
      <c r="AB32" s="1393">
        <f t="shared" si="4"/>
        <v>1</v>
      </c>
      <c r="AC32" s="1942">
        <f t="shared" si="5"/>
        <v>1</v>
      </c>
    </row>
    <row r="33" spans="1:29" ht="15">
      <c r="A33" s="387" t="s">
        <v>2142</v>
      </c>
      <c r="B33" s="64" t="s">
        <v>2272</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9"/>
      <c r="M33" s="2654"/>
      <c r="N33" s="2654"/>
      <c r="O33" s="2654"/>
      <c r="P33" s="3261" t="s">
        <v>2144</v>
      </c>
      <c r="Q33" s="1392" t="str">
        <f t="shared" si="8"/>
        <v>建筑类型</v>
      </c>
      <c r="R33" s="676" t="s">
        <v>17</v>
      </c>
      <c r="S33" s="677">
        <f t="shared" si="9"/>
        <v>100</v>
      </c>
      <c r="T33" s="676" t="s">
        <v>17</v>
      </c>
      <c r="U33" s="677">
        <f t="shared" si="10"/>
        <v>100</v>
      </c>
      <c r="V33" s="676" t="s">
        <v>17</v>
      </c>
      <c r="W33" s="677">
        <f t="shared" si="11"/>
        <v>100</v>
      </c>
      <c r="X33" s="1394"/>
      <c r="Y33" s="3264" t="s">
        <v>2144</v>
      </c>
      <c r="Z33" s="1393" t="str">
        <f t="shared" si="12"/>
        <v>建筑类型</v>
      </c>
      <c r="AA33" s="1393">
        <f t="shared" si="3"/>
        <v>1</v>
      </c>
      <c r="AB33" s="1393">
        <f t="shared" si="4"/>
        <v>1</v>
      </c>
      <c r="AC33" s="1942">
        <f t="shared" si="5"/>
        <v>1</v>
      </c>
    </row>
    <row r="34" spans="1:29" s="416" customFormat="1" ht="15">
      <c r="A34" s="414"/>
      <c r="B34" s="370" t="s">
        <v>2145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8"/>
      <c r="M34" s="2660"/>
      <c r="N34" s="2660"/>
      <c r="O34" s="2660"/>
      <c r="P34" s="3262"/>
      <c r="Q34" s="539" t="str">
        <f t="shared" si="8"/>
        <v>项目建筑规模</v>
      </c>
      <c r="R34" s="678" t="s">
        <v>17</v>
      </c>
      <c r="S34" s="679" t="e">
        <f t="shared" si="9"/>
        <v>#N/A</v>
      </c>
      <c r="T34" s="678" t="s">
        <v>17</v>
      </c>
      <c r="U34" s="679" t="e">
        <f t="shared" si="10"/>
        <v>#N/A</v>
      </c>
      <c r="V34" s="678" t="s">
        <v>17</v>
      </c>
      <c r="W34" s="679" t="e">
        <f t="shared" si="11"/>
        <v>#N/A</v>
      </c>
      <c r="X34" s="680"/>
      <c r="Y34" s="3264"/>
      <c r="Z34" s="681" t="str">
        <f t="shared" si="12"/>
        <v>项目建筑规模</v>
      </c>
      <c r="AA34" s="1393" t="e">
        <f t="shared" si="3"/>
        <v>#N/A</v>
      </c>
      <c r="AB34" s="1393" t="e">
        <f t="shared" si="4"/>
        <v>#N/A</v>
      </c>
      <c r="AC34" s="1942" t="e">
        <f t="shared" si="5"/>
        <v>#N/A</v>
      </c>
    </row>
    <row r="35" spans="1:29" ht="15">
      <c r="A35" s="417"/>
      <c r="B35" s="370" t="s">
        <v>2146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9"/>
      <c r="M35" s="2654"/>
      <c r="N35" s="2654"/>
      <c r="O35" s="2654"/>
      <c r="P35" s="3262"/>
      <c r="Q35" s="1392" t="str">
        <f t="shared" si="8"/>
        <v>建筑结构</v>
      </c>
      <c r="R35" s="676" t="s">
        <v>17</v>
      </c>
      <c r="S35" s="677">
        <f t="shared" si="9"/>
        <v>100</v>
      </c>
      <c r="T35" s="676" t="s">
        <v>17</v>
      </c>
      <c r="U35" s="677">
        <f t="shared" si="10"/>
        <v>100</v>
      </c>
      <c r="V35" s="676" t="s">
        <v>17</v>
      </c>
      <c r="W35" s="677">
        <f t="shared" si="11"/>
        <v>100</v>
      </c>
      <c r="X35" s="1394"/>
      <c r="Y35" s="3264"/>
      <c r="Z35" s="1393" t="str">
        <f t="shared" si="12"/>
        <v>建筑结构</v>
      </c>
      <c r="AA35" s="1393">
        <f t="shared" si="3"/>
        <v>1</v>
      </c>
      <c r="AB35" s="1393">
        <f t="shared" si="4"/>
        <v>1</v>
      </c>
      <c r="AC35" s="1942">
        <f t="shared" si="5"/>
        <v>1</v>
      </c>
    </row>
    <row r="36" spans="1:29" ht="15">
      <c r="A36" s="417"/>
      <c r="B36" s="370" t="s">
        <v>2240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9"/>
      <c r="M36" s="2654"/>
      <c r="N36" s="2654"/>
      <c r="O36" s="2654"/>
      <c r="P36" s="3262"/>
      <c r="Q36" s="1392" t="str">
        <f t="shared" si="8"/>
        <v>公共部分装修</v>
      </c>
      <c r="R36" s="676" t="s">
        <v>17</v>
      </c>
      <c r="S36" s="677">
        <f t="shared" si="9"/>
        <v>100</v>
      </c>
      <c r="T36" s="676" t="s">
        <v>17</v>
      </c>
      <c r="U36" s="677">
        <f t="shared" si="10"/>
        <v>100</v>
      </c>
      <c r="V36" s="676" t="s">
        <v>17</v>
      </c>
      <c r="W36" s="677">
        <f t="shared" si="11"/>
        <v>100</v>
      </c>
      <c r="X36" s="1394"/>
      <c r="Y36" s="3264"/>
      <c r="Z36" s="1393" t="str">
        <f t="shared" si="12"/>
        <v>公共部分装修</v>
      </c>
      <c r="AA36" s="1393">
        <f t="shared" si="3"/>
        <v>1</v>
      </c>
      <c r="AB36" s="1393">
        <f t="shared" si="4"/>
        <v>1</v>
      </c>
      <c r="AC36" s="1942">
        <f t="shared" si="5"/>
        <v>1</v>
      </c>
    </row>
    <row r="37" spans="1:29" ht="15">
      <c r="A37" s="417"/>
      <c r="B37" s="370" t="s">
        <v>2241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9"/>
      <c r="M37" s="2654"/>
      <c r="N37" s="2654"/>
      <c r="O37" s="2654"/>
      <c r="P37" s="3262"/>
      <c r="Q37" s="1392" t="str">
        <f t="shared" si="8"/>
        <v>成新度</v>
      </c>
      <c r="R37" s="676" t="s">
        <v>17</v>
      </c>
      <c r="S37" s="677" t="e">
        <f t="shared" si="9"/>
        <v>#N/A</v>
      </c>
      <c r="T37" s="676" t="s">
        <v>17</v>
      </c>
      <c r="U37" s="677" t="e">
        <f t="shared" si="10"/>
        <v>#N/A</v>
      </c>
      <c r="V37" s="676" t="s">
        <v>17</v>
      </c>
      <c r="W37" s="677" t="e">
        <f t="shared" si="11"/>
        <v>#N/A</v>
      </c>
      <c r="X37" s="1394"/>
      <c r="Y37" s="3264"/>
      <c r="Z37" s="1393" t="str">
        <f t="shared" si="12"/>
        <v>成新度</v>
      </c>
      <c r="AA37" s="1393" t="e">
        <f t="shared" si="3"/>
        <v>#N/A</v>
      </c>
      <c r="AB37" s="1393" t="e">
        <f t="shared" si="4"/>
        <v>#N/A</v>
      </c>
      <c r="AC37" s="1942" t="e">
        <f t="shared" si="5"/>
        <v>#N/A</v>
      </c>
    </row>
    <row r="38" spans="1:29" s="107" customFormat="1" ht="15">
      <c r="A38" s="418"/>
      <c r="B38" s="370" t="s">
        <v>2273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5"/>
      <c r="M38" s="2604"/>
      <c r="N38" s="2604"/>
      <c r="O38" s="2604"/>
      <c r="P38" s="3262"/>
      <c r="Q38" s="538" t="str">
        <f t="shared" si="8"/>
        <v>写字楼等级</v>
      </c>
      <c r="R38" s="673" t="s">
        <v>17</v>
      </c>
      <c r="S38" s="674">
        <f t="shared" si="9"/>
        <v>100</v>
      </c>
      <c r="T38" s="673" t="s">
        <v>17</v>
      </c>
      <c r="U38" s="674">
        <f t="shared" si="10"/>
        <v>100</v>
      </c>
      <c r="V38" s="673" t="s">
        <v>17</v>
      </c>
      <c r="W38" s="674">
        <f t="shared" si="11"/>
        <v>100</v>
      </c>
      <c r="X38" s="675"/>
      <c r="Y38" s="3264"/>
      <c r="Z38" s="53" t="str">
        <f t="shared" si="12"/>
        <v>写字楼等级</v>
      </c>
      <c r="AA38" s="53">
        <f t="shared" si="3"/>
        <v>1</v>
      </c>
      <c r="AB38" s="53">
        <f t="shared" si="4"/>
        <v>1</v>
      </c>
      <c r="AC38" s="887">
        <f t="shared" si="5"/>
        <v>1</v>
      </c>
    </row>
    <row r="39" spans="1:29" ht="15">
      <c r="A39" s="417"/>
      <c r="B39" s="370" t="s">
        <v>2274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9"/>
      <c r="M39" s="2654"/>
      <c r="N39" s="2654"/>
      <c r="O39" s="2654"/>
      <c r="P39" s="3262" t="s">
        <v>2144</v>
      </c>
      <c r="Q39" s="1392" t="str">
        <f t="shared" si="8"/>
        <v>物业管理</v>
      </c>
      <c r="R39" s="676" t="s">
        <v>17</v>
      </c>
      <c r="S39" s="677">
        <f t="shared" si="9"/>
        <v>100</v>
      </c>
      <c r="T39" s="676" t="s">
        <v>17</v>
      </c>
      <c r="U39" s="677">
        <f t="shared" si="10"/>
        <v>100</v>
      </c>
      <c r="V39" s="676" t="s">
        <v>17</v>
      </c>
      <c r="W39" s="677">
        <f t="shared" si="11"/>
        <v>100</v>
      </c>
      <c r="X39" s="1394"/>
      <c r="Y39" s="3264" t="s">
        <v>2144</v>
      </c>
      <c r="Z39" s="1393" t="str">
        <f t="shared" si="12"/>
        <v>物业管理</v>
      </c>
      <c r="AA39" s="1393">
        <f t="shared" si="3"/>
        <v>1</v>
      </c>
      <c r="AB39" s="1393">
        <f t="shared" si="4"/>
        <v>1</v>
      </c>
      <c r="AC39" s="1942">
        <f t="shared" si="5"/>
        <v>1</v>
      </c>
    </row>
    <row r="40" spans="1:29" ht="15">
      <c r="A40" s="417"/>
      <c r="B40" s="370" t="s">
        <v>2242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9"/>
      <c r="M40" s="2654"/>
      <c r="N40" s="2654"/>
      <c r="O40" s="2654"/>
      <c r="P40" s="3262"/>
      <c r="Q40" s="1392" t="str">
        <f t="shared" si="8"/>
        <v>市政基础设施</v>
      </c>
      <c r="R40" s="676" t="s">
        <v>17</v>
      </c>
      <c r="S40" s="677">
        <f t="shared" si="9"/>
        <v>100</v>
      </c>
      <c r="T40" s="676" t="s">
        <v>17</v>
      </c>
      <c r="U40" s="677">
        <f t="shared" si="10"/>
        <v>100</v>
      </c>
      <c r="V40" s="676" t="s">
        <v>17</v>
      </c>
      <c r="W40" s="677">
        <f t="shared" si="11"/>
        <v>100</v>
      </c>
      <c r="X40" s="1394"/>
      <c r="Y40" s="3264"/>
      <c r="Z40" s="1393" t="str">
        <f t="shared" si="12"/>
        <v>市政基础设施</v>
      </c>
      <c r="AA40" s="1393">
        <f t="shared" si="3"/>
        <v>1</v>
      </c>
      <c r="AB40" s="1393">
        <f t="shared" si="4"/>
        <v>1</v>
      </c>
      <c r="AC40" s="1942">
        <f t="shared" si="5"/>
        <v>1</v>
      </c>
    </row>
    <row r="41" spans="1:29" ht="15">
      <c r="A41" s="417"/>
      <c r="B41" s="370" t="s">
        <v>2244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9"/>
      <c r="M41" s="2654"/>
      <c r="N41" s="2654"/>
      <c r="O41" s="2654"/>
      <c r="P41" s="3262"/>
      <c r="Q41" s="1392" t="str">
        <f t="shared" si="8"/>
        <v>层高</v>
      </c>
      <c r="R41" s="676" t="s">
        <v>17</v>
      </c>
      <c r="S41" s="677">
        <f t="shared" si="9"/>
        <v>100</v>
      </c>
      <c r="T41" s="676" t="s">
        <v>17</v>
      </c>
      <c r="U41" s="677">
        <f t="shared" si="10"/>
        <v>100</v>
      </c>
      <c r="V41" s="676" t="s">
        <v>17</v>
      </c>
      <c r="W41" s="677">
        <f t="shared" si="11"/>
        <v>100</v>
      </c>
      <c r="X41" s="1394"/>
      <c r="Y41" s="3264"/>
      <c r="Z41" s="1393" t="str">
        <f t="shared" si="12"/>
        <v>层高</v>
      </c>
      <c r="AA41" s="1393">
        <f t="shared" si="3"/>
        <v>1</v>
      </c>
      <c r="AB41" s="1393">
        <f t="shared" si="4"/>
        <v>1</v>
      </c>
      <c r="AC41" s="1942">
        <f t="shared" si="5"/>
        <v>1</v>
      </c>
    </row>
    <row r="42" spans="1:29" s="416" customFormat="1" ht="15">
      <c r="A42" s="414"/>
      <c r="B42" s="408" t="s">
        <v>2275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62"/>
      <c r="Q42" s="539" t="str">
        <f t="shared" si="8"/>
        <v>单套建筑面积</v>
      </c>
      <c r="R42" s="678" t="s">
        <v>17</v>
      </c>
      <c r="S42" s="679">
        <f t="shared" si="9"/>
        <v>100</v>
      </c>
      <c r="T42" s="678" t="s">
        <v>17</v>
      </c>
      <c r="U42" s="679">
        <f t="shared" si="10"/>
        <v>100</v>
      </c>
      <c r="V42" s="678" t="s">
        <v>17</v>
      </c>
      <c r="W42" s="679">
        <f t="shared" si="11"/>
        <v>100</v>
      </c>
      <c r="X42" s="680"/>
      <c r="Y42" s="3264"/>
      <c r="Z42" s="681" t="str">
        <f t="shared" si="12"/>
        <v>单套建筑面积</v>
      </c>
      <c r="AA42" s="1393">
        <f t="shared" si="3"/>
        <v>1</v>
      </c>
      <c r="AB42" s="1393">
        <f t="shared" si="4"/>
        <v>1</v>
      </c>
      <c r="AC42" s="1942">
        <f t="shared" si="5"/>
        <v>1</v>
      </c>
    </row>
    <row r="43" spans="1:29" ht="15">
      <c r="A43" s="417"/>
      <c r="B43" s="370" t="s">
        <v>2247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9"/>
      <c r="M43" s="2654"/>
      <c r="N43" s="2654"/>
      <c r="O43" s="2654"/>
      <c r="P43" s="3262"/>
      <c r="Q43" s="1392" t="str">
        <f t="shared" si="8"/>
        <v>内部装修</v>
      </c>
      <c r="R43" s="676" t="s">
        <v>17</v>
      </c>
      <c r="S43" s="677">
        <f t="shared" si="9"/>
        <v>100</v>
      </c>
      <c r="T43" s="676" t="s">
        <v>17</v>
      </c>
      <c r="U43" s="677">
        <f t="shared" si="10"/>
        <v>100</v>
      </c>
      <c r="V43" s="676" t="s">
        <v>17</v>
      </c>
      <c r="W43" s="677">
        <f t="shared" si="11"/>
        <v>100</v>
      </c>
      <c r="X43" s="1394"/>
      <c r="Y43" s="3264"/>
      <c r="Z43" s="1393" t="str">
        <f t="shared" si="12"/>
        <v>内部装修</v>
      </c>
      <c r="AA43" s="1393">
        <f t="shared" si="3"/>
        <v>1</v>
      </c>
      <c r="AB43" s="1393">
        <f t="shared" si="4"/>
        <v>1</v>
      </c>
      <c r="AC43" s="1942">
        <f t="shared" si="5"/>
        <v>1</v>
      </c>
    </row>
    <row r="44" spans="1:29" ht="15">
      <c r="A44" s="417"/>
      <c r="B44" s="370" t="s">
        <v>2155</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9"/>
      <c r="M44" s="2654"/>
      <c r="N44" s="2654"/>
      <c r="O44" s="2654"/>
      <c r="P44" s="3262"/>
      <c r="Q44" s="1392" t="str">
        <f t="shared" si="8"/>
        <v>内部装修维护情况</v>
      </c>
      <c r="R44" s="676" t="s">
        <v>17</v>
      </c>
      <c r="S44" s="677">
        <f t="shared" si="9"/>
        <v>100</v>
      </c>
      <c r="T44" s="676" t="s">
        <v>17</v>
      </c>
      <c r="U44" s="677">
        <f t="shared" si="10"/>
        <v>100</v>
      </c>
      <c r="V44" s="676" t="s">
        <v>17</v>
      </c>
      <c r="W44" s="677">
        <f t="shared" si="11"/>
        <v>100</v>
      </c>
      <c r="X44" s="1394"/>
      <c r="Y44" s="3264"/>
      <c r="Z44" s="1393" t="str">
        <f t="shared" si="12"/>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5"/>
      <c r="M45" s="2604"/>
      <c r="N45" s="2604"/>
      <c r="O45" s="2604"/>
      <c r="P45" s="3262"/>
      <c r="Q45" s="538">
        <f t="shared" si="8"/>
        <v>111</v>
      </c>
      <c r="R45" s="673" t="s">
        <v>17</v>
      </c>
      <c r="S45" s="674">
        <f t="shared" si="9"/>
        <v>100</v>
      </c>
      <c r="T45" s="673" t="s">
        <v>17</v>
      </c>
      <c r="U45" s="674">
        <f t="shared" si="10"/>
        <v>100</v>
      </c>
      <c r="V45" s="673" t="s">
        <v>17</v>
      </c>
      <c r="W45" s="674">
        <f t="shared" si="11"/>
        <v>100</v>
      </c>
      <c r="X45" s="675"/>
      <c r="Y45" s="3264"/>
      <c r="Z45" s="53">
        <f t="shared" si="12"/>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9"/>
      <c r="M46" s="2654"/>
      <c r="N46" s="2654"/>
      <c r="O46" s="2654"/>
      <c r="P46" s="3262"/>
      <c r="Q46" s="1392">
        <f t="shared" si="8"/>
        <v>111</v>
      </c>
      <c r="R46" s="676" t="s">
        <v>17</v>
      </c>
      <c r="S46" s="677">
        <f t="shared" si="9"/>
        <v>100</v>
      </c>
      <c r="T46" s="676" t="s">
        <v>17</v>
      </c>
      <c r="U46" s="677">
        <f t="shared" si="10"/>
        <v>100</v>
      </c>
      <c r="V46" s="676" t="s">
        <v>17</v>
      </c>
      <c r="W46" s="677">
        <f t="shared" si="11"/>
        <v>100</v>
      </c>
      <c r="X46" s="1394"/>
      <c r="Y46" s="3264"/>
      <c r="Z46" s="1393">
        <f t="shared" si="12"/>
        <v>111</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63"/>
      <c r="Q47" s="1392">
        <f t="shared" si="8"/>
        <v>111</v>
      </c>
      <c r="R47" s="676" t="s">
        <v>17</v>
      </c>
      <c r="S47" s="677">
        <f t="shared" si="9"/>
        <v>100</v>
      </c>
      <c r="T47" s="676" t="s">
        <v>17</v>
      </c>
      <c r="U47" s="677">
        <f t="shared" si="10"/>
        <v>100</v>
      </c>
      <c r="V47" s="676" t="s">
        <v>17</v>
      </c>
      <c r="W47" s="677">
        <f t="shared" si="11"/>
        <v>100</v>
      </c>
      <c r="X47" s="1394"/>
      <c r="Y47" s="3265"/>
      <c r="Z47" s="1393">
        <f t="shared" si="12"/>
        <v>111</v>
      </c>
      <c r="AA47" s="1393">
        <f t="shared" si="3"/>
        <v>1</v>
      </c>
      <c r="AB47" s="1393">
        <f t="shared" si="4"/>
        <v>1</v>
      </c>
      <c r="AC47" s="1942">
        <f t="shared" si="5"/>
        <v>1</v>
      </c>
    </row>
    <row r="48" spans="1:29" ht="15">
      <c r="A48" s="424" t="s">
        <v>2156</v>
      </c>
      <c r="B48" s="425"/>
      <c r="C48" s="1191" t="s">
        <v>1</v>
      </c>
      <c r="D48" s="426"/>
      <c r="E48" s="427"/>
      <c r="F48" s="428"/>
      <c r="G48" s="429"/>
      <c r="H48" s="430"/>
      <c r="I48" s="427"/>
      <c r="J48" s="430"/>
      <c r="K48" s="683"/>
      <c r="L48" s="2661"/>
      <c r="M48" s="2654"/>
      <c r="N48" s="2654"/>
      <c r="O48" s="2654"/>
      <c r="P48" s="3256" t="str">
        <f>A48</f>
        <v>成交单价（元/平方米）</v>
      </c>
      <c r="Q48" s="3266"/>
      <c r="R48" s="3252">
        <f>E48</f>
        <v>0</v>
      </c>
      <c r="S48" s="3252"/>
      <c r="T48" s="3252">
        <f>G48</f>
        <v>0</v>
      </c>
      <c r="U48" s="3252"/>
      <c r="V48" s="3252">
        <f>I48</f>
        <v>0</v>
      </c>
      <c r="W48" s="3252"/>
      <c r="X48" s="393"/>
      <c r="Y48" s="682"/>
      <c r="Z48" s="393"/>
      <c r="AA48" s="393"/>
      <c r="AB48" s="393"/>
      <c r="AC48" s="563"/>
    </row>
    <row r="49" spans="1:29" ht="15.75" thickBot="1">
      <c r="A49" s="431" t="s">
        <v>2248</v>
      </c>
      <c r="B49" s="432"/>
      <c r="C49" s="1192" t="e">
        <f>R50</f>
        <v>#DIV/0!</v>
      </c>
      <c r="D49" s="2301" t="s">
        <v>2638</v>
      </c>
      <c r="E49" s="1193" t="e">
        <f>R49</f>
        <v>#DIV/0!</v>
      </c>
      <c r="F49" s="2302"/>
      <c r="G49" s="1192" t="e">
        <f>T49</f>
        <v>#DIV/0!</v>
      </c>
      <c r="H49" s="2302"/>
      <c r="I49" s="1193" t="e">
        <f>V49</f>
        <v>#DIV/0!</v>
      </c>
      <c r="J49" s="2302"/>
      <c r="K49" s="2304">
        <f>F49+H49+J49</f>
        <v>0</v>
      </c>
      <c r="L49" s="2661"/>
      <c r="M49" s="2654"/>
      <c r="N49" s="2654"/>
      <c r="O49" s="2654"/>
      <c r="P49" s="3256" t="str">
        <f>A49</f>
        <v>比较价值（元/平方米）</v>
      </c>
      <c r="Q49" s="3266"/>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393"/>
      <c r="Y49" s="393"/>
      <c r="Z49" s="393"/>
      <c r="AA49" s="393"/>
      <c r="AB49" s="393"/>
      <c r="AC49" s="563"/>
    </row>
    <row r="50" spans="1:29" ht="15.75" thickBot="1">
      <c r="A50" s="435" t="s">
        <v>2249</v>
      </c>
      <c r="B50" s="436"/>
      <c r="C50" s="357" t="e">
        <f>R50</f>
        <v>#DIV/0!</v>
      </c>
      <c r="D50" s="357"/>
      <c r="E50" s="357"/>
      <c r="F50" s="357"/>
      <c r="G50" s="357"/>
      <c r="H50" s="357"/>
      <c r="I50" s="357"/>
      <c r="J50" s="437"/>
      <c r="K50" s="684"/>
      <c r="L50" s="2661"/>
      <c r="M50" s="2654"/>
      <c r="N50" s="2654"/>
      <c r="O50" s="2654"/>
      <c r="P50" s="3314" t="str">
        <f>A50</f>
        <v>估价对象XX用房的比较价值（楼面单价，元/平方米）</v>
      </c>
      <c r="Q50" s="3315"/>
      <c r="R50" s="3316" t="e">
        <f>IF(F1="售价",ROUND(IF(D49="简单平均",AVERAGE(R49:V49),R49*F49+T49*H49+V49*J49),0),ROUND(IF(D49="简单平均",AVERAGE(R49:V49),R49*F49+T49*H49+V49*J49),1))</f>
        <v>#DIV/0!</v>
      </c>
      <c r="S50" s="3316"/>
      <c r="T50" s="3316"/>
      <c r="U50" s="3316"/>
      <c r="V50" s="3316"/>
      <c r="W50" s="3316"/>
      <c r="X50" s="1928"/>
      <c r="Y50" s="1928"/>
      <c r="Z50" s="1928"/>
      <c r="AA50" s="1928"/>
      <c r="AB50" s="1928"/>
      <c r="AC50" s="1929"/>
    </row>
    <row r="51" spans="1:29">
      <c r="A51" s="2654"/>
      <c r="B51" s="2654"/>
      <c r="C51" s="2654"/>
      <c r="D51" s="2654"/>
      <c r="E51" s="2654"/>
      <c r="F51" s="2654"/>
      <c r="G51" s="2665"/>
      <c r="H51" s="2654"/>
      <c r="I51" s="2654"/>
      <c r="J51" s="2654"/>
      <c r="K51" s="2666"/>
      <c r="L51" s="2662"/>
      <c r="M51" s="2654"/>
      <c r="N51" s="2654"/>
      <c r="O51" s="2654"/>
      <c r="P51" s="2691"/>
      <c r="Q51" s="2654"/>
      <c r="R51" s="2654"/>
      <c r="S51" s="2654"/>
      <c r="T51" s="2654"/>
      <c r="U51" s="2654"/>
      <c r="V51" s="2654"/>
      <c r="W51" s="2654"/>
      <c r="X51" s="2654"/>
      <c r="Y51" s="2654"/>
      <c r="Z51" s="2654"/>
      <c r="AA51" s="2654"/>
      <c r="AB51" s="2654"/>
      <c r="AC51" s="2654"/>
    </row>
    <row r="52" spans="1:29">
      <c r="A52" s="2654"/>
      <c r="B52" s="2654"/>
      <c r="C52" s="2654"/>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75" thickBot="1">
      <c r="A58" s="667" t="s">
        <v>2253</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ht="15">
      <c r="A59" s="448" t="s">
        <v>2127</v>
      </c>
      <c r="B59" s="449"/>
      <c r="C59" s="1213" t="str">
        <f>YEAR(C7)&amp;"-"&amp;MONTH(C7)</f>
        <v>2022-12</v>
      </c>
      <c r="D59" s="1214">
        <f>EDATE(C59,-1)</f>
        <v>44866</v>
      </c>
      <c r="E59" s="1214">
        <f>EDATE(D59,-1)</f>
        <v>44835</v>
      </c>
      <c r="F59" s="1214">
        <f t="shared" ref="F59:O59" si="13">EDATE(E59,-1)</f>
        <v>44805</v>
      </c>
      <c r="G59" s="1214">
        <f t="shared" si="13"/>
        <v>44774</v>
      </c>
      <c r="H59" s="1214">
        <f t="shared" si="13"/>
        <v>44743</v>
      </c>
      <c r="I59" s="1214">
        <f t="shared" si="13"/>
        <v>44713</v>
      </c>
      <c r="J59" s="1214">
        <f t="shared" si="13"/>
        <v>44682</v>
      </c>
      <c r="K59" s="1214">
        <f t="shared" si="13"/>
        <v>44652</v>
      </c>
      <c r="L59" s="1214">
        <f t="shared" si="13"/>
        <v>44621</v>
      </c>
      <c r="M59" s="1214">
        <f t="shared" si="13"/>
        <v>44593</v>
      </c>
      <c r="N59" s="1214">
        <f t="shared" si="13"/>
        <v>44562</v>
      </c>
      <c r="O59" s="1214">
        <f t="shared" si="13"/>
        <v>44531</v>
      </c>
      <c r="P59" s="2694"/>
      <c r="Q59" s="2677"/>
      <c r="R59" s="2677"/>
      <c r="S59" s="2677"/>
      <c r="T59" s="2677"/>
      <c r="U59" s="2677"/>
      <c r="V59" s="2677"/>
      <c r="W59" s="2677"/>
      <c r="X59" s="2677"/>
      <c r="Y59" s="2677"/>
      <c r="Z59" s="2677"/>
      <c r="AA59" s="2677"/>
      <c r="AB59" s="2677"/>
      <c r="AC59" s="2677"/>
    </row>
    <row r="60" spans="1:29" s="107" customFormat="1" ht="15">
      <c r="A60" s="451"/>
      <c r="B60" s="452"/>
      <c r="C60" s="1212">
        <v>100</v>
      </c>
      <c r="D60" s="454"/>
      <c r="E60" s="454"/>
      <c r="F60" s="454"/>
      <c r="G60" s="454"/>
      <c r="H60" s="454"/>
      <c r="I60" s="454"/>
      <c r="J60" s="454"/>
      <c r="K60" s="454"/>
      <c r="L60" s="454"/>
      <c r="M60" s="455"/>
      <c r="N60" s="454"/>
      <c r="O60" s="455"/>
      <c r="P60" s="2695"/>
      <c r="Q60" s="2604"/>
      <c r="R60" s="2604"/>
      <c r="S60" s="2604"/>
      <c r="T60" s="2604"/>
      <c r="U60" s="2604"/>
      <c r="V60" s="2604"/>
      <c r="W60" s="2604"/>
      <c r="X60" s="2604"/>
      <c r="Y60" s="2604"/>
      <c r="Z60" s="2604"/>
      <c r="AA60" s="2604"/>
      <c r="AB60" s="2604"/>
      <c r="AC60" s="2604"/>
    </row>
    <row r="61" spans="1:29" s="107" customFormat="1" ht="15.75" thickBot="1">
      <c r="A61" s="457" t="s">
        <v>2164</v>
      </c>
      <c r="B61" s="458"/>
      <c r="C61" s="459"/>
      <c r="D61" s="460"/>
      <c r="E61" s="460"/>
      <c r="F61" s="460"/>
      <c r="G61" s="460"/>
      <c r="H61" s="460"/>
      <c r="I61" s="460"/>
      <c r="J61" s="460"/>
      <c r="K61" s="460"/>
      <c r="L61" s="460"/>
      <c r="M61" s="461"/>
      <c r="N61" s="460"/>
      <c r="O61" s="461"/>
      <c r="P61" s="2695"/>
      <c r="Q61" s="2675"/>
      <c r="R61" s="2604"/>
      <c r="S61" s="2604"/>
      <c r="T61" s="2604"/>
      <c r="U61" s="2604"/>
      <c r="V61" s="2604"/>
      <c r="W61" s="2604"/>
      <c r="X61" s="2604"/>
      <c r="Y61" s="2604"/>
      <c r="Z61" s="2604"/>
      <c r="AA61" s="2604"/>
      <c r="AB61" s="2604"/>
      <c r="AC61" s="2604"/>
    </row>
    <row r="62" spans="1:29" s="107" customFormat="1" ht="15">
      <c r="A62" s="463" t="s">
        <v>2129</v>
      </c>
      <c r="B62" s="452"/>
      <c r="C62" s="464" t="s">
        <v>2231</v>
      </c>
      <c r="D62" s="34"/>
      <c r="E62" s="34"/>
      <c r="F62" s="34"/>
      <c r="G62" s="34"/>
      <c r="H62" s="34"/>
      <c r="I62" s="34"/>
      <c r="J62" s="34"/>
      <c r="K62" s="34"/>
      <c r="L62" s="465"/>
      <c r="M62" s="466"/>
      <c r="N62" s="2687"/>
      <c r="O62" s="2687"/>
      <c r="P62" s="2696"/>
      <c r="Q62" s="2675"/>
      <c r="R62" s="2604"/>
      <c r="S62" s="2604"/>
      <c r="T62" s="2604"/>
      <c r="U62" s="2604"/>
      <c r="V62" s="2604"/>
      <c r="W62" s="2604"/>
      <c r="X62" s="2604"/>
      <c r="Y62" s="2604"/>
      <c r="Z62" s="2604"/>
      <c r="AA62" s="2604"/>
      <c r="AB62" s="2604"/>
      <c r="AC62" s="2604"/>
    </row>
    <row r="63" spans="1:29" s="107" customFormat="1" ht="15.75" thickBot="1">
      <c r="A63" s="463"/>
      <c r="B63" s="452"/>
      <c r="C63" s="453">
        <v>100</v>
      </c>
      <c r="D63" s="454"/>
      <c r="E63" s="454"/>
      <c r="F63" s="454"/>
      <c r="G63" s="454"/>
      <c r="H63" s="454"/>
      <c r="I63" s="454"/>
      <c r="J63" s="454"/>
      <c r="K63" s="454"/>
      <c r="L63" s="454"/>
      <c r="M63" s="456"/>
      <c r="N63" s="2687"/>
      <c r="O63" s="2687"/>
      <c r="P63" s="2695"/>
      <c r="Q63" s="2675"/>
      <c r="R63" s="2604"/>
      <c r="S63" s="2604"/>
      <c r="T63" s="2604"/>
      <c r="U63" s="2604"/>
      <c r="V63" s="2604"/>
      <c r="W63" s="2604"/>
      <c r="X63" s="2604"/>
      <c r="Y63" s="2604"/>
      <c r="Z63" s="2604"/>
      <c r="AA63" s="2604"/>
      <c r="AB63" s="2604"/>
      <c r="AC63" s="2604"/>
    </row>
    <row r="64" spans="1:29">
      <c r="A64" s="387" t="s">
        <v>2167</v>
      </c>
      <c r="B64" s="468" t="s">
        <v>2133</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5.7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7.75" thickTop="1">
      <c r="A66" s="375"/>
      <c r="B66" s="477" t="s">
        <v>2136</v>
      </c>
      <c r="C66" s="478" t="s">
        <v>2168</v>
      </c>
      <c r="D66" s="478" t="s">
        <v>2169</v>
      </c>
      <c r="E66" s="478" t="s">
        <v>2170</v>
      </c>
      <c r="F66" s="478" t="s">
        <v>2171</v>
      </c>
      <c r="G66" s="478" t="s">
        <v>2172</v>
      </c>
      <c r="H66" s="478" t="s">
        <v>2173</v>
      </c>
      <c r="I66" s="478" t="s">
        <v>2174</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5.75" thickTop="1">
      <c r="A68" s="375"/>
      <c r="B68" s="485" t="s">
        <v>2137</v>
      </c>
      <c r="C68" s="486" t="str">
        <f>C69&amp;"（含）"&amp;"-"&amp;D69</f>
        <v>（含）-</v>
      </c>
      <c r="D68" s="486" t="str">
        <f t="shared" ref="D68:L68" si="14">D69&amp;"（含）"&amp;"-"&amp;E69</f>
        <v>（含）-</v>
      </c>
      <c r="E68" s="486" t="str">
        <f t="shared" si="14"/>
        <v>（含）-</v>
      </c>
      <c r="F68" s="486" t="str">
        <f t="shared" si="14"/>
        <v>（含）-</v>
      </c>
      <c r="G68" s="486" t="str">
        <f t="shared" si="14"/>
        <v>（含）-</v>
      </c>
      <c r="H68" s="486" t="str">
        <f t="shared" si="14"/>
        <v>（含）-</v>
      </c>
      <c r="I68" s="486" t="str">
        <f t="shared" si="14"/>
        <v>（含）-</v>
      </c>
      <c r="J68" s="486" t="str">
        <f t="shared" si="14"/>
        <v>（含）-</v>
      </c>
      <c r="K68" s="486" t="str">
        <f t="shared" si="14"/>
        <v>（含）-</v>
      </c>
      <c r="L68" s="486" t="str">
        <f t="shared" si="14"/>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ht="15">
      <c r="A69" s="375"/>
      <c r="B69" s="487"/>
      <c r="C69" s="488"/>
      <c r="D69" s="488"/>
      <c r="E69" s="488"/>
      <c r="F69" s="488"/>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5.75" thickBot="1">
      <c r="A70" s="375"/>
      <c r="B70" s="474"/>
      <c r="C70" s="483">
        <v>100</v>
      </c>
      <c r="D70" s="483">
        <f t="shared" ref="D70:M70" si="15">C70-$K11</f>
        <v>100</v>
      </c>
      <c r="E70" s="483">
        <f t="shared" si="15"/>
        <v>100</v>
      </c>
      <c r="F70" s="483">
        <f t="shared" si="15"/>
        <v>100</v>
      </c>
      <c r="G70" s="483">
        <f t="shared" si="15"/>
        <v>100</v>
      </c>
      <c r="H70" s="483">
        <f t="shared" si="15"/>
        <v>100</v>
      </c>
      <c r="I70" s="483">
        <f t="shared" si="15"/>
        <v>100</v>
      </c>
      <c r="J70" s="483">
        <f t="shared" si="15"/>
        <v>100</v>
      </c>
      <c r="K70" s="483">
        <f t="shared" si="15"/>
        <v>100</v>
      </c>
      <c r="L70" s="483">
        <f t="shared" si="15"/>
        <v>100</v>
      </c>
      <c r="M70" s="484">
        <f t="shared" si="15"/>
        <v>100</v>
      </c>
      <c r="N70" s="2689"/>
      <c r="O70" s="2689"/>
      <c r="P70" s="2697"/>
      <c r="Q70" s="2675"/>
      <c r="R70" s="2654"/>
      <c r="S70" s="2654"/>
      <c r="T70" s="2654"/>
      <c r="U70" s="2654"/>
      <c r="V70" s="2654"/>
      <c r="W70" s="2654"/>
      <c r="X70" s="2654"/>
      <c r="Y70" s="2654"/>
      <c r="Z70" s="2654"/>
      <c r="AA70" s="2654"/>
      <c r="AB70" s="2654"/>
      <c r="AC70" s="2654"/>
    </row>
    <row r="71" spans="1:29" s="416" customFormat="1" ht="15.7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5.7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5.7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5.7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5.7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5.7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2138</v>
      </c>
      <c r="B77" s="468" t="s">
        <v>2276</v>
      </c>
      <c r="C77" s="512" t="s">
        <v>2176</v>
      </c>
      <c r="D77" s="512" t="s">
        <v>2177</v>
      </c>
      <c r="E77" s="512" t="s">
        <v>2178</v>
      </c>
      <c r="F77" s="512" t="s">
        <v>2179</v>
      </c>
      <c r="G77" s="512" t="s">
        <v>2180</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5.75" thickTop="1">
      <c r="A79" s="375"/>
      <c r="B79" s="477" t="s">
        <v>2181</v>
      </c>
      <c r="C79" s="517" t="s">
        <v>2176</v>
      </c>
      <c r="D79" s="517" t="s">
        <v>2177</v>
      </c>
      <c r="E79" s="517" t="s">
        <v>2178</v>
      </c>
      <c r="F79" s="517" t="s">
        <v>2179</v>
      </c>
      <c r="G79" s="517" t="s">
        <v>2180</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5.75" thickTop="1">
      <c r="A81" s="375"/>
      <c r="B81" s="477" t="s">
        <v>2182</v>
      </c>
      <c r="C81" s="517" t="s">
        <v>2176</v>
      </c>
      <c r="D81" s="517" t="s">
        <v>2177</v>
      </c>
      <c r="E81" s="517" t="s">
        <v>2178</v>
      </c>
      <c r="F81" s="517" t="s">
        <v>2179</v>
      </c>
      <c r="G81" s="517" t="s">
        <v>2180</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5.75" thickTop="1">
      <c r="A83" s="375"/>
      <c r="B83" s="485" t="s">
        <v>2268</v>
      </c>
      <c r="C83" s="589" t="s">
        <v>2254</v>
      </c>
      <c r="D83" s="589" t="s">
        <v>2255</v>
      </c>
      <c r="E83" s="589" t="s">
        <v>2256</v>
      </c>
      <c r="F83" s="589" t="s">
        <v>2257</v>
      </c>
      <c r="G83" s="589" t="s">
        <v>2258</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5.75" thickTop="1">
      <c r="A85" s="375"/>
      <c r="B85" s="477" t="s">
        <v>2277</v>
      </c>
      <c r="C85" s="517" t="s">
        <v>2176</v>
      </c>
      <c r="D85" s="517" t="s">
        <v>2177</v>
      </c>
      <c r="E85" s="517" t="s">
        <v>2178</v>
      </c>
      <c r="F85" s="517" t="s">
        <v>2179</v>
      </c>
      <c r="G85" s="517" t="s">
        <v>2180</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7.75" thickTop="1">
      <c r="A87" s="378"/>
      <c r="B87" s="477" t="s">
        <v>2278</v>
      </c>
      <c r="C87" s="493"/>
      <c r="D87" s="493"/>
      <c r="E87" s="493"/>
      <c r="F87" s="493"/>
      <c r="G87" s="493"/>
      <c r="H87" s="493"/>
      <c r="I87" s="493"/>
      <c r="J87" s="493"/>
      <c r="K87" s="493"/>
      <c r="L87" s="518"/>
      <c r="M87" s="519"/>
      <c r="N87" s="2687"/>
      <c r="O87" s="2687"/>
      <c r="P87" s="2697"/>
      <c r="Q87" s="2675"/>
      <c r="R87" s="2604"/>
      <c r="S87" s="2604"/>
      <c r="T87" s="2604"/>
      <c r="U87" s="2604"/>
      <c r="V87" s="2604"/>
      <c r="W87" s="2604"/>
      <c r="X87" s="2604"/>
      <c r="Y87" s="2604"/>
      <c r="Z87" s="2604"/>
      <c r="AA87" s="2604"/>
      <c r="AB87" s="2604"/>
      <c r="AC87" s="2604"/>
    </row>
    <row r="88" spans="1:29" s="107" customFormat="1" ht="15.75" thickBot="1">
      <c r="A88" s="378"/>
      <c r="B88" s="482"/>
      <c r="C88" s="520">
        <v>100</v>
      </c>
      <c r="D88" s="483">
        <f t="shared" ref="D88:M88" si="16">C88-$K25</f>
        <v>100</v>
      </c>
      <c r="E88" s="483">
        <f t="shared" si="16"/>
        <v>100</v>
      </c>
      <c r="F88" s="483">
        <f t="shared" si="16"/>
        <v>100</v>
      </c>
      <c r="G88" s="483">
        <f t="shared" si="16"/>
        <v>100</v>
      </c>
      <c r="H88" s="483">
        <f t="shared" si="16"/>
        <v>100</v>
      </c>
      <c r="I88" s="483">
        <f t="shared" si="16"/>
        <v>100</v>
      </c>
      <c r="J88" s="483">
        <f t="shared" si="16"/>
        <v>100</v>
      </c>
      <c r="K88" s="483">
        <f t="shared" si="16"/>
        <v>100</v>
      </c>
      <c r="L88" s="483">
        <f t="shared" si="16"/>
        <v>100</v>
      </c>
      <c r="M88" s="483">
        <f t="shared" si="16"/>
        <v>100</v>
      </c>
      <c r="N88" s="2689"/>
      <c r="O88" s="2689"/>
      <c r="P88" s="2697"/>
      <c r="Q88" s="2675"/>
      <c r="R88" s="2604"/>
      <c r="S88" s="2604"/>
      <c r="T88" s="2604"/>
      <c r="U88" s="2604"/>
      <c r="V88" s="2604"/>
      <c r="W88" s="2604"/>
      <c r="X88" s="2604"/>
      <c r="Y88" s="2604"/>
      <c r="Z88" s="2604"/>
      <c r="AA88" s="2604"/>
      <c r="AB88" s="2604"/>
      <c r="AC88" s="2604"/>
    </row>
    <row r="89" spans="1:29" s="107" customFormat="1" ht="15.75" thickTop="1">
      <c r="A89" s="378"/>
      <c r="B89" s="477" t="str">
        <f>B27</f>
        <v>楼层</v>
      </c>
      <c r="C89" s="493"/>
      <c r="D89" s="493"/>
      <c r="E89" s="493"/>
      <c r="F89" s="1910"/>
      <c r="G89" s="493"/>
      <c r="H89" s="493"/>
      <c r="I89" s="493"/>
      <c r="J89" s="493"/>
      <c r="K89" s="493"/>
      <c r="L89" s="493"/>
      <c r="M89" s="519"/>
      <c r="N89" s="2687"/>
      <c r="O89" s="2687"/>
      <c r="P89" s="2697"/>
      <c r="Q89" s="2675"/>
      <c r="R89" s="2604"/>
      <c r="S89" s="2604"/>
      <c r="T89" s="2604"/>
      <c r="U89" s="2604"/>
      <c r="V89" s="2604"/>
      <c r="W89" s="2604"/>
      <c r="X89" s="2604"/>
      <c r="Y89" s="2604"/>
      <c r="Z89" s="2604"/>
      <c r="AA89" s="2604"/>
      <c r="AB89" s="2604"/>
      <c r="AC89" s="2604"/>
    </row>
    <row r="90" spans="1:29" s="107" customFormat="1" ht="15.75" thickBot="1">
      <c r="A90" s="378"/>
      <c r="B90" s="482"/>
      <c r="C90" s="520">
        <v>100</v>
      </c>
      <c r="D90" s="483">
        <f>C90-$K27</f>
        <v>100</v>
      </c>
      <c r="E90" s="483">
        <f t="shared" ref="E90:M90" si="17">D90-$K27</f>
        <v>100</v>
      </c>
      <c r="F90" s="483">
        <f t="shared" si="17"/>
        <v>100</v>
      </c>
      <c r="G90" s="483">
        <f t="shared" si="17"/>
        <v>100</v>
      </c>
      <c r="H90" s="483">
        <f t="shared" si="17"/>
        <v>100</v>
      </c>
      <c r="I90" s="483">
        <f t="shared" si="17"/>
        <v>100</v>
      </c>
      <c r="J90" s="483">
        <f t="shared" si="17"/>
        <v>100</v>
      </c>
      <c r="K90" s="483">
        <f t="shared" si="17"/>
        <v>100</v>
      </c>
      <c r="L90" s="483">
        <f t="shared" si="17"/>
        <v>100</v>
      </c>
      <c r="M90" s="483">
        <f t="shared" si="17"/>
        <v>100</v>
      </c>
      <c r="N90" s="2689"/>
      <c r="O90" s="2689"/>
      <c r="P90" s="2697"/>
      <c r="Q90" s="2675"/>
      <c r="R90" s="2604"/>
      <c r="S90" s="2604"/>
      <c r="T90" s="2604"/>
      <c r="U90" s="2604"/>
      <c r="V90" s="2604"/>
      <c r="W90" s="2604"/>
      <c r="X90" s="2604"/>
      <c r="Y90" s="2604"/>
      <c r="Z90" s="2604"/>
      <c r="AA90" s="2604"/>
      <c r="AB90" s="2604"/>
      <c r="AC90" s="2604"/>
    </row>
    <row r="91" spans="1:29" s="416" customFormat="1" ht="15.7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520">
        <v>100</v>
      </c>
      <c r="D92" s="483">
        <f t="shared" ref="D92:M92" si="18">C92-$K28</f>
        <v>100</v>
      </c>
      <c r="E92" s="483">
        <f t="shared" si="18"/>
        <v>100</v>
      </c>
      <c r="F92" s="483">
        <f t="shared" si="18"/>
        <v>100</v>
      </c>
      <c r="G92" s="483">
        <f t="shared" si="18"/>
        <v>100</v>
      </c>
      <c r="H92" s="483">
        <f t="shared" si="18"/>
        <v>100</v>
      </c>
      <c r="I92" s="483">
        <f t="shared" si="18"/>
        <v>100</v>
      </c>
      <c r="J92" s="483">
        <f t="shared" si="18"/>
        <v>100</v>
      </c>
      <c r="K92" s="483">
        <f t="shared" si="18"/>
        <v>100</v>
      </c>
      <c r="L92" s="483">
        <f t="shared" si="18"/>
        <v>100</v>
      </c>
      <c r="M92" s="483">
        <f t="shared" si="18"/>
        <v>100</v>
      </c>
      <c r="N92" s="2690"/>
      <c r="O92" s="2690"/>
      <c r="P92" s="2698"/>
      <c r="Q92" s="2682"/>
      <c r="R92" s="2660"/>
      <c r="S92" s="2660"/>
      <c r="T92" s="2660"/>
      <c r="U92" s="2660"/>
      <c r="V92" s="2660"/>
      <c r="W92" s="2660"/>
      <c r="X92" s="2660"/>
      <c r="Y92" s="2660"/>
      <c r="Z92" s="2660"/>
      <c r="AA92" s="2660"/>
      <c r="AB92" s="2660"/>
      <c r="AC92" s="2660"/>
    </row>
    <row r="93" spans="1:29" ht="15.7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5.7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5.7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5.7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5.7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5.7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2142</v>
      </c>
      <c r="B101" s="468" t="s">
        <v>2191</v>
      </c>
      <c r="C101" s="470"/>
      <c r="D101" s="470"/>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83">
        <v>100</v>
      </c>
      <c r="D102" s="483">
        <f t="shared" ref="D102:M102" si="19">C102-$K33</f>
        <v>100</v>
      </c>
      <c r="E102" s="483">
        <f t="shared" si="19"/>
        <v>100</v>
      </c>
      <c r="F102" s="483">
        <f t="shared" si="19"/>
        <v>100</v>
      </c>
      <c r="G102" s="483">
        <f t="shared" si="19"/>
        <v>100</v>
      </c>
      <c r="H102" s="483">
        <f t="shared" si="19"/>
        <v>100</v>
      </c>
      <c r="I102" s="483">
        <f t="shared" si="19"/>
        <v>100</v>
      </c>
      <c r="J102" s="483">
        <f t="shared" si="19"/>
        <v>100</v>
      </c>
      <c r="K102" s="483">
        <f t="shared" si="19"/>
        <v>100</v>
      </c>
      <c r="L102" s="483">
        <f t="shared" si="19"/>
        <v>100</v>
      </c>
      <c r="M102" s="484">
        <f t="shared" si="19"/>
        <v>100</v>
      </c>
      <c r="N102" s="2689"/>
      <c r="O102" s="2689"/>
      <c r="P102" s="2697"/>
      <c r="Q102" s="2675"/>
      <c r="R102" s="2654"/>
      <c r="S102" s="2654"/>
      <c r="T102" s="2654"/>
      <c r="U102" s="2654"/>
      <c r="V102" s="2654"/>
      <c r="W102" s="2654"/>
      <c r="X102" s="2654"/>
      <c r="Y102" s="2654"/>
      <c r="Z102" s="2654"/>
      <c r="AA102" s="2654"/>
      <c r="AB102" s="2654"/>
      <c r="AC102" s="2654"/>
    </row>
    <row r="103" spans="1:29" ht="15.75" thickTop="1">
      <c r="A103" s="375"/>
      <c r="B103" s="477" t="s">
        <v>2192</v>
      </c>
      <c r="C103" s="517" t="str">
        <f>C104&amp;"(含)"&amp;"-"&amp;D104</f>
        <v>(含)-</v>
      </c>
      <c r="D103" s="517" t="str">
        <f t="shared" ref="D103:L103" si="20">D104&amp;"(含)"&amp;"-"&amp;E104</f>
        <v>(含)-</v>
      </c>
      <c r="E103" s="517" t="str">
        <f t="shared" si="20"/>
        <v>(含)-</v>
      </c>
      <c r="F103" s="517" t="str">
        <f t="shared" si="20"/>
        <v>(含)-</v>
      </c>
      <c r="G103" s="517" t="str">
        <f t="shared" si="20"/>
        <v>(含)-</v>
      </c>
      <c r="H103" s="517" t="str">
        <f t="shared" si="20"/>
        <v>(含)-</v>
      </c>
      <c r="I103" s="517" t="str">
        <f t="shared" si="20"/>
        <v>(含)-</v>
      </c>
      <c r="J103" s="517" t="str">
        <f t="shared" si="20"/>
        <v>(含)-</v>
      </c>
      <c r="K103" s="517" t="str">
        <f t="shared" si="20"/>
        <v>(含)-</v>
      </c>
      <c r="L103" s="517" t="str">
        <f t="shared" si="20"/>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c r="D104" s="9"/>
      <c r="E104" s="9"/>
      <c r="F104" s="9"/>
      <c r="G104" s="9"/>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5.75" thickBot="1">
      <c r="A105" s="492"/>
      <c r="B105" s="482"/>
      <c r="C105" s="499"/>
      <c r="D105" s="475"/>
      <c r="E105" s="475"/>
      <c r="F105" s="475"/>
      <c r="G105" s="475"/>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5" thickTop="1">
      <c r="A106" s="417"/>
      <c r="B106" s="477" t="s">
        <v>2193</v>
      </c>
      <c r="C106" s="493"/>
      <c r="D106" s="493"/>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5.75" thickBot="1">
      <c r="A107" s="375"/>
      <c r="B107" s="482"/>
      <c r="C107" s="483">
        <v>100</v>
      </c>
      <c r="D107" s="483">
        <f t="shared" ref="D107:M107" si="21">C107-$K35</f>
        <v>100</v>
      </c>
      <c r="E107" s="483">
        <f t="shared" si="21"/>
        <v>100</v>
      </c>
      <c r="F107" s="483">
        <f t="shared" si="21"/>
        <v>100</v>
      </c>
      <c r="G107" s="483">
        <f t="shared" si="21"/>
        <v>100</v>
      </c>
      <c r="H107" s="483">
        <f t="shared" si="21"/>
        <v>100</v>
      </c>
      <c r="I107" s="483">
        <f t="shared" si="21"/>
        <v>100</v>
      </c>
      <c r="J107" s="483">
        <f t="shared" si="21"/>
        <v>100</v>
      </c>
      <c r="K107" s="483">
        <f t="shared" si="21"/>
        <v>100</v>
      </c>
      <c r="L107" s="483">
        <f t="shared" si="21"/>
        <v>100</v>
      </c>
      <c r="M107" s="484">
        <f t="shared" si="21"/>
        <v>100</v>
      </c>
      <c r="N107" s="2689"/>
      <c r="O107" s="2689"/>
      <c r="P107" s="2697"/>
      <c r="Q107" s="2675"/>
      <c r="R107" s="2654"/>
      <c r="S107" s="2654"/>
      <c r="T107" s="2654"/>
      <c r="U107" s="2654"/>
      <c r="V107" s="2654"/>
      <c r="W107" s="2654"/>
      <c r="X107" s="2654"/>
      <c r="Y107" s="2654"/>
      <c r="Z107" s="2654"/>
      <c r="AA107" s="2654"/>
      <c r="AB107" s="2654"/>
      <c r="AC107" s="2654"/>
    </row>
    <row r="108" spans="1:29" ht="15" thickTop="1">
      <c r="A108" s="417"/>
      <c r="B108" s="477" t="s">
        <v>2195</v>
      </c>
      <c r="C108" s="493"/>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5.75" thickBot="1">
      <c r="A109" s="375"/>
      <c r="B109" s="482"/>
      <c r="C109" s="483">
        <v>100</v>
      </c>
      <c r="D109" s="483">
        <f t="shared" ref="D109:M109" si="22">C109-$K36</f>
        <v>100</v>
      </c>
      <c r="E109" s="483">
        <f t="shared" si="22"/>
        <v>100</v>
      </c>
      <c r="F109" s="483">
        <f t="shared" si="22"/>
        <v>100</v>
      </c>
      <c r="G109" s="483">
        <f t="shared" si="22"/>
        <v>100</v>
      </c>
      <c r="H109" s="483">
        <f t="shared" si="22"/>
        <v>100</v>
      </c>
      <c r="I109" s="483">
        <f t="shared" si="22"/>
        <v>100</v>
      </c>
      <c r="J109" s="483">
        <f t="shared" si="22"/>
        <v>100</v>
      </c>
      <c r="K109" s="483">
        <f t="shared" si="22"/>
        <v>100</v>
      </c>
      <c r="L109" s="483">
        <f t="shared" si="22"/>
        <v>100</v>
      </c>
      <c r="M109" s="484">
        <f t="shared" si="22"/>
        <v>100</v>
      </c>
      <c r="N109" s="2689"/>
      <c r="O109" s="2689"/>
      <c r="P109" s="2697"/>
      <c r="Q109" s="2675"/>
      <c r="R109" s="2654"/>
      <c r="S109" s="2654"/>
      <c r="T109" s="2654"/>
      <c r="U109" s="2654"/>
      <c r="V109" s="2654"/>
      <c r="W109" s="2654"/>
      <c r="X109" s="2654"/>
      <c r="Y109" s="2654"/>
      <c r="Z109" s="2654"/>
      <c r="AA109" s="2654"/>
      <c r="AB109" s="2654"/>
      <c r="AC109" s="2654"/>
    </row>
    <row r="110" spans="1:29" ht="15" thickTop="1">
      <c r="A110" s="417"/>
      <c r="B110" s="477" t="s">
        <v>1634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5.75" thickBot="1">
      <c r="A112" s="375"/>
      <c r="B112" s="482"/>
      <c r="C112" s="520">
        <v>100</v>
      </c>
      <c r="D112" s="483">
        <f>C112+$K37</f>
        <v>100</v>
      </c>
      <c r="E112" s="483">
        <f t="shared" ref="E112:M112" si="23">D112+$K37</f>
        <v>100</v>
      </c>
      <c r="F112" s="483">
        <f t="shared" si="23"/>
        <v>100</v>
      </c>
      <c r="G112" s="483">
        <f t="shared" si="23"/>
        <v>100</v>
      </c>
      <c r="H112" s="483">
        <f t="shared" si="23"/>
        <v>100</v>
      </c>
      <c r="I112" s="483">
        <f t="shared" si="23"/>
        <v>100</v>
      </c>
      <c r="J112" s="483">
        <f t="shared" si="23"/>
        <v>100</v>
      </c>
      <c r="K112" s="483">
        <f t="shared" si="23"/>
        <v>100</v>
      </c>
      <c r="L112" s="483">
        <f t="shared" si="23"/>
        <v>100</v>
      </c>
      <c r="M112" s="483">
        <f t="shared" si="23"/>
        <v>100</v>
      </c>
      <c r="N112" s="2689"/>
      <c r="O112" s="2689"/>
      <c r="P112" s="2697"/>
      <c r="Q112" s="2675"/>
      <c r="R112" s="2654"/>
      <c r="S112" s="2654"/>
      <c r="T112" s="2654"/>
      <c r="U112" s="2654"/>
      <c r="V112" s="2654"/>
      <c r="W112" s="2654"/>
      <c r="X112" s="2654"/>
      <c r="Y112" s="2654"/>
      <c r="Z112" s="2654"/>
      <c r="AA112" s="2654"/>
      <c r="AB112" s="2654"/>
      <c r="AC112" s="2654"/>
    </row>
    <row r="113" spans="1:29" s="416" customFormat="1" ht="15" thickTop="1">
      <c r="A113" s="414"/>
      <c r="B113" s="477" t="s">
        <v>2279</v>
      </c>
      <c r="C113" s="493"/>
      <c r="D113" s="493"/>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5.75" thickBot="1">
      <c r="A114" s="492"/>
      <c r="B114" s="482"/>
      <c r="C114" s="483">
        <v>100</v>
      </c>
      <c r="D114" s="483">
        <f>C114-$K38</f>
        <v>100</v>
      </c>
      <c r="E114" s="483">
        <f t="shared" ref="E114:M114" si="24">D114-$K38</f>
        <v>100</v>
      </c>
      <c r="F114" s="483">
        <f t="shared" si="24"/>
        <v>100</v>
      </c>
      <c r="G114" s="483">
        <f t="shared" si="24"/>
        <v>100</v>
      </c>
      <c r="H114" s="483">
        <f t="shared" si="24"/>
        <v>100</v>
      </c>
      <c r="I114" s="483">
        <f t="shared" si="24"/>
        <v>100</v>
      </c>
      <c r="J114" s="483">
        <f t="shared" si="24"/>
        <v>100</v>
      </c>
      <c r="K114" s="483">
        <f t="shared" si="24"/>
        <v>100</v>
      </c>
      <c r="L114" s="483">
        <f t="shared" si="24"/>
        <v>100</v>
      </c>
      <c r="M114" s="483">
        <f t="shared" si="24"/>
        <v>100</v>
      </c>
      <c r="N114" s="2690"/>
      <c r="O114" s="2690"/>
      <c r="P114" s="2698"/>
      <c r="Q114" s="2682"/>
      <c r="R114" s="2660"/>
      <c r="S114" s="2660"/>
      <c r="T114" s="2660"/>
      <c r="U114" s="2660"/>
      <c r="V114" s="2660"/>
      <c r="W114" s="2660"/>
      <c r="X114" s="2660"/>
      <c r="Y114" s="2660"/>
      <c r="Z114" s="2660"/>
      <c r="AA114" s="2660"/>
      <c r="AB114" s="2660"/>
      <c r="AC114" s="2660"/>
    </row>
    <row r="115" spans="1:29" ht="15" thickTop="1">
      <c r="A115" s="417"/>
      <c r="B115" s="477" t="s">
        <v>2196</v>
      </c>
      <c r="C115" s="493"/>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5.75" thickBot="1">
      <c r="A116" s="375"/>
      <c r="B116" s="482"/>
      <c r="C116" s="483">
        <v>100</v>
      </c>
      <c r="D116" s="483">
        <f t="shared" ref="D116:M116" si="25">C116-$K39</f>
        <v>100</v>
      </c>
      <c r="E116" s="483">
        <f t="shared" si="25"/>
        <v>100</v>
      </c>
      <c r="F116" s="483">
        <f t="shared" si="25"/>
        <v>100</v>
      </c>
      <c r="G116" s="483">
        <f t="shared" si="25"/>
        <v>100</v>
      </c>
      <c r="H116" s="483">
        <f t="shared" si="25"/>
        <v>100</v>
      </c>
      <c r="I116" s="483">
        <f t="shared" si="25"/>
        <v>100</v>
      </c>
      <c r="J116" s="483">
        <f t="shared" si="25"/>
        <v>100</v>
      </c>
      <c r="K116" s="483">
        <f t="shared" si="25"/>
        <v>100</v>
      </c>
      <c r="L116" s="483">
        <f t="shared" si="25"/>
        <v>100</v>
      </c>
      <c r="M116" s="484">
        <f t="shared" si="25"/>
        <v>100</v>
      </c>
      <c r="N116" s="2689"/>
      <c r="O116" s="2689"/>
      <c r="P116" s="2697"/>
      <c r="Q116" s="2675"/>
      <c r="R116" s="2654"/>
      <c r="S116" s="2654"/>
      <c r="T116" s="2654"/>
      <c r="U116" s="2654"/>
      <c r="V116" s="2654"/>
      <c r="W116" s="2654"/>
      <c r="X116" s="2654"/>
      <c r="Y116" s="2654"/>
      <c r="Z116" s="2654"/>
      <c r="AA116" s="2654"/>
      <c r="AB116" s="2654"/>
      <c r="AC116" s="2654"/>
    </row>
    <row r="117" spans="1:29" ht="15" thickTop="1">
      <c r="A117" s="417"/>
      <c r="B117" s="477" t="s">
        <v>2197</v>
      </c>
      <c r="C117" s="493"/>
      <c r="D117" s="493"/>
      <c r="E117" s="493"/>
      <c r="F117" s="493"/>
      <c r="G117" s="493"/>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5" thickTop="1">
      <c r="A119" s="417"/>
      <c r="B119" s="568" t="s">
        <v>2280</v>
      </c>
      <c r="C119" s="521"/>
      <c r="D119" s="521"/>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5.75" thickBot="1">
      <c r="A120" s="375"/>
      <c r="B120" s="482"/>
      <c r="C120" s="520">
        <v>100</v>
      </c>
      <c r="D120" s="483">
        <f>C120-$K41</f>
        <v>100</v>
      </c>
      <c r="E120" s="483">
        <f t="shared" ref="E120:M120" si="26">D120-$K41</f>
        <v>100</v>
      </c>
      <c r="F120" s="483">
        <f t="shared" si="26"/>
        <v>100</v>
      </c>
      <c r="G120" s="483">
        <f t="shared" si="26"/>
        <v>100</v>
      </c>
      <c r="H120" s="483">
        <f t="shared" si="26"/>
        <v>100</v>
      </c>
      <c r="I120" s="483">
        <f t="shared" si="26"/>
        <v>100</v>
      </c>
      <c r="J120" s="483">
        <f t="shared" si="26"/>
        <v>100</v>
      </c>
      <c r="K120" s="483">
        <f t="shared" si="26"/>
        <v>100</v>
      </c>
      <c r="L120" s="483">
        <f t="shared" si="26"/>
        <v>100</v>
      </c>
      <c r="M120" s="483">
        <f t="shared" si="26"/>
        <v>100</v>
      </c>
      <c r="N120" s="2689"/>
      <c r="O120" s="2689"/>
      <c r="P120" s="2697"/>
      <c r="Q120" s="2675"/>
      <c r="R120" s="2654"/>
      <c r="S120" s="2654"/>
      <c r="T120" s="2654"/>
      <c r="U120" s="2654"/>
      <c r="V120" s="2654"/>
      <c r="W120" s="2654"/>
      <c r="X120" s="2654"/>
      <c r="Y120" s="2654"/>
      <c r="Z120" s="2654"/>
      <c r="AA120" s="2654"/>
      <c r="AB120" s="2654"/>
      <c r="AC120" s="2654"/>
    </row>
    <row r="121" spans="1:29" s="416" customFormat="1" ht="15" thickTop="1">
      <c r="A121" s="414"/>
      <c r="B121" s="477" t="s">
        <v>2263</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5.7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15" thickTop="1">
      <c r="A123" s="417"/>
      <c r="B123" s="477" t="s">
        <v>2199</v>
      </c>
      <c r="C123" s="493"/>
      <c r="D123" s="493"/>
      <c r="E123" s="493"/>
      <c r="F123" s="521"/>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5.75" thickBot="1">
      <c r="A124" s="375"/>
      <c r="B124" s="482"/>
      <c r="C124" s="483">
        <v>100</v>
      </c>
      <c r="D124" s="483">
        <f t="shared" ref="D124:M124" si="27">C124-$K43</f>
        <v>100</v>
      </c>
      <c r="E124" s="483">
        <f t="shared" si="27"/>
        <v>100</v>
      </c>
      <c r="F124" s="483">
        <f t="shared" si="27"/>
        <v>100</v>
      </c>
      <c r="G124" s="483">
        <f t="shared" si="27"/>
        <v>100</v>
      </c>
      <c r="H124" s="483">
        <f t="shared" si="27"/>
        <v>100</v>
      </c>
      <c r="I124" s="483">
        <f t="shared" si="27"/>
        <v>100</v>
      </c>
      <c r="J124" s="483">
        <f t="shared" si="27"/>
        <v>100</v>
      </c>
      <c r="K124" s="483">
        <f t="shared" si="27"/>
        <v>100</v>
      </c>
      <c r="L124" s="483">
        <f t="shared" si="27"/>
        <v>100</v>
      </c>
      <c r="M124" s="484">
        <f t="shared" si="27"/>
        <v>100</v>
      </c>
      <c r="N124" s="2689"/>
      <c r="O124" s="2689"/>
      <c r="P124" s="2697"/>
      <c r="Q124" s="2675"/>
      <c r="R124" s="2654"/>
      <c r="S124" s="2654"/>
      <c r="T124" s="2654"/>
      <c r="U124" s="2654"/>
      <c r="V124" s="2654"/>
      <c r="W124" s="2654"/>
      <c r="X124" s="2654"/>
      <c r="Y124" s="2654"/>
      <c r="Z124" s="2654"/>
      <c r="AA124" s="2654"/>
      <c r="AB124" s="2654"/>
      <c r="AC124" s="2654"/>
    </row>
    <row r="125" spans="1:29" ht="15" thickTop="1">
      <c r="A125" s="417"/>
      <c r="B125" s="477" t="s">
        <v>2200</v>
      </c>
      <c r="C125" s="517" t="s">
        <v>2176</v>
      </c>
      <c r="D125" s="517" t="s">
        <v>2177</v>
      </c>
      <c r="E125" s="517" t="s">
        <v>2178</v>
      </c>
      <c r="F125" s="517" t="s">
        <v>2179</v>
      </c>
      <c r="G125" s="517" t="s">
        <v>2180</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5" thickTop="1">
      <c r="A127" s="414"/>
      <c r="B127" s="477">
        <f>B45</f>
        <v>111</v>
      </c>
      <c r="C127" s="493"/>
      <c r="D127" s="493"/>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5.75" thickBot="1">
      <c r="A128" s="492"/>
      <c r="B128" s="482"/>
      <c r="C128" s="499"/>
      <c r="D128" s="475"/>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5" thickTop="1">
      <c r="A129" s="417"/>
      <c r="B129" s="477">
        <f>B46</f>
        <v>111</v>
      </c>
      <c r="C129" s="493"/>
      <c r="D129" s="493"/>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5.75" thickBot="1">
      <c r="A130" s="375"/>
      <c r="B130" s="482"/>
      <c r="C130" s="499"/>
      <c r="D130" s="499"/>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5.7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9"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2281</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IF(C2="——",ROUND(C43*D3/10000,0),ROUND(C43*D3/10000,0)-D2)</f>
        <v>#DIV/0!</v>
      </c>
      <c r="C2" s="1867"/>
      <c r="D2" s="961" t="e">
        <f ca="1">SUMIF(INDIRECT("'"&amp;F2&amp;"'"&amp;"!A:A"),"承租人权益价值",INDIRECT("'"&amp;F2&amp;"'"&amp;"!c:c"))</f>
        <v>#REF!</v>
      </c>
      <c r="E2" s="1868" t="s">
        <v>1907</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1908</v>
      </c>
      <c r="B3" s="544" t="e">
        <f ca="1">IF(C2="——",C43,ROUND(B2*10000/D3,0))</f>
        <v>#DIV/0!</v>
      </c>
      <c r="C3" s="350" t="s">
        <v>2223</v>
      </c>
      <c r="D3" s="349">
        <f>IF(D1="",'数据-汇总表'!E3,SUMIF('数据-汇总表'!$C19:$C33,D1,'数据-汇总表'!$E19:$E33))</f>
        <v>1018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2224</v>
      </c>
      <c r="B4" s="352"/>
      <c r="C4" s="3226" t="s">
        <v>2225</v>
      </c>
      <c r="D4" s="3227"/>
      <c r="E4" s="3228" t="s">
        <v>2226</v>
      </c>
      <c r="F4" s="3229"/>
      <c r="G4" s="3226" t="s">
        <v>2227</v>
      </c>
      <c r="H4" s="3227"/>
      <c r="I4" s="3226" t="s">
        <v>2228</v>
      </c>
      <c r="J4" s="3227"/>
      <c r="K4" s="545" t="s">
        <v>2229</v>
      </c>
      <c r="L4" s="967"/>
      <c r="M4" s="968"/>
      <c r="N4" s="968"/>
      <c r="O4" s="968"/>
      <c r="P4" s="3230" t="s">
        <v>2230</v>
      </c>
      <c r="Q4" s="3231"/>
      <c r="R4" s="3236" t="s">
        <v>2226</v>
      </c>
      <c r="S4" s="3237"/>
      <c r="T4" s="3236" t="s">
        <v>2227</v>
      </c>
      <c r="U4" s="3237"/>
      <c r="V4" s="3252" t="s">
        <v>2228</v>
      </c>
      <c r="W4" s="3252"/>
      <c r="X4" s="1394"/>
      <c r="Y4" s="3236" t="s">
        <v>2230</v>
      </c>
      <c r="Z4" s="3237"/>
      <c r="AA4" s="3223" t="s">
        <v>2226</v>
      </c>
      <c r="AB4" s="3224" t="s">
        <v>2227</v>
      </c>
      <c r="AC4" s="3223" t="s">
        <v>2228</v>
      </c>
    </row>
    <row r="5" spans="1:29" ht="15">
      <c r="A5" s="354"/>
      <c r="B5" s="355"/>
      <c r="C5" s="3240" t="s">
        <v>2121</v>
      </c>
      <c r="D5" s="3241"/>
      <c r="E5" s="3301" t="s">
        <v>2122</v>
      </c>
      <c r="F5" s="3243"/>
      <c r="G5" s="3240" t="s">
        <v>2123</v>
      </c>
      <c r="H5" s="3241"/>
      <c r="I5" s="3240" t="s">
        <v>2124</v>
      </c>
      <c r="J5" s="3241"/>
      <c r="K5" s="545"/>
      <c r="L5" s="967"/>
      <c r="M5" s="968"/>
      <c r="N5" s="968"/>
      <c r="O5" s="968"/>
      <c r="P5" s="3232"/>
      <c r="Q5" s="3233"/>
      <c r="R5" s="3238"/>
      <c r="S5" s="3239"/>
      <c r="T5" s="3238"/>
      <c r="U5" s="3239"/>
      <c r="V5" s="3252"/>
      <c r="W5" s="3252"/>
      <c r="X5" s="1394"/>
      <c r="Y5" s="3238"/>
      <c r="Z5" s="3239"/>
      <c r="AA5" s="3224"/>
      <c r="AB5" s="3224"/>
      <c r="AC5" s="3224"/>
    </row>
    <row r="6" spans="1:29" ht="15.75" thickBot="1">
      <c r="A6" s="356"/>
      <c r="B6" s="357"/>
      <c r="C6" s="3245" t="s">
        <v>2125</v>
      </c>
      <c r="D6" s="3246"/>
      <c r="E6" s="3247" t="s">
        <v>2125</v>
      </c>
      <c r="F6" s="3248"/>
      <c r="G6" s="3245" t="s">
        <v>2125</v>
      </c>
      <c r="H6" s="3246"/>
      <c r="I6" s="3245" t="s">
        <v>2125</v>
      </c>
      <c r="J6" s="3246"/>
      <c r="K6" s="545" t="s">
        <v>2126</v>
      </c>
      <c r="L6" s="967"/>
      <c r="M6" s="968"/>
      <c r="N6" s="968"/>
      <c r="O6" s="968"/>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SUMIF(52:52,YEAR(E7)&amp;"-"&amp;MONTH(E7),53:53)</f>
        <v>0</v>
      </c>
      <c r="G7" s="362"/>
      <c r="H7" s="361">
        <f>SUMIF(52:52,YEAR(G7)&amp;"-"&amp;MONTH(G7),53:53)</f>
        <v>0</v>
      </c>
      <c r="I7" s="362"/>
      <c r="J7" s="361">
        <f>SUMIF(52:52,YEAR(I7)&amp;"-"&amp;MONTH(I7),53:53)</f>
        <v>0</v>
      </c>
      <c r="K7" s="41"/>
      <c r="L7" s="969"/>
      <c r="M7" s="970"/>
      <c r="N7" s="970"/>
      <c r="O7" s="970"/>
      <c r="P7" s="3253" t="s">
        <v>2128</v>
      </c>
      <c r="Q7" s="3254"/>
      <c r="R7" s="673" t="s">
        <v>17</v>
      </c>
      <c r="S7" s="674">
        <f t="shared" ref="S7:S15" si="0">F7</f>
        <v>0</v>
      </c>
      <c r="T7" s="673" t="s">
        <v>17</v>
      </c>
      <c r="U7" s="674">
        <f t="shared" ref="U7:U15" si="1">H7</f>
        <v>0</v>
      </c>
      <c r="V7" s="673" t="s">
        <v>17</v>
      </c>
      <c r="W7" s="674">
        <f t="shared" ref="W7:W15" si="2">J7</f>
        <v>0</v>
      </c>
      <c r="X7" s="675"/>
      <c r="Y7" s="3253" t="s">
        <v>2128</v>
      </c>
      <c r="Z7" s="3255"/>
      <c r="AA7" s="53" t="e">
        <f>D7/F7</f>
        <v>#DIV/0!</v>
      </c>
      <c r="AB7" s="53" t="e">
        <f>D7/H7</f>
        <v>#DIV/0!</v>
      </c>
      <c r="AC7" s="53" t="e">
        <f>D7/J7</f>
        <v>#DIV/0!</v>
      </c>
    </row>
    <row r="8" spans="1:29" s="107" customFormat="1" ht="15.75" thickBot="1">
      <c r="A8" s="358" t="s">
        <v>2129</v>
      </c>
      <c r="B8" s="359"/>
      <c r="C8" s="364" t="s">
        <v>2130</v>
      </c>
      <c r="D8" s="361">
        <v>100</v>
      </c>
      <c r="E8" s="364"/>
      <c r="F8" s="363">
        <f>SUMIF(55:55,E8,56:56)-SUMIF(55:55,C8,56:56)+100</f>
        <v>0</v>
      </c>
      <c r="G8" s="364"/>
      <c r="H8" s="361">
        <f>SUMIF(55:55,G8,56:56)-SUMIF(55:55,C8,56:56)+100</f>
        <v>0</v>
      </c>
      <c r="I8" s="364"/>
      <c r="J8" s="361">
        <f>SUMIF(55:55,I8,56:56)-SUMIF(55:55,C8,56:56)+100</f>
        <v>0</v>
      </c>
      <c r="K8" s="41"/>
      <c r="L8" s="969"/>
      <c r="M8" s="970"/>
      <c r="N8" s="970"/>
      <c r="O8" s="970"/>
      <c r="P8" s="3253" t="s">
        <v>2131</v>
      </c>
      <c r="Q8" s="3255"/>
      <c r="R8" s="673" t="s">
        <v>17</v>
      </c>
      <c r="S8" s="674">
        <f t="shared" si="0"/>
        <v>0</v>
      </c>
      <c r="T8" s="673" t="s">
        <v>17</v>
      </c>
      <c r="U8" s="674">
        <f t="shared" si="1"/>
        <v>0</v>
      </c>
      <c r="V8" s="673" t="s">
        <v>17</v>
      </c>
      <c r="W8" s="674">
        <f t="shared" si="2"/>
        <v>0</v>
      </c>
      <c r="X8" s="675"/>
      <c r="Y8" s="3253" t="s">
        <v>2131</v>
      </c>
      <c r="Z8" s="3255"/>
      <c r="AA8" s="53" t="e">
        <f t="shared" ref="AA8:AA40" si="3">D8/F8</f>
        <v>#DIV/0!</v>
      </c>
      <c r="AB8" s="53" t="e">
        <f t="shared" ref="AB8:AB40" si="4">D8/H8</f>
        <v>#DIV/0!</v>
      </c>
      <c r="AC8" s="53" t="e">
        <f t="shared" ref="AC8:AC40" si="5">D8/J8</f>
        <v>#DIV/0!</v>
      </c>
    </row>
    <row r="9" spans="1:29" s="107" customFormat="1">
      <c r="A9" s="365" t="s">
        <v>2132</v>
      </c>
      <c r="B9" s="64" t="s">
        <v>2133</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6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6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
      <c r="A11" s="375"/>
      <c r="B11" s="370" t="s">
        <v>2137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66"/>
      <c r="Q11" s="538" t="str">
        <f t="shared" si="6"/>
        <v>容积率</v>
      </c>
      <c r="R11" s="673" t="s">
        <v>17</v>
      </c>
      <c r="S11" s="674" t="e">
        <f t="shared" si="0"/>
        <v>#N/A</v>
      </c>
      <c r="T11" s="673" t="s">
        <v>17</v>
      </c>
      <c r="U11" s="674" t="e">
        <f t="shared" si="1"/>
        <v>#N/A</v>
      </c>
      <c r="V11" s="673" t="s">
        <v>17</v>
      </c>
      <c r="W11" s="674" t="e">
        <f t="shared" si="2"/>
        <v>#N/A</v>
      </c>
      <c r="X11" s="675"/>
      <c r="Y11" s="3191"/>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6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6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6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57">
      <c r="A15" s="387" t="s">
        <v>2138</v>
      </c>
      <c r="B15" s="62" t="s">
        <v>2282</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59" t="s">
        <v>2139</v>
      </c>
      <c r="Q15" s="1392" t="str">
        <f t="shared" si="6"/>
        <v>产业集聚程度</v>
      </c>
      <c r="R15" s="676" t="s">
        <v>17</v>
      </c>
      <c r="S15" s="677">
        <f t="shared" si="0"/>
        <v>100</v>
      </c>
      <c r="T15" s="676" t="s">
        <v>17</v>
      </c>
      <c r="U15" s="677">
        <f t="shared" si="1"/>
        <v>100</v>
      </c>
      <c r="V15" s="676" t="s">
        <v>17</v>
      </c>
      <c r="W15" s="677">
        <f t="shared" si="2"/>
        <v>100</v>
      </c>
      <c r="X15" s="1394"/>
      <c r="Y15" s="3259" t="s">
        <v>2139</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260"/>
      <c r="Q16" s="1392"/>
      <c r="R16" s="676"/>
      <c r="S16" s="677"/>
      <c r="T16" s="676"/>
      <c r="U16" s="677"/>
      <c r="V16" s="676"/>
      <c r="W16" s="677"/>
      <c r="X16" s="1394"/>
      <c r="Y16" s="3260"/>
      <c r="Z16" s="1393"/>
      <c r="AA16" s="1393">
        <v>1</v>
      </c>
      <c r="AB16" s="1393">
        <v>1</v>
      </c>
      <c r="AC16" s="1393">
        <v>1</v>
      </c>
    </row>
    <row r="17" spans="1:29" ht="85.5">
      <c r="A17" s="375"/>
      <c r="B17" s="398" t="s">
        <v>1703</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60"/>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260"/>
      <c r="Q18" s="1392"/>
      <c r="R18" s="676"/>
      <c r="S18" s="677"/>
      <c r="T18" s="676"/>
      <c r="U18" s="677"/>
      <c r="V18" s="676"/>
      <c r="W18" s="677"/>
      <c r="X18" s="1394"/>
      <c r="Y18" s="3260"/>
      <c r="Z18" s="1393"/>
      <c r="AA18" s="1393">
        <v>1</v>
      </c>
      <c r="AB18" s="1393">
        <v>1</v>
      </c>
      <c r="AC18" s="1393">
        <v>1</v>
      </c>
    </row>
    <row r="19" spans="1:29" ht="42.75">
      <c r="A19" s="375"/>
      <c r="B19" s="398" t="s">
        <v>2267</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60"/>
      <c r="Q19" s="1392" t="str">
        <f>B19</f>
        <v>公共配套设施</v>
      </c>
      <c r="R19" s="676" t="s">
        <v>17</v>
      </c>
      <c r="S19" s="677">
        <f>F19</f>
        <v>100</v>
      </c>
      <c r="T19" s="676" t="s">
        <v>17</v>
      </c>
      <c r="U19" s="677">
        <f>H19</f>
        <v>100</v>
      </c>
      <c r="V19" s="676" t="s">
        <v>17</v>
      </c>
      <c r="W19" s="677">
        <f>J19</f>
        <v>100</v>
      </c>
      <c r="X19" s="1394"/>
      <c r="Y19" s="3260"/>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260"/>
      <c r="Q20" s="1392"/>
      <c r="R20" s="676"/>
      <c r="S20" s="677"/>
      <c r="T20" s="676"/>
      <c r="U20" s="677"/>
      <c r="V20" s="676"/>
      <c r="W20" s="677"/>
      <c r="X20" s="1394"/>
      <c r="Y20" s="3260"/>
      <c r="Z20" s="1393"/>
      <c r="AA20" s="1393">
        <v>1</v>
      </c>
      <c r="AB20" s="1393">
        <v>1</v>
      </c>
      <c r="AC20" s="1393">
        <v>1</v>
      </c>
    </row>
    <row r="21" spans="1:29" ht="28.5">
      <c r="A21" s="375"/>
      <c r="B21" s="594" t="s">
        <v>2268</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60"/>
      <c r="Q21" s="1392" t="str">
        <f>B21</f>
        <v>基础设施水平</v>
      </c>
      <c r="R21" s="676" t="s">
        <v>17</v>
      </c>
      <c r="S21" s="677">
        <f>F21</f>
        <v>100</v>
      </c>
      <c r="T21" s="676" t="s">
        <v>17</v>
      </c>
      <c r="U21" s="677">
        <f>H21</f>
        <v>100</v>
      </c>
      <c r="V21" s="676" t="s">
        <v>17</v>
      </c>
      <c r="W21" s="677">
        <f>J21</f>
        <v>100</v>
      </c>
      <c r="X21" s="1394"/>
      <c r="Y21" s="3260"/>
      <c r="Z21" s="1393" t="str">
        <f>Q21</f>
        <v>基础设施水平</v>
      </c>
      <c r="AA21" s="1393">
        <f>D21/F21</f>
        <v>1</v>
      </c>
      <c r="AB21" s="1393">
        <f>D21/H21</f>
        <v>1</v>
      </c>
      <c r="AC21" s="1393">
        <f>D21/J21</f>
        <v>1</v>
      </c>
    </row>
    <row r="22" spans="1:29" ht="15">
      <c r="A22" s="375"/>
      <c r="B22" s="594"/>
      <c r="C22" s="1885"/>
      <c r="D22" s="395"/>
      <c r="E22" s="394"/>
      <c r="F22" s="396"/>
      <c r="G22" s="394"/>
      <c r="H22" s="395"/>
      <c r="I22" s="394"/>
      <c r="J22" s="395"/>
      <c r="K22" s="1174"/>
      <c r="L22" s="977"/>
      <c r="M22" s="968"/>
      <c r="N22" s="968"/>
      <c r="O22" s="976"/>
      <c r="P22" s="3260"/>
      <c r="Q22" s="1392"/>
      <c r="R22" s="676"/>
      <c r="S22" s="677"/>
      <c r="T22" s="676"/>
      <c r="U22" s="677"/>
      <c r="V22" s="676"/>
      <c r="W22" s="677"/>
      <c r="X22" s="1394"/>
      <c r="Y22" s="3260"/>
      <c r="Z22" s="1393"/>
      <c r="AA22" s="1393">
        <v>1</v>
      </c>
      <c r="AB22" s="1393">
        <v>1</v>
      </c>
      <c r="AC22" s="1393">
        <v>1</v>
      </c>
    </row>
    <row r="23" spans="1:29" ht="71.25">
      <c r="A23" s="375"/>
      <c r="B23" s="398" t="s">
        <v>2269</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60"/>
      <c r="Q23" s="1392" t="str">
        <f>B23</f>
        <v>环境质量</v>
      </c>
      <c r="R23" s="676" t="s">
        <v>17</v>
      </c>
      <c r="S23" s="677">
        <f>F23</f>
        <v>100</v>
      </c>
      <c r="T23" s="676" t="s">
        <v>17</v>
      </c>
      <c r="U23" s="677">
        <f>H23</f>
        <v>100</v>
      </c>
      <c r="V23" s="676" t="s">
        <v>17</v>
      </c>
      <c r="W23" s="677">
        <f>J23</f>
        <v>100</v>
      </c>
      <c r="X23" s="1394"/>
      <c r="Y23" s="3260"/>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260"/>
      <c r="Q24" s="1392"/>
      <c r="R24" s="676"/>
      <c r="S24" s="677"/>
      <c r="T24" s="676"/>
      <c r="U24" s="677"/>
      <c r="V24" s="676"/>
      <c r="W24" s="677"/>
      <c r="X24" s="1394"/>
      <c r="Y24" s="3260"/>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60"/>
      <c r="Q25" s="1392">
        <f>B25</f>
        <v>111</v>
      </c>
      <c r="R25" s="676" t="s">
        <v>17</v>
      </c>
      <c r="S25" s="677">
        <f>F25</f>
        <v>100</v>
      </c>
      <c r="T25" s="676" t="s">
        <v>17</v>
      </c>
      <c r="U25" s="677">
        <f>H25</f>
        <v>100</v>
      </c>
      <c r="V25" s="676" t="s">
        <v>17</v>
      </c>
      <c r="W25" s="677">
        <f>J25</f>
        <v>100</v>
      </c>
      <c r="X25" s="1394"/>
      <c r="Y25" s="3260"/>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60"/>
      <c r="Q26" s="1392">
        <f t="shared" ref="Q26:Q40" si="8">B26</f>
        <v>111</v>
      </c>
      <c r="R26" s="676" t="s">
        <v>17</v>
      </c>
      <c r="S26" s="677">
        <f>F26</f>
        <v>100</v>
      </c>
      <c r="T26" s="676" t="s">
        <v>17</v>
      </c>
      <c r="U26" s="677">
        <f>H26</f>
        <v>100</v>
      </c>
      <c r="V26" s="676" t="s">
        <v>17</v>
      </c>
      <c r="W26" s="677">
        <f>J26</f>
        <v>100</v>
      </c>
      <c r="X26" s="1394"/>
      <c r="Y26" s="3260"/>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60"/>
      <c r="Q27" s="538">
        <f t="shared" si="8"/>
        <v>111</v>
      </c>
      <c r="R27" s="673" t="s">
        <v>17</v>
      </c>
      <c r="S27" s="674">
        <f>F27</f>
        <v>100</v>
      </c>
      <c r="T27" s="673" t="s">
        <v>17</v>
      </c>
      <c r="U27" s="674">
        <f>H27</f>
        <v>100</v>
      </c>
      <c r="V27" s="673" t="s">
        <v>17</v>
      </c>
      <c r="W27" s="674">
        <f>J27</f>
        <v>100</v>
      </c>
      <c r="X27" s="675"/>
      <c r="Y27" s="3260"/>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60"/>
      <c r="Q28" s="1392">
        <f t="shared" si="8"/>
        <v>111</v>
      </c>
      <c r="R28" s="676" t="s">
        <v>17</v>
      </c>
      <c r="S28" s="677">
        <f t="shared" ref="S28:S40" si="9">F28</f>
        <v>100</v>
      </c>
      <c r="T28" s="676" t="s">
        <v>17</v>
      </c>
      <c r="U28" s="677">
        <f t="shared" ref="U28:U40" si="10">H28</f>
        <v>100</v>
      </c>
      <c r="V28" s="676" t="s">
        <v>17</v>
      </c>
      <c r="W28" s="677">
        <f t="shared" ref="W28:W40" si="11">J28</f>
        <v>100</v>
      </c>
      <c r="X28" s="1394"/>
      <c r="Y28" s="3260"/>
      <c r="Z28" s="1393">
        <f t="shared" ref="Z28:Z40" si="12">Q28</f>
        <v>111</v>
      </c>
      <c r="AA28" s="1393">
        <f t="shared" si="3"/>
        <v>1</v>
      </c>
      <c r="AB28" s="1393">
        <f t="shared" si="4"/>
        <v>1</v>
      </c>
      <c r="AC28" s="1393">
        <f t="shared" si="5"/>
        <v>1</v>
      </c>
    </row>
    <row r="29" spans="1:29" ht="29.25">
      <c r="A29" s="412" t="s">
        <v>2142</v>
      </c>
      <c r="B29" s="64" t="s">
        <v>2272</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317" t="s">
        <v>2144</v>
      </c>
      <c r="Q29" s="1392" t="str">
        <f t="shared" si="8"/>
        <v>建筑类型</v>
      </c>
      <c r="R29" s="676" t="s">
        <v>17</v>
      </c>
      <c r="S29" s="677">
        <f t="shared" si="9"/>
        <v>100</v>
      </c>
      <c r="T29" s="676" t="s">
        <v>17</v>
      </c>
      <c r="U29" s="677">
        <f t="shared" si="10"/>
        <v>100</v>
      </c>
      <c r="V29" s="676" t="s">
        <v>17</v>
      </c>
      <c r="W29" s="677">
        <f t="shared" si="11"/>
        <v>100</v>
      </c>
      <c r="X29" s="1394"/>
      <c r="Y29" s="3264" t="s">
        <v>2144</v>
      </c>
      <c r="Z29" s="1393" t="str">
        <f t="shared" si="12"/>
        <v>建筑类型</v>
      </c>
      <c r="AA29" s="1393">
        <f t="shared" si="3"/>
        <v>1</v>
      </c>
      <c r="AB29" s="1393">
        <f t="shared" si="4"/>
        <v>1</v>
      </c>
      <c r="AC29" s="1393">
        <f t="shared" si="5"/>
        <v>1</v>
      </c>
    </row>
    <row r="30" spans="1:29" s="416" customFormat="1" ht="15">
      <c r="A30" s="414"/>
      <c r="B30" s="370" t="s">
        <v>2145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64"/>
      <c r="Q30" s="539" t="str">
        <f t="shared" si="8"/>
        <v>项目建筑规模</v>
      </c>
      <c r="R30" s="678" t="s">
        <v>17</v>
      </c>
      <c r="S30" s="679" t="e">
        <f t="shared" si="9"/>
        <v>#N/A</v>
      </c>
      <c r="T30" s="678" t="s">
        <v>17</v>
      </c>
      <c r="U30" s="679" t="e">
        <f t="shared" si="10"/>
        <v>#N/A</v>
      </c>
      <c r="V30" s="678" t="s">
        <v>17</v>
      </c>
      <c r="W30" s="679" t="e">
        <f t="shared" si="11"/>
        <v>#N/A</v>
      </c>
      <c r="X30" s="680"/>
      <c r="Y30" s="3264"/>
      <c r="Z30" s="681" t="str">
        <f t="shared" si="12"/>
        <v>项目建筑规模</v>
      </c>
      <c r="AA30" s="1393" t="e">
        <f t="shared" si="3"/>
        <v>#N/A</v>
      </c>
      <c r="AB30" s="1393" t="e">
        <f t="shared" si="4"/>
        <v>#N/A</v>
      </c>
      <c r="AC30" s="1393" t="e">
        <f t="shared" si="5"/>
        <v>#N/A</v>
      </c>
    </row>
    <row r="31" spans="1:29" ht="15">
      <c r="A31" s="417"/>
      <c r="B31" s="370" t="s">
        <v>2146</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64"/>
      <c r="Q31" s="1392" t="str">
        <f t="shared" si="8"/>
        <v>建筑结构</v>
      </c>
      <c r="R31" s="676" t="s">
        <v>17</v>
      </c>
      <c r="S31" s="677">
        <f t="shared" si="9"/>
        <v>100</v>
      </c>
      <c r="T31" s="676" t="s">
        <v>17</v>
      </c>
      <c r="U31" s="677">
        <f t="shared" si="10"/>
        <v>100</v>
      </c>
      <c r="V31" s="676" t="s">
        <v>17</v>
      </c>
      <c r="W31" s="677">
        <f t="shared" si="11"/>
        <v>100</v>
      </c>
      <c r="X31" s="1394"/>
      <c r="Y31" s="3264"/>
      <c r="Z31" s="1393" t="str">
        <f t="shared" si="12"/>
        <v>建筑结构</v>
      </c>
      <c r="AA31" s="1393">
        <f t="shared" si="3"/>
        <v>1</v>
      </c>
      <c r="AB31" s="1393">
        <f t="shared" si="4"/>
        <v>1</v>
      </c>
      <c r="AC31" s="1393">
        <f t="shared" si="5"/>
        <v>1</v>
      </c>
    </row>
    <row r="32" spans="1:29" ht="15">
      <c r="A32" s="417"/>
      <c r="B32" s="370" t="s">
        <v>2240</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64"/>
      <c r="Q32" s="1392" t="str">
        <f t="shared" si="8"/>
        <v>公共部分装修</v>
      </c>
      <c r="R32" s="676" t="s">
        <v>17</v>
      </c>
      <c r="S32" s="677">
        <f t="shared" si="9"/>
        <v>100</v>
      </c>
      <c r="T32" s="676" t="s">
        <v>17</v>
      </c>
      <c r="U32" s="677">
        <f t="shared" si="10"/>
        <v>100</v>
      </c>
      <c r="V32" s="676" t="s">
        <v>17</v>
      </c>
      <c r="W32" s="677">
        <f t="shared" si="11"/>
        <v>100</v>
      </c>
      <c r="X32" s="1394"/>
      <c r="Y32" s="3264"/>
      <c r="Z32" s="1393" t="str">
        <f t="shared" si="12"/>
        <v>公共部分装修</v>
      </c>
      <c r="AA32" s="1393">
        <f t="shared" si="3"/>
        <v>1</v>
      </c>
      <c r="AB32" s="1393">
        <f t="shared" si="4"/>
        <v>1</v>
      </c>
      <c r="AC32" s="1393">
        <f t="shared" si="5"/>
        <v>1</v>
      </c>
    </row>
    <row r="33" spans="1:29" ht="15">
      <c r="A33" s="417"/>
      <c r="B33" s="370" t="s">
        <v>2241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64"/>
      <c r="Q33" s="1392" t="str">
        <f t="shared" si="8"/>
        <v>成新度</v>
      </c>
      <c r="R33" s="676" t="s">
        <v>17</v>
      </c>
      <c r="S33" s="677" t="e">
        <f t="shared" si="9"/>
        <v>#N/A</v>
      </c>
      <c r="T33" s="676" t="s">
        <v>17</v>
      </c>
      <c r="U33" s="677" t="e">
        <f t="shared" si="10"/>
        <v>#N/A</v>
      </c>
      <c r="V33" s="676" t="s">
        <v>17</v>
      </c>
      <c r="W33" s="677" t="e">
        <f t="shared" si="11"/>
        <v>#N/A</v>
      </c>
      <c r="X33" s="1394"/>
      <c r="Y33" s="3264"/>
      <c r="Z33" s="1393" t="str">
        <f t="shared" si="12"/>
        <v>成新度</v>
      </c>
      <c r="AA33" s="1393" t="e">
        <f t="shared" si="3"/>
        <v>#N/A</v>
      </c>
      <c r="AB33" s="1393" t="e">
        <f t="shared" si="4"/>
        <v>#N/A</v>
      </c>
      <c r="AC33" s="1393" t="e">
        <f t="shared" si="5"/>
        <v>#N/A</v>
      </c>
    </row>
    <row r="34" spans="1:29" s="107" customFormat="1" ht="15">
      <c r="A34" s="418"/>
      <c r="B34" s="370" t="s">
        <v>2274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64"/>
      <c r="Q34" s="538" t="str">
        <f t="shared" si="8"/>
        <v>物业管理</v>
      </c>
      <c r="R34" s="673" t="s">
        <v>17</v>
      </c>
      <c r="S34" s="674">
        <f t="shared" si="9"/>
        <v>100</v>
      </c>
      <c r="T34" s="673" t="s">
        <v>17</v>
      </c>
      <c r="U34" s="674">
        <f t="shared" si="10"/>
        <v>100</v>
      </c>
      <c r="V34" s="673" t="s">
        <v>17</v>
      </c>
      <c r="W34" s="674">
        <f t="shared" si="11"/>
        <v>100</v>
      </c>
      <c r="X34" s="675"/>
      <c r="Y34" s="3264"/>
      <c r="Z34" s="53" t="str">
        <f t="shared" si="12"/>
        <v>物业管理</v>
      </c>
      <c r="AA34" s="53">
        <f t="shared" si="3"/>
        <v>1</v>
      </c>
      <c r="AB34" s="53">
        <f t="shared" si="4"/>
        <v>1</v>
      </c>
      <c r="AC34" s="53">
        <f t="shared" si="5"/>
        <v>1</v>
      </c>
    </row>
    <row r="35" spans="1:29" ht="15">
      <c r="A35" s="417"/>
      <c r="B35" s="370" t="s">
        <v>2242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64" t="s">
        <v>2144</v>
      </c>
      <c r="Q35" s="1392" t="str">
        <f t="shared" si="8"/>
        <v>市政基础设施</v>
      </c>
      <c r="R35" s="676" t="s">
        <v>17</v>
      </c>
      <c r="S35" s="677">
        <f t="shared" si="9"/>
        <v>100</v>
      </c>
      <c r="T35" s="676" t="s">
        <v>17</v>
      </c>
      <c r="U35" s="677">
        <f t="shared" si="10"/>
        <v>100</v>
      </c>
      <c r="V35" s="676" t="s">
        <v>17</v>
      </c>
      <c r="W35" s="677">
        <f t="shared" si="11"/>
        <v>100</v>
      </c>
      <c r="X35" s="1394"/>
      <c r="Y35" s="3264" t="s">
        <v>2144</v>
      </c>
      <c r="Z35" s="1393" t="str">
        <f t="shared" si="12"/>
        <v>市政基础设施</v>
      </c>
      <c r="AA35" s="1393">
        <f t="shared" si="3"/>
        <v>1</v>
      </c>
      <c r="AB35" s="1393">
        <f t="shared" si="4"/>
        <v>1</v>
      </c>
      <c r="AC35" s="1393">
        <f t="shared" si="5"/>
        <v>1</v>
      </c>
    </row>
    <row r="36" spans="1:29" ht="15">
      <c r="A36" s="417"/>
      <c r="B36" s="370" t="s">
        <v>2247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64"/>
      <c r="Q36" s="1392" t="str">
        <f t="shared" si="8"/>
        <v>内部装修</v>
      </c>
      <c r="R36" s="676" t="s">
        <v>17</v>
      </c>
      <c r="S36" s="677">
        <f t="shared" si="9"/>
        <v>100</v>
      </c>
      <c r="T36" s="676" t="s">
        <v>17</v>
      </c>
      <c r="U36" s="677">
        <f t="shared" si="10"/>
        <v>100</v>
      </c>
      <c r="V36" s="676" t="s">
        <v>17</v>
      </c>
      <c r="W36" s="677">
        <f t="shared" si="11"/>
        <v>100</v>
      </c>
      <c r="X36" s="1394"/>
      <c r="Y36" s="3264"/>
      <c r="Z36" s="1393" t="str">
        <f t="shared" si="12"/>
        <v>内部装修</v>
      </c>
      <c r="AA36" s="1393">
        <f t="shared" si="3"/>
        <v>1</v>
      </c>
      <c r="AB36" s="1393">
        <f t="shared" si="4"/>
        <v>1</v>
      </c>
      <c r="AC36" s="1393">
        <f t="shared" si="5"/>
        <v>1</v>
      </c>
    </row>
    <row r="37" spans="1:29" ht="15">
      <c r="A37" s="417"/>
      <c r="B37" s="370" t="s">
        <v>2283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64"/>
      <c r="Q37" s="1392" t="str">
        <f t="shared" si="8"/>
        <v>内部装修状况</v>
      </c>
      <c r="R37" s="676" t="s">
        <v>17</v>
      </c>
      <c r="S37" s="677">
        <f t="shared" si="9"/>
        <v>100</v>
      </c>
      <c r="T37" s="676" t="s">
        <v>17</v>
      </c>
      <c r="U37" s="677">
        <f t="shared" si="10"/>
        <v>100</v>
      </c>
      <c r="V37" s="676" t="s">
        <v>17</v>
      </c>
      <c r="W37" s="677">
        <f t="shared" si="11"/>
        <v>100</v>
      </c>
      <c r="X37" s="1394"/>
      <c r="Y37" s="3264"/>
      <c r="Z37" s="1393" t="str">
        <f t="shared" si="12"/>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64"/>
      <c r="Q38" s="539">
        <f t="shared" si="8"/>
        <v>111</v>
      </c>
      <c r="R38" s="678" t="s">
        <v>17</v>
      </c>
      <c r="S38" s="679">
        <f t="shared" si="9"/>
        <v>100</v>
      </c>
      <c r="T38" s="678" t="s">
        <v>17</v>
      </c>
      <c r="U38" s="679">
        <f t="shared" si="10"/>
        <v>100</v>
      </c>
      <c r="V38" s="678" t="s">
        <v>17</v>
      </c>
      <c r="W38" s="679">
        <f t="shared" si="11"/>
        <v>100</v>
      </c>
      <c r="X38" s="680"/>
      <c r="Y38" s="3264"/>
      <c r="Z38" s="681">
        <f t="shared" si="12"/>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64"/>
      <c r="Q39" s="1392">
        <f t="shared" si="8"/>
        <v>111</v>
      </c>
      <c r="R39" s="676" t="s">
        <v>17</v>
      </c>
      <c r="S39" s="677">
        <f t="shared" si="9"/>
        <v>100</v>
      </c>
      <c r="T39" s="676" t="s">
        <v>17</v>
      </c>
      <c r="U39" s="677">
        <f t="shared" si="10"/>
        <v>100</v>
      </c>
      <c r="V39" s="676" t="s">
        <v>17</v>
      </c>
      <c r="W39" s="677">
        <f t="shared" si="11"/>
        <v>100</v>
      </c>
      <c r="X39" s="1394"/>
      <c r="Y39" s="3264"/>
      <c r="Z39" s="1393">
        <f t="shared" si="12"/>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65"/>
      <c r="Q40" s="1392">
        <f t="shared" si="8"/>
        <v>111</v>
      </c>
      <c r="R40" s="676" t="s">
        <v>17</v>
      </c>
      <c r="S40" s="677">
        <f t="shared" si="9"/>
        <v>100</v>
      </c>
      <c r="T40" s="676" t="s">
        <v>17</v>
      </c>
      <c r="U40" s="677">
        <f t="shared" si="10"/>
        <v>100</v>
      </c>
      <c r="V40" s="676" t="s">
        <v>17</v>
      </c>
      <c r="W40" s="677">
        <f t="shared" si="11"/>
        <v>100</v>
      </c>
      <c r="X40" s="1394"/>
      <c r="Y40" s="3265"/>
      <c r="Z40" s="1393">
        <f t="shared" si="12"/>
        <v>111</v>
      </c>
      <c r="AA40" s="1393">
        <f t="shared" si="3"/>
        <v>1</v>
      </c>
      <c r="AB40" s="1393">
        <f t="shared" si="4"/>
        <v>1</v>
      </c>
      <c r="AC40" s="1393">
        <f t="shared" si="5"/>
        <v>1</v>
      </c>
    </row>
    <row r="41" spans="1:29" ht="15">
      <c r="A41" s="424" t="s">
        <v>2156</v>
      </c>
      <c r="B41" s="425"/>
      <c r="C41" s="1191" t="s">
        <v>1</v>
      </c>
      <c r="D41" s="426"/>
      <c r="E41" s="427"/>
      <c r="F41" s="428"/>
      <c r="G41" s="429"/>
      <c r="H41" s="430"/>
      <c r="I41" s="427"/>
      <c r="J41" s="430"/>
      <c r="K41" s="683"/>
      <c r="L41" s="980"/>
      <c r="M41" s="968"/>
      <c r="N41" s="968"/>
      <c r="O41" s="968"/>
      <c r="P41" s="3266" t="str">
        <f>A41</f>
        <v>成交单价（元/平方米）</v>
      </c>
      <c r="Q41" s="3266"/>
      <c r="R41" s="3252">
        <f>E41</f>
        <v>0</v>
      </c>
      <c r="S41" s="3252"/>
      <c r="T41" s="3252">
        <f>G41</f>
        <v>0</v>
      </c>
      <c r="U41" s="3252"/>
      <c r="V41" s="3252">
        <f>I41</f>
        <v>0</v>
      </c>
      <c r="W41" s="3252"/>
      <c r="X41" s="393"/>
      <c r="Y41" s="682"/>
      <c r="Z41" s="393"/>
      <c r="AA41" s="393"/>
      <c r="AB41" s="393"/>
      <c r="AC41" s="393"/>
    </row>
    <row r="42" spans="1:29" ht="15.75" thickBot="1">
      <c r="A42" s="431" t="s">
        <v>2248</v>
      </c>
      <c r="B42" s="432"/>
      <c r="C42" s="1192" t="e">
        <f>R43</f>
        <v>#DIV/0!</v>
      </c>
      <c r="D42" s="2301" t="s">
        <v>2638</v>
      </c>
      <c r="E42" s="1193" t="e">
        <f>R42</f>
        <v>#DIV/0!</v>
      </c>
      <c r="F42" s="2302"/>
      <c r="G42" s="1192" t="e">
        <f>T42</f>
        <v>#DIV/0!</v>
      </c>
      <c r="H42" s="2302"/>
      <c r="I42" s="1193" t="e">
        <f>V42</f>
        <v>#DIV/0!</v>
      </c>
      <c r="J42" s="2302"/>
      <c r="K42" s="2304">
        <f>F42+H42+J42</f>
        <v>0</v>
      </c>
      <c r="L42" s="980"/>
      <c r="M42" s="968"/>
      <c r="N42" s="968"/>
      <c r="O42" s="968"/>
      <c r="P42" s="3266" t="str">
        <f>A42</f>
        <v>比较价值（元/平方米）</v>
      </c>
      <c r="Q42" s="3266"/>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393"/>
      <c r="Y42" s="393"/>
      <c r="Z42" s="393"/>
      <c r="AA42" s="393"/>
      <c r="AB42" s="393"/>
      <c r="AC42" s="393"/>
    </row>
    <row r="43" spans="1:29" ht="15.75" thickBot="1">
      <c r="A43" s="435" t="s">
        <v>2249</v>
      </c>
      <c r="B43" s="436"/>
      <c r="C43" s="357" t="e">
        <f>R43</f>
        <v>#DIV/0!</v>
      </c>
      <c r="D43" s="357"/>
      <c r="E43" s="357"/>
      <c r="F43" s="357"/>
      <c r="G43" s="357"/>
      <c r="H43" s="357"/>
      <c r="I43" s="357"/>
      <c r="J43" s="357"/>
      <c r="K43" s="684"/>
      <c r="L43" s="980"/>
      <c r="M43" s="968"/>
      <c r="N43" s="968"/>
      <c r="O43" s="968"/>
      <c r="P43" s="3267" t="str">
        <f>A43</f>
        <v>估价对象XX用房的比较价值（楼面单价，元/平方米）</v>
      </c>
      <c r="Q43" s="3268"/>
      <c r="R43" s="3269" t="e">
        <f>IF(F1="售价",ROUND(IF(D42="简单平均",AVERAGE(R42:V42),R42*F42+T42*H42+V42*J42),0),ROUND(IF(D42="简单平均",AVERAGE(R42:V42),R42*F42+T42*H42+V42*J42),1))</f>
        <v>#DIV/0!</v>
      </c>
      <c r="S43" s="3269"/>
      <c r="T43" s="3269"/>
      <c r="U43" s="3269"/>
      <c r="V43" s="3269"/>
      <c r="W43" s="3269"/>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75" thickBot="1">
      <c r="A51" s="667" t="s">
        <v>2253</v>
      </c>
      <c r="B51" s="393"/>
      <c r="C51" s="668"/>
      <c r="D51" s="668"/>
      <c r="E51" s="668"/>
      <c r="F51" s="669"/>
      <c r="G51" s="669"/>
      <c r="H51" s="668"/>
      <c r="I51" s="668"/>
      <c r="J51" s="668"/>
      <c r="K51" s="994"/>
      <c r="L51" s="995"/>
      <c r="M51" s="993"/>
      <c r="N51" s="993"/>
      <c r="O51" s="993"/>
      <c r="P51" s="446"/>
      <c r="Q51" s="447"/>
    </row>
    <row r="52" spans="1:17" s="450" customFormat="1" ht="15">
      <c r="A52" s="448" t="s">
        <v>2127</v>
      </c>
      <c r="B52" s="449"/>
      <c r="C52" s="1213" t="str">
        <f>YEAR(C7)&amp;"-"&amp;MONTH(C7)</f>
        <v>2022-12</v>
      </c>
      <c r="D52" s="1214">
        <f>EDATE(C52,-1)</f>
        <v>44866</v>
      </c>
      <c r="E52" s="1214">
        <f t="shared" ref="E52:O52" si="13">EDATE(D52,-1)</f>
        <v>44835</v>
      </c>
      <c r="F52" s="1214">
        <f t="shared" si="13"/>
        <v>44805</v>
      </c>
      <c r="G52" s="1214">
        <f t="shared" si="13"/>
        <v>44774</v>
      </c>
      <c r="H52" s="1214">
        <f t="shared" si="13"/>
        <v>44743</v>
      </c>
      <c r="I52" s="1214">
        <f t="shared" si="13"/>
        <v>44713</v>
      </c>
      <c r="J52" s="1214">
        <f t="shared" si="13"/>
        <v>44682</v>
      </c>
      <c r="K52" s="1214">
        <f t="shared" si="13"/>
        <v>44652</v>
      </c>
      <c r="L52" s="1214">
        <f t="shared" si="13"/>
        <v>44621</v>
      </c>
      <c r="M52" s="1214">
        <f t="shared" si="13"/>
        <v>44593</v>
      </c>
      <c r="N52" s="1214">
        <f t="shared" si="13"/>
        <v>44562</v>
      </c>
      <c r="O52" s="1214">
        <f t="shared" si="13"/>
        <v>44531</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2164</v>
      </c>
      <c r="B54" s="458"/>
      <c r="C54" s="459"/>
      <c r="D54" s="460"/>
      <c r="E54" s="460"/>
      <c r="F54" s="460"/>
      <c r="G54" s="460"/>
      <c r="H54" s="460"/>
      <c r="I54" s="460"/>
      <c r="J54" s="460"/>
      <c r="K54" s="460"/>
      <c r="L54" s="460"/>
      <c r="M54" s="461"/>
      <c r="N54" s="2705"/>
      <c r="O54" s="2706"/>
      <c r="P54" s="447"/>
      <c r="Q54" s="447"/>
    </row>
    <row r="55" spans="1:17" s="107" customFormat="1" ht="15">
      <c r="A55" s="463" t="s">
        <v>2129</v>
      </c>
      <c r="B55" s="452"/>
      <c r="C55" s="464" t="s">
        <v>2231</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2167</v>
      </c>
      <c r="B57" s="468" t="s">
        <v>2133</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2136</v>
      </c>
      <c r="C59" s="478" t="s">
        <v>2168</v>
      </c>
      <c r="D59" s="478" t="s">
        <v>2169</v>
      </c>
      <c r="E59" s="478" t="s">
        <v>2170</v>
      </c>
      <c r="F59" s="478" t="s">
        <v>2171</v>
      </c>
      <c r="G59" s="478" t="s">
        <v>2172</v>
      </c>
      <c r="H59" s="478" t="s">
        <v>2173</v>
      </c>
      <c r="I59" s="478" t="s">
        <v>2174</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2137</v>
      </c>
      <c r="C61" s="486" t="str">
        <f>C62&amp;"（含）"&amp;"-"&amp;D62</f>
        <v>（含）-</v>
      </c>
      <c r="D61" s="486" t="str">
        <f t="shared" ref="D61:L61" si="14">D62&amp;"（含）"&amp;"-"&amp;E62</f>
        <v>（含）-</v>
      </c>
      <c r="E61" s="486" t="str">
        <f t="shared" si="14"/>
        <v>（含）-</v>
      </c>
      <c r="F61" s="486" t="str">
        <f t="shared" si="14"/>
        <v>（含）-</v>
      </c>
      <c r="G61" s="486" t="str">
        <f t="shared" si="14"/>
        <v>（含）-</v>
      </c>
      <c r="H61" s="486" t="str">
        <f t="shared" si="14"/>
        <v>（含）-</v>
      </c>
      <c r="I61" s="486" t="str">
        <f t="shared" si="14"/>
        <v>（含）-</v>
      </c>
      <c r="J61" s="486" t="str">
        <f t="shared" si="14"/>
        <v>（含）-</v>
      </c>
      <c r="K61" s="486" t="str">
        <f t="shared" si="14"/>
        <v>（含）-</v>
      </c>
      <c r="L61" s="486" t="str">
        <f t="shared" si="14"/>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5">C63-$K11</f>
        <v>100</v>
      </c>
      <c r="E63" s="483">
        <f t="shared" si="15"/>
        <v>100</v>
      </c>
      <c r="F63" s="483">
        <f t="shared" si="15"/>
        <v>100</v>
      </c>
      <c r="G63" s="483">
        <f t="shared" si="15"/>
        <v>100</v>
      </c>
      <c r="H63" s="483">
        <f t="shared" si="15"/>
        <v>100</v>
      </c>
      <c r="I63" s="483">
        <f t="shared" si="15"/>
        <v>100</v>
      </c>
      <c r="J63" s="483">
        <f t="shared" si="15"/>
        <v>100</v>
      </c>
      <c r="K63" s="483">
        <f t="shared" si="15"/>
        <v>100</v>
      </c>
      <c r="L63" s="483">
        <f t="shared" si="15"/>
        <v>100</v>
      </c>
      <c r="M63" s="484">
        <f t="shared" si="15"/>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2138</v>
      </c>
      <c r="B70" s="468" t="s">
        <v>2284</v>
      </c>
      <c r="C70" s="512" t="s">
        <v>2176</v>
      </c>
      <c r="D70" s="512" t="s">
        <v>2177</v>
      </c>
      <c r="E70" s="512" t="s">
        <v>2178</v>
      </c>
      <c r="F70" s="512" t="s">
        <v>2179</v>
      </c>
      <c r="G70" s="512" t="s">
        <v>2180</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2181</v>
      </c>
      <c r="C72" s="517" t="s">
        <v>2176</v>
      </c>
      <c r="D72" s="517" t="s">
        <v>2177</v>
      </c>
      <c r="E72" s="517" t="s">
        <v>2178</v>
      </c>
      <c r="F72" s="517" t="s">
        <v>2179</v>
      </c>
      <c r="G72" s="517" t="s">
        <v>2180</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2182</v>
      </c>
      <c r="C74" s="517" t="s">
        <v>2176</v>
      </c>
      <c r="D74" s="517" t="s">
        <v>2177</v>
      </c>
      <c r="E74" s="517" t="s">
        <v>2178</v>
      </c>
      <c r="F74" s="517" t="s">
        <v>2179</v>
      </c>
      <c r="G74" s="517" t="s">
        <v>2180</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2268</v>
      </c>
      <c r="C76" s="589" t="s">
        <v>2254</v>
      </c>
      <c r="D76" s="589" t="s">
        <v>2255</v>
      </c>
      <c r="E76" s="589" t="s">
        <v>2256</v>
      </c>
      <c r="F76" s="589" t="s">
        <v>2257</v>
      </c>
      <c r="G76" s="589" t="s">
        <v>2258</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2277</v>
      </c>
      <c r="C78" s="517" t="s">
        <v>2176</v>
      </c>
      <c r="D78" s="517" t="s">
        <v>2177</v>
      </c>
      <c r="E78" s="517" t="s">
        <v>2178</v>
      </c>
      <c r="F78" s="517" t="s">
        <v>2179</v>
      </c>
      <c r="G78" s="517" t="s">
        <v>2180</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2142</v>
      </c>
      <c r="B88" s="468" t="s">
        <v>2191</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6">C89-$K29</f>
        <v>100</v>
      </c>
      <c r="E89" s="483">
        <f t="shared" si="16"/>
        <v>100</v>
      </c>
      <c r="F89" s="483">
        <f t="shared" si="16"/>
        <v>100</v>
      </c>
      <c r="G89" s="483">
        <f t="shared" si="16"/>
        <v>100</v>
      </c>
      <c r="H89" s="483">
        <f t="shared" si="16"/>
        <v>100</v>
      </c>
      <c r="I89" s="483">
        <f t="shared" si="16"/>
        <v>100</v>
      </c>
      <c r="J89" s="483">
        <f t="shared" si="16"/>
        <v>100</v>
      </c>
      <c r="K89" s="483">
        <f t="shared" si="16"/>
        <v>100</v>
      </c>
      <c r="L89" s="483">
        <f t="shared" si="16"/>
        <v>100</v>
      </c>
      <c r="M89" s="484">
        <f t="shared" si="16"/>
        <v>100</v>
      </c>
      <c r="N89" s="987"/>
      <c r="O89" s="987"/>
      <c r="P89" s="43"/>
      <c r="Q89" s="447"/>
    </row>
    <row r="90" spans="1:17" ht="15.75" thickTop="1">
      <c r="A90" s="375"/>
      <c r="B90" s="477" t="s">
        <v>2192</v>
      </c>
      <c r="C90" s="517" t="str">
        <f>C91&amp;"(含)"&amp;"-"&amp;D91</f>
        <v>(含)-</v>
      </c>
      <c r="D90" s="517" t="str">
        <f t="shared" ref="D90:L90" si="17">D91&amp;"(含)"&amp;"-"&amp;E91</f>
        <v>(含)-</v>
      </c>
      <c r="E90" s="517" t="str">
        <f t="shared" si="17"/>
        <v>(含)-</v>
      </c>
      <c r="F90" s="517" t="str">
        <f t="shared" si="17"/>
        <v>(含)-</v>
      </c>
      <c r="G90" s="517" t="str">
        <f t="shared" si="17"/>
        <v>(含)-</v>
      </c>
      <c r="H90" s="517" t="str">
        <f t="shared" si="17"/>
        <v>(含)-</v>
      </c>
      <c r="I90" s="517" t="str">
        <f t="shared" si="17"/>
        <v>(含)-</v>
      </c>
      <c r="J90" s="517" t="str">
        <f t="shared" si="17"/>
        <v>(含)-</v>
      </c>
      <c r="K90" s="517" t="str">
        <f t="shared" si="17"/>
        <v>(含)-</v>
      </c>
      <c r="L90" s="517" t="str">
        <f t="shared" si="17"/>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2193</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18">C94-$K31</f>
        <v>100</v>
      </c>
      <c r="E94" s="483">
        <f t="shared" si="18"/>
        <v>100</v>
      </c>
      <c r="F94" s="483">
        <f t="shared" si="18"/>
        <v>100</v>
      </c>
      <c r="G94" s="483">
        <f t="shared" si="18"/>
        <v>100</v>
      </c>
      <c r="H94" s="483">
        <f t="shared" si="18"/>
        <v>100</v>
      </c>
      <c r="I94" s="483">
        <f t="shared" si="18"/>
        <v>100</v>
      </c>
      <c r="J94" s="483">
        <f t="shared" si="18"/>
        <v>100</v>
      </c>
      <c r="K94" s="483">
        <f t="shared" si="18"/>
        <v>100</v>
      </c>
      <c r="L94" s="483">
        <f t="shared" si="18"/>
        <v>100</v>
      </c>
      <c r="M94" s="484">
        <f t="shared" si="18"/>
        <v>100</v>
      </c>
      <c r="N94" s="987"/>
      <c r="O94" s="987"/>
      <c r="P94" s="43"/>
      <c r="Q94" s="447"/>
    </row>
    <row r="95" spans="1:17" ht="15" thickTop="1">
      <c r="A95" s="417"/>
      <c r="B95" s="477" t="s">
        <v>2195</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19">C96-$K32</f>
        <v>100</v>
      </c>
      <c r="E96" s="483">
        <f t="shared" si="19"/>
        <v>100</v>
      </c>
      <c r="F96" s="483">
        <f t="shared" si="19"/>
        <v>100</v>
      </c>
      <c r="G96" s="483">
        <f t="shared" si="19"/>
        <v>100</v>
      </c>
      <c r="H96" s="483">
        <f t="shared" si="19"/>
        <v>100</v>
      </c>
      <c r="I96" s="483">
        <f t="shared" si="19"/>
        <v>100</v>
      </c>
      <c r="J96" s="483">
        <f t="shared" si="19"/>
        <v>100</v>
      </c>
      <c r="K96" s="483">
        <f t="shared" si="19"/>
        <v>100</v>
      </c>
      <c r="L96" s="483">
        <f t="shared" si="19"/>
        <v>100</v>
      </c>
      <c r="M96" s="484">
        <f t="shared" si="19"/>
        <v>100</v>
      </c>
      <c r="N96" s="987"/>
      <c r="O96" s="987"/>
      <c r="P96" s="43"/>
      <c r="Q96" s="447"/>
    </row>
    <row r="97" spans="1:17" ht="15" thickTop="1">
      <c r="A97" s="417"/>
      <c r="B97" s="477" t="s">
        <v>1634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0">D99+$K33</f>
        <v>100</v>
      </c>
      <c r="F99" s="483">
        <f t="shared" si="20"/>
        <v>100</v>
      </c>
      <c r="G99" s="483">
        <f t="shared" si="20"/>
        <v>100</v>
      </c>
      <c r="H99" s="483">
        <f t="shared" si="20"/>
        <v>100</v>
      </c>
      <c r="I99" s="483">
        <f t="shared" si="20"/>
        <v>100</v>
      </c>
      <c r="J99" s="483">
        <f t="shared" si="20"/>
        <v>100</v>
      </c>
      <c r="K99" s="483">
        <f t="shared" si="20"/>
        <v>100</v>
      </c>
      <c r="L99" s="483">
        <f t="shared" si="20"/>
        <v>100</v>
      </c>
      <c r="M99" s="483">
        <f t="shared" si="20"/>
        <v>100</v>
      </c>
      <c r="N99" s="987"/>
      <c r="O99" s="987"/>
      <c r="P99" s="43"/>
      <c r="Q99" s="447"/>
    </row>
    <row r="100" spans="1:17" s="416" customFormat="1" ht="15" thickTop="1">
      <c r="A100" s="414"/>
      <c r="B100" s="477" t="s">
        <v>2196</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1">D101-$K34</f>
        <v>100</v>
      </c>
      <c r="F101" s="483">
        <f t="shared" si="21"/>
        <v>100</v>
      </c>
      <c r="G101" s="483">
        <f t="shared" si="21"/>
        <v>100</v>
      </c>
      <c r="H101" s="483">
        <f t="shared" si="21"/>
        <v>100</v>
      </c>
      <c r="I101" s="483">
        <f t="shared" si="21"/>
        <v>100</v>
      </c>
      <c r="J101" s="483">
        <f t="shared" si="21"/>
        <v>100</v>
      </c>
      <c r="K101" s="483">
        <f t="shared" si="21"/>
        <v>100</v>
      </c>
      <c r="L101" s="483">
        <f t="shared" si="21"/>
        <v>100</v>
      </c>
      <c r="M101" s="483">
        <f t="shared" si="21"/>
        <v>100</v>
      </c>
      <c r="N101" s="988"/>
      <c r="O101" s="988"/>
      <c r="P101" s="497"/>
      <c r="Q101" s="498"/>
    </row>
    <row r="102" spans="1:17" ht="15" thickTop="1">
      <c r="A102" s="417"/>
      <c r="B102" s="477" t="s">
        <v>2197</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2">C103-$K35</f>
        <v>100</v>
      </c>
      <c r="E103" s="483">
        <f t="shared" si="22"/>
        <v>100</v>
      </c>
      <c r="F103" s="483">
        <f t="shared" si="22"/>
        <v>100</v>
      </c>
      <c r="G103" s="483">
        <f t="shared" si="22"/>
        <v>100</v>
      </c>
      <c r="H103" s="483">
        <f t="shared" si="22"/>
        <v>100</v>
      </c>
      <c r="I103" s="483">
        <f t="shared" si="22"/>
        <v>100</v>
      </c>
      <c r="J103" s="483">
        <f t="shared" si="22"/>
        <v>100</v>
      </c>
      <c r="K103" s="483">
        <f t="shared" si="22"/>
        <v>100</v>
      </c>
      <c r="L103" s="483">
        <f t="shared" si="22"/>
        <v>100</v>
      </c>
      <c r="M103" s="484">
        <f t="shared" si="22"/>
        <v>100</v>
      </c>
      <c r="N103" s="987"/>
      <c r="O103" s="987"/>
      <c r="P103" s="43"/>
      <c r="Q103" s="447"/>
    </row>
    <row r="104" spans="1:17" ht="15" thickTop="1">
      <c r="A104" s="417"/>
      <c r="B104" s="477" t="s">
        <v>2199</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2285</v>
      </c>
      <c r="C106" s="517" t="s">
        <v>2176</v>
      </c>
      <c r="D106" s="517" t="s">
        <v>2177</v>
      </c>
      <c r="E106" s="517" t="s">
        <v>2178</v>
      </c>
      <c r="F106" s="517" t="s">
        <v>2179</v>
      </c>
      <c r="G106" s="517" t="s">
        <v>2180</v>
      </c>
      <c r="H106" s="478"/>
      <c r="I106" s="478"/>
      <c r="J106" s="478"/>
      <c r="K106" s="479"/>
      <c r="L106" s="480"/>
      <c r="M106" s="481"/>
      <c r="N106" s="987"/>
      <c r="O106" s="987"/>
      <c r="P106" s="569"/>
      <c r="Q106" s="570"/>
    </row>
    <row r="107" spans="1:17" ht="15.75" thickBot="1">
      <c r="A107" s="375"/>
      <c r="B107" s="482"/>
      <c r="C107" s="520">
        <v>100</v>
      </c>
      <c r="D107" s="483">
        <f t="shared" ref="D107:M107" si="23">C107-$K37</f>
        <v>100</v>
      </c>
      <c r="E107" s="483">
        <f t="shared" si="23"/>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E20 I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58"/>
      <c r="F1" s="1865"/>
      <c r="G1" s="1259" t="s">
        <v>2222</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1906</v>
      </c>
      <c r="B2" s="1195" t="e">
        <f ca="1">IF(C2="——",IF(B37="元/平方米",ROUND(C39*D3/10000,0),ROUND(F3*C39/10000,0)),IF(B37="元/平方米",ROUND(C39*D3/10000,0),ROUND(F3*C39/10000,0))-D2)</f>
        <v>#DIV/0!</v>
      </c>
      <c r="C2" s="1867"/>
      <c r="D2" s="961" t="e">
        <f ca="1">SUMIF(INDIRECT("'"&amp;F2&amp;"'"&amp;"!A:A"),"承租人权益价值",INDIRECT("'"&amp;F2&amp;"'"&amp;"!c:c"))</f>
        <v>#REF!</v>
      </c>
      <c r="E2" s="1868" t="s">
        <v>1907</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1908</v>
      </c>
      <c r="B3" s="544" t="e">
        <f ca="1">IF(AND(C2="——",B37="元/平方米"),C39,ROUND(B2*10000/D3,0))</f>
        <v>#DIV/0!</v>
      </c>
      <c r="C3" s="350" t="s">
        <v>2223</v>
      </c>
      <c r="D3" s="349">
        <f>SUMIF('数据-汇总表'!$C19:$C33,D1,'数据-汇总表'!$E19:$E33)</f>
        <v>0</v>
      </c>
      <c r="E3" s="350" t="s">
        <v>2287</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230" t="s">
        <v>2230</v>
      </c>
      <c r="Q4" s="3231"/>
      <c r="R4" s="3236" t="s">
        <v>2226</v>
      </c>
      <c r="S4" s="3237"/>
      <c r="T4" s="3236" t="s">
        <v>2227</v>
      </c>
      <c r="U4" s="3237"/>
      <c r="V4" s="3252" t="s">
        <v>2228</v>
      </c>
      <c r="W4" s="3252"/>
      <c r="X4" s="1394"/>
      <c r="Y4" s="3236" t="s">
        <v>2230</v>
      </c>
      <c r="Z4" s="3237"/>
      <c r="AA4" s="3223" t="s">
        <v>2226</v>
      </c>
      <c r="AB4" s="3224" t="s">
        <v>2227</v>
      </c>
      <c r="AC4" s="3223" t="s">
        <v>2228</v>
      </c>
    </row>
    <row r="5" spans="1:29" ht="15">
      <c r="A5" s="354"/>
      <c r="B5" s="355"/>
      <c r="C5" s="3240" t="s">
        <v>2121</v>
      </c>
      <c r="D5" s="3241"/>
      <c r="E5" s="3301" t="s">
        <v>2122</v>
      </c>
      <c r="F5" s="3243"/>
      <c r="G5" s="3240" t="s">
        <v>2123</v>
      </c>
      <c r="H5" s="3241"/>
      <c r="I5" s="3240" t="s">
        <v>2124</v>
      </c>
      <c r="J5" s="3241"/>
      <c r="K5" s="545"/>
      <c r="L5" s="2653"/>
      <c r="M5" s="2654"/>
      <c r="N5" s="2654"/>
      <c r="O5" s="2654"/>
      <c r="P5" s="3232"/>
      <c r="Q5" s="3233"/>
      <c r="R5" s="3238"/>
      <c r="S5" s="3239"/>
      <c r="T5" s="3238"/>
      <c r="U5" s="3239"/>
      <c r="V5" s="3252"/>
      <c r="W5" s="3252"/>
      <c r="X5" s="1394"/>
      <c r="Y5" s="3238"/>
      <c r="Z5" s="3239"/>
      <c r="AA5" s="3224"/>
      <c r="AB5" s="3224"/>
      <c r="AC5" s="3224"/>
    </row>
    <row r="6" spans="1:29" ht="15.75" thickBot="1">
      <c r="A6" s="356"/>
      <c r="B6" s="357"/>
      <c r="C6" s="3245" t="s">
        <v>2125</v>
      </c>
      <c r="D6" s="3246"/>
      <c r="E6" s="3247" t="s">
        <v>2125</v>
      </c>
      <c r="F6" s="3248"/>
      <c r="G6" s="3245" t="s">
        <v>2125</v>
      </c>
      <c r="H6" s="3246"/>
      <c r="I6" s="3245" t="s">
        <v>2125</v>
      </c>
      <c r="J6" s="3246"/>
      <c r="K6" s="545" t="s">
        <v>2126</v>
      </c>
      <c r="L6" s="2653"/>
      <c r="M6" s="2654"/>
      <c r="N6" s="2654"/>
      <c r="O6" s="2654"/>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SUMIF(48:48,YEAR(E7)&amp;"-"&amp;MONTH(E7),49:49)</f>
        <v>0</v>
      </c>
      <c r="G7" s="362"/>
      <c r="H7" s="361">
        <f>SUMIF(48:48,YEAR(G7)&amp;"-"&amp;MONTH(G7),49:49)</f>
        <v>0</v>
      </c>
      <c r="I7" s="362"/>
      <c r="J7" s="361">
        <f>SUMIF(48:48,YEAR(I7)&amp;"-"&amp;MONTH(I7),49:49)</f>
        <v>0</v>
      </c>
      <c r="K7" s="41"/>
      <c r="L7" s="2655"/>
      <c r="M7" s="2604"/>
      <c r="N7" s="2604"/>
      <c r="O7" s="2604"/>
      <c r="P7" s="3253" t="s">
        <v>2128</v>
      </c>
      <c r="Q7" s="3254"/>
      <c r="R7" s="673" t="s">
        <v>17</v>
      </c>
      <c r="S7" s="674">
        <f t="shared" ref="S7:S14" si="0">F7</f>
        <v>0</v>
      </c>
      <c r="T7" s="673" t="s">
        <v>17</v>
      </c>
      <c r="U7" s="674">
        <f t="shared" ref="U7:U14" si="1">H7</f>
        <v>0</v>
      </c>
      <c r="V7" s="673" t="s">
        <v>17</v>
      </c>
      <c r="W7" s="674">
        <f t="shared" ref="W7:W14" si="2">J7</f>
        <v>0</v>
      </c>
      <c r="X7" s="675"/>
      <c r="Y7" s="3253" t="s">
        <v>2128</v>
      </c>
      <c r="Z7" s="3255"/>
      <c r="AA7" s="53" t="e">
        <f>D7/F7</f>
        <v>#DIV/0!</v>
      </c>
      <c r="AB7" s="53" t="e">
        <f>D7/H7</f>
        <v>#DIV/0!</v>
      </c>
      <c r="AC7" s="53" t="e">
        <f>D7/J7</f>
        <v>#DIV/0!</v>
      </c>
    </row>
    <row r="8" spans="1:29" s="107" customFormat="1" ht="15.75" thickBot="1">
      <c r="A8" s="358" t="s">
        <v>2129</v>
      </c>
      <c r="B8" s="359"/>
      <c r="C8" s="364" t="s">
        <v>2231</v>
      </c>
      <c r="D8" s="361">
        <v>100</v>
      </c>
      <c r="E8" s="364"/>
      <c r="F8" s="363">
        <f>SUMIF(51:51,E8,52:52)-SUMIF(51:51,C8,52:52)+100</f>
        <v>0</v>
      </c>
      <c r="G8" s="364"/>
      <c r="H8" s="361">
        <f>SUMIF(51:51,G8,52:52)-SUMIF(51:51,C8,52:52)+100</f>
        <v>0</v>
      </c>
      <c r="I8" s="364"/>
      <c r="J8" s="361">
        <f>SUMIF(51:51,I8,52:52)-SUMIF(51:51,C8,52:52)+100</f>
        <v>0</v>
      </c>
      <c r="K8" s="41"/>
      <c r="L8" s="2655"/>
      <c r="M8" s="2604"/>
      <c r="N8" s="2604"/>
      <c r="O8" s="2604"/>
      <c r="P8" s="3253" t="s">
        <v>2131</v>
      </c>
      <c r="Q8" s="3255"/>
      <c r="R8" s="673" t="s">
        <v>17</v>
      </c>
      <c r="S8" s="674">
        <f t="shared" si="0"/>
        <v>0</v>
      </c>
      <c r="T8" s="673" t="s">
        <v>17</v>
      </c>
      <c r="U8" s="674">
        <f t="shared" si="1"/>
        <v>0</v>
      </c>
      <c r="V8" s="673" t="s">
        <v>17</v>
      </c>
      <c r="W8" s="674">
        <f t="shared" si="2"/>
        <v>0</v>
      </c>
      <c r="X8" s="675"/>
      <c r="Y8" s="3253" t="s">
        <v>2131</v>
      </c>
      <c r="Z8" s="3255"/>
      <c r="AA8" s="53" t="e">
        <f t="shared" ref="AA8:AA36" si="3">D8/F8</f>
        <v>#DIV/0!</v>
      </c>
      <c r="AB8" s="53" t="e">
        <f t="shared" ref="AB8:AB36" si="4">D8/H8</f>
        <v>#DIV/0!</v>
      </c>
      <c r="AC8" s="53" t="e">
        <f t="shared" ref="AC8:AC36" si="5">D8/J8</f>
        <v>#DIV/0!</v>
      </c>
    </row>
    <row r="9" spans="1:29" s="107" customFormat="1">
      <c r="A9" s="61" t="s">
        <v>2132</v>
      </c>
      <c r="B9" s="572" t="s">
        <v>2133</v>
      </c>
      <c r="C9" s="366"/>
      <c r="D9" s="63">
        <v>100</v>
      </c>
      <c r="E9" s="368"/>
      <c r="F9" s="63">
        <f>SUMIF(53:53,E9,54:54)-SUMIF(53:53,C9,54:54)+100</f>
        <v>100</v>
      </c>
      <c r="G9" s="367"/>
      <c r="H9" s="63">
        <f>SUMIF(53:53,G9,54:54)-SUMIF(53:53,C9,54:54)+100</f>
        <v>100</v>
      </c>
      <c r="I9" s="367"/>
      <c r="J9" s="63">
        <f>SUMIF(53:53,I9,54:54)-SUMIF(53:53,C9,54:54)+100</f>
        <v>100</v>
      </c>
      <c r="K9" s="41"/>
      <c r="L9" s="2655"/>
      <c r="M9" s="2604"/>
      <c r="N9" s="2604"/>
      <c r="O9" s="2604"/>
      <c r="P9" s="3266" t="s">
        <v>2134</v>
      </c>
      <c r="Q9" s="538" t="str">
        <f t="shared" ref="Q9:Q14" si="6">B9</f>
        <v>用途</v>
      </c>
      <c r="R9" s="673" t="s">
        <v>17</v>
      </c>
      <c r="S9" s="674">
        <f t="shared" si="0"/>
        <v>100</v>
      </c>
      <c r="T9" s="673" t="s">
        <v>17</v>
      </c>
      <c r="U9" s="674">
        <f t="shared" si="1"/>
        <v>100</v>
      </c>
      <c r="V9" s="673" t="s">
        <v>17</v>
      </c>
      <c r="W9" s="674">
        <f t="shared" si="2"/>
        <v>100</v>
      </c>
      <c r="X9" s="675"/>
      <c r="Y9" s="3191" t="s">
        <v>2135</v>
      </c>
      <c r="Z9" s="53" t="str">
        <f t="shared" ref="Z9:Z14" si="7">Q9</f>
        <v>用途</v>
      </c>
      <c r="AA9" s="53">
        <f t="shared" si="3"/>
        <v>1</v>
      </c>
      <c r="AB9" s="53">
        <f t="shared" si="4"/>
        <v>1</v>
      </c>
      <c r="AC9" s="53">
        <f t="shared" si="5"/>
        <v>1</v>
      </c>
    </row>
    <row r="10" spans="1:29" s="374" customFormat="1" ht="27">
      <c r="A10" s="573"/>
      <c r="B10" s="574" t="s">
        <v>2136</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6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66"/>
      <c r="Q11" s="538">
        <f t="shared" si="6"/>
        <v>111</v>
      </c>
      <c r="R11" s="673" t="s">
        <v>17</v>
      </c>
      <c r="S11" s="674">
        <f t="shared" si="0"/>
        <v>100</v>
      </c>
      <c r="T11" s="673" t="s">
        <v>17</v>
      </c>
      <c r="U11" s="674">
        <f t="shared" si="1"/>
        <v>100</v>
      </c>
      <c r="V11" s="673" t="s">
        <v>17</v>
      </c>
      <c r="W11" s="674">
        <f t="shared" si="2"/>
        <v>100</v>
      </c>
      <c r="X11" s="675"/>
      <c r="Y11" s="3191"/>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4"/>
      <c r="N12" s="2604"/>
      <c r="O12" s="2604"/>
      <c r="P12" s="326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6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85.25">
      <c r="A14" s="351" t="s">
        <v>2138</v>
      </c>
      <c r="B14" s="5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59" t="s">
        <v>2139</v>
      </c>
      <c r="Q14" s="1392" t="str">
        <f t="shared" si="6"/>
        <v>交通便捷度</v>
      </c>
      <c r="R14" s="676" t="s">
        <v>17</v>
      </c>
      <c r="S14" s="677">
        <f t="shared" si="0"/>
        <v>100</v>
      </c>
      <c r="T14" s="676" t="s">
        <v>17</v>
      </c>
      <c r="U14" s="677">
        <f t="shared" si="1"/>
        <v>100</v>
      </c>
      <c r="V14" s="676" t="s">
        <v>17</v>
      </c>
      <c r="W14" s="677">
        <f t="shared" si="2"/>
        <v>100</v>
      </c>
      <c r="X14" s="1394"/>
      <c r="Y14" s="3259" t="s">
        <v>2139</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9"/>
      <c r="M15" s="2654"/>
      <c r="N15" s="2654"/>
      <c r="O15" s="2654"/>
      <c r="P15" s="3260"/>
      <c r="Q15" s="1392"/>
      <c r="R15" s="676"/>
      <c r="S15" s="677"/>
      <c r="T15" s="676"/>
      <c r="U15" s="677"/>
      <c r="V15" s="676"/>
      <c r="W15" s="677"/>
      <c r="X15" s="1394"/>
      <c r="Y15" s="3260"/>
      <c r="Z15" s="1393"/>
      <c r="AA15" s="1393">
        <v>1</v>
      </c>
      <c r="AB15" s="1393">
        <v>1</v>
      </c>
      <c r="AC15" s="1393">
        <v>1</v>
      </c>
    </row>
    <row r="16" spans="1:29" ht="42.75">
      <c r="A16" s="354"/>
      <c r="B16" s="564" t="s">
        <v>2267</v>
      </c>
      <c r="C16" s="1884" t="str">
        <f>IF(B1="工业",估价对象房地状况!G5,估价对象房地状况!C7)</f>
        <v>估价对象所在区域公共配套设施齐备</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60"/>
      <c r="Q16" s="1392" t="str">
        <f>B16</f>
        <v>公共配套设施</v>
      </c>
      <c r="R16" s="676" t="s">
        <v>17</v>
      </c>
      <c r="S16" s="677">
        <f>F16</f>
        <v>100</v>
      </c>
      <c r="T16" s="676" t="s">
        <v>17</v>
      </c>
      <c r="U16" s="677">
        <f>H16</f>
        <v>100</v>
      </c>
      <c r="V16" s="676" t="s">
        <v>17</v>
      </c>
      <c r="W16" s="677">
        <f>J16</f>
        <v>100</v>
      </c>
      <c r="X16" s="1394"/>
      <c r="Y16" s="3260"/>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9"/>
      <c r="M17" s="2654"/>
      <c r="N17" s="2654"/>
      <c r="O17" s="2654"/>
      <c r="P17" s="3260"/>
      <c r="Q17" s="1392"/>
      <c r="R17" s="676"/>
      <c r="S17" s="677"/>
      <c r="T17" s="676"/>
      <c r="U17" s="677"/>
      <c r="V17" s="676"/>
      <c r="W17" s="677"/>
      <c r="X17" s="1394"/>
      <c r="Y17" s="3260"/>
      <c r="Z17" s="1393"/>
      <c r="AA17" s="1393">
        <v>1</v>
      </c>
      <c r="AB17" s="1393">
        <v>1</v>
      </c>
      <c r="AC17" s="1393">
        <v>1</v>
      </c>
    </row>
    <row r="18" spans="1:29" ht="42.75">
      <c r="A18" s="354"/>
      <c r="B18" s="565" t="s">
        <v>2268</v>
      </c>
      <c r="C18" s="1884" t="str">
        <f>IF(B1="工业",估价对象房地状况!G6,估价对象房地状况!C8)</f>
        <v>估价对象所在区域基础设施水平达七通</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60"/>
      <c r="Q18" s="1392" t="str">
        <f>B18</f>
        <v>基础设施水平</v>
      </c>
      <c r="R18" s="676" t="s">
        <v>17</v>
      </c>
      <c r="S18" s="677">
        <f>F18</f>
        <v>100</v>
      </c>
      <c r="T18" s="676" t="s">
        <v>17</v>
      </c>
      <c r="U18" s="677">
        <f>H18</f>
        <v>100</v>
      </c>
      <c r="V18" s="676" t="s">
        <v>17</v>
      </c>
      <c r="W18" s="677">
        <f>J18</f>
        <v>100</v>
      </c>
      <c r="X18" s="1394"/>
      <c r="Y18" s="3260"/>
      <c r="Z18" s="1393" t="str">
        <f>Q18</f>
        <v>基础设施水平</v>
      </c>
      <c r="AA18" s="1393">
        <f>D18/F18</f>
        <v>1</v>
      </c>
      <c r="AB18" s="1393">
        <f>D18/H18</f>
        <v>1</v>
      </c>
      <c r="AC18" s="1393">
        <f>D18/J18</f>
        <v>1</v>
      </c>
    </row>
    <row r="19" spans="1:29" ht="15">
      <c r="A19" s="354"/>
      <c r="B19" s="565"/>
      <c r="C19" s="1885"/>
      <c r="D19" s="397"/>
      <c r="E19" s="1885"/>
      <c r="F19" s="400"/>
      <c r="G19" s="1885"/>
      <c r="H19" s="395"/>
      <c r="I19" s="394"/>
      <c r="J19" s="395"/>
      <c r="K19" s="1174"/>
      <c r="L19" s="2659"/>
      <c r="M19" s="2654"/>
      <c r="N19" s="2654"/>
      <c r="O19" s="2654"/>
      <c r="P19" s="3260"/>
      <c r="Q19" s="1392"/>
      <c r="R19" s="676"/>
      <c r="S19" s="677"/>
      <c r="T19" s="676"/>
      <c r="U19" s="677"/>
      <c r="V19" s="676"/>
      <c r="W19" s="677"/>
      <c r="X19" s="1394"/>
      <c r="Y19" s="3260"/>
      <c r="Z19" s="1393"/>
      <c r="AA19" s="1393">
        <v>1</v>
      </c>
      <c r="AB19" s="1393">
        <v>1</v>
      </c>
      <c r="AC19" s="1393">
        <v>1</v>
      </c>
    </row>
    <row r="20" spans="1:29" ht="128.25">
      <c r="A20" s="354"/>
      <c r="B20" s="564"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60"/>
      <c r="Q20" s="1392" t="str">
        <f>B20</f>
        <v>自然及人文环境</v>
      </c>
      <c r="R20" s="676" t="s">
        <v>17</v>
      </c>
      <c r="S20" s="677">
        <f>F20</f>
        <v>100</v>
      </c>
      <c r="T20" s="676" t="s">
        <v>17</v>
      </c>
      <c r="U20" s="677">
        <f>H20</f>
        <v>100</v>
      </c>
      <c r="V20" s="676" t="s">
        <v>17</v>
      </c>
      <c r="W20" s="677">
        <f>J20</f>
        <v>100</v>
      </c>
      <c r="X20" s="1394"/>
      <c r="Y20" s="3260"/>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9"/>
      <c r="M21" s="2654"/>
      <c r="N21" s="2654"/>
      <c r="O21" s="2654"/>
      <c r="P21" s="3260"/>
      <c r="Q21" s="1392"/>
      <c r="R21" s="676"/>
      <c r="S21" s="677"/>
      <c r="T21" s="676"/>
      <c r="U21" s="677"/>
      <c r="V21" s="676"/>
      <c r="W21" s="677"/>
      <c r="X21" s="1394"/>
      <c r="Y21" s="3260"/>
      <c r="Z21" s="1393"/>
      <c r="AA21" s="1393">
        <v>1</v>
      </c>
      <c r="AB21" s="1393">
        <v>1</v>
      </c>
      <c r="AC21" s="1393">
        <v>1</v>
      </c>
    </row>
    <row r="22" spans="1:29" ht="15">
      <c r="A22" s="354"/>
      <c r="B22" s="564" t="s">
        <v>2290</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60"/>
      <c r="Q22" s="1392" t="str">
        <f>B22</f>
        <v>楼层</v>
      </c>
      <c r="R22" s="676" t="s">
        <v>17</v>
      </c>
      <c r="S22" s="677">
        <f>F22</f>
        <v>100</v>
      </c>
      <c r="T22" s="676" t="s">
        <v>17</v>
      </c>
      <c r="U22" s="677">
        <f>H22</f>
        <v>100</v>
      </c>
      <c r="V22" s="676" t="s">
        <v>17</v>
      </c>
      <c r="W22" s="677">
        <f>J22</f>
        <v>100</v>
      </c>
      <c r="X22" s="1394"/>
      <c r="Y22" s="3260"/>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60"/>
      <c r="Q23" s="1392">
        <f>B23</f>
        <v>111</v>
      </c>
      <c r="R23" s="676" t="s">
        <v>17</v>
      </c>
      <c r="S23" s="677">
        <f>F23</f>
        <v>100</v>
      </c>
      <c r="T23" s="676" t="s">
        <v>17</v>
      </c>
      <c r="U23" s="677">
        <f>H23</f>
        <v>100</v>
      </c>
      <c r="V23" s="676" t="s">
        <v>17</v>
      </c>
      <c r="W23" s="677">
        <f>J23</f>
        <v>100</v>
      </c>
      <c r="X23" s="1394"/>
      <c r="Y23" s="3260"/>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60"/>
      <c r="Q24" s="1392">
        <f t="shared" ref="Q24:Q36" si="8">B24</f>
        <v>111</v>
      </c>
      <c r="R24" s="676" t="s">
        <v>17</v>
      </c>
      <c r="S24" s="677">
        <f>F24</f>
        <v>100</v>
      </c>
      <c r="T24" s="676" t="s">
        <v>17</v>
      </c>
      <c r="U24" s="677">
        <f>H24</f>
        <v>100</v>
      </c>
      <c r="V24" s="676" t="s">
        <v>17</v>
      </c>
      <c r="W24" s="677">
        <f>J24</f>
        <v>100</v>
      </c>
      <c r="X24" s="1394"/>
      <c r="Y24" s="3260"/>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4"/>
      <c r="N25" s="2604"/>
      <c r="O25" s="2604"/>
      <c r="P25" s="3260"/>
      <c r="Q25" s="538">
        <f t="shared" si="8"/>
        <v>111</v>
      </c>
      <c r="R25" s="673" t="s">
        <v>17</v>
      </c>
      <c r="S25" s="674">
        <f>F25</f>
        <v>100</v>
      </c>
      <c r="T25" s="673" t="s">
        <v>17</v>
      </c>
      <c r="U25" s="674">
        <f>H25</f>
        <v>100</v>
      </c>
      <c r="V25" s="673" t="s">
        <v>17</v>
      </c>
      <c r="W25" s="674">
        <f>J25</f>
        <v>100</v>
      </c>
      <c r="X25" s="675"/>
      <c r="Y25" s="3260"/>
      <c r="Z25" s="53">
        <f>Q25</f>
        <v>111</v>
      </c>
      <c r="AA25" s="1393">
        <f>D25/F25</f>
        <v>1</v>
      </c>
      <c r="AB25" s="1393">
        <f>D25/H25</f>
        <v>1</v>
      </c>
      <c r="AC25" s="1393">
        <f>D25/J25</f>
        <v>1</v>
      </c>
    </row>
    <row r="26" spans="1:29" ht="29.25">
      <c r="A26" s="582" t="s">
        <v>2142</v>
      </c>
      <c r="B26" s="63" t="s">
        <v>2291</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317" t="s">
        <v>2144</v>
      </c>
      <c r="Q26" s="1392" t="str">
        <f t="shared" si="8"/>
        <v>配套类型</v>
      </c>
      <c r="R26" s="676" t="s">
        <v>17</v>
      </c>
      <c r="S26" s="677">
        <f t="shared" ref="S26:S36" si="9">F26</f>
        <v>100</v>
      </c>
      <c r="T26" s="676" t="s">
        <v>17</v>
      </c>
      <c r="U26" s="677">
        <f t="shared" ref="U26:U36" si="10">H26</f>
        <v>100</v>
      </c>
      <c r="V26" s="676" t="s">
        <v>17</v>
      </c>
      <c r="W26" s="677">
        <f t="shared" ref="W26:W36" si="11">J26</f>
        <v>100</v>
      </c>
      <c r="X26" s="1394"/>
      <c r="Y26" s="3264" t="s">
        <v>2144</v>
      </c>
      <c r="Z26" s="1393" t="str">
        <f t="shared" ref="Z26:Z36" si="12">Q26</f>
        <v>配套类型</v>
      </c>
      <c r="AA26" s="1393">
        <f t="shared" si="3"/>
        <v>1</v>
      </c>
      <c r="AB26" s="1393">
        <f t="shared" si="4"/>
        <v>1</v>
      </c>
      <c r="AC26" s="1393">
        <f t="shared" si="5"/>
        <v>1</v>
      </c>
    </row>
    <row r="27" spans="1:29" s="416" customFormat="1" ht="15">
      <c r="A27" s="583"/>
      <c r="B27" s="124" t="s">
        <v>2292</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64"/>
      <c r="Q27" s="539" t="str">
        <f t="shared" si="8"/>
        <v>项目停车位配比</v>
      </c>
      <c r="R27" s="678" t="s">
        <v>17</v>
      </c>
      <c r="S27" s="679">
        <f t="shared" si="9"/>
        <v>100</v>
      </c>
      <c r="T27" s="678" t="s">
        <v>17</v>
      </c>
      <c r="U27" s="679">
        <f t="shared" si="10"/>
        <v>100</v>
      </c>
      <c r="V27" s="678" t="s">
        <v>17</v>
      </c>
      <c r="W27" s="679">
        <f t="shared" si="11"/>
        <v>100</v>
      </c>
      <c r="X27" s="680"/>
      <c r="Y27" s="3264"/>
      <c r="Z27" s="681" t="str">
        <f t="shared" si="12"/>
        <v>项目停车位配比</v>
      </c>
      <c r="AA27" s="1393">
        <f t="shared" si="3"/>
        <v>1</v>
      </c>
      <c r="AB27" s="1393">
        <f t="shared" si="4"/>
        <v>1</v>
      </c>
      <c r="AC27" s="1393">
        <f t="shared" si="5"/>
        <v>1</v>
      </c>
    </row>
    <row r="28" spans="1:29" ht="15">
      <c r="A28" s="585"/>
      <c r="B28" s="124" t="s">
        <v>2293</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64"/>
      <c r="Q28" s="1392" t="str">
        <f t="shared" si="8"/>
        <v>公共部分装修</v>
      </c>
      <c r="R28" s="676" t="s">
        <v>17</v>
      </c>
      <c r="S28" s="677">
        <f t="shared" si="9"/>
        <v>100</v>
      </c>
      <c r="T28" s="676" t="s">
        <v>17</v>
      </c>
      <c r="U28" s="677">
        <f t="shared" si="10"/>
        <v>100</v>
      </c>
      <c r="V28" s="676" t="s">
        <v>17</v>
      </c>
      <c r="W28" s="677">
        <f t="shared" si="11"/>
        <v>100</v>
      </c>
      <c r="X28" s="1394"/>
      <c r="Y28" s="3264"/>
      <c r="Z28" s="1393" t="str">
        <f t="shared" si="12"/>
        <v>公共部分装修</v>
      </c>
      <c r="AA28" s="1393">
        <f t="shared" si="3"/>
        <v>1</v>
      </c>
      <c r="AB28" s="1393">
        <f t="shared" si="4"/>
        <v>1</v>
      </c>
      <c r="AC28" s="1393">
        <f t="shared" si="5"/>
        <v>1</v>
      </c>
    </row>
    <row r="29" spans="1:29" ht="15">
      <c r="A29" s="585"/>
      <c r="B29" s="124" t="s">
        <v>2294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64"/>
      <c r="Q29" s="1392" t="str">
        <f t="shared" si="8"/>
        <v>成新率</v>
      </c>
      <c r="R29" s="676" t="s">
        <v>17</v>
      </c>
      <c r="S29" s="677" t="e">
        <f t="shared" si="9"/>
        <v>#N/A</v>
      </c>
      <c r="T29" s="676" t="s">
        <v>17</v>
      </c>
      <c r="U29" s="677" t="e">
        <f t="shared" si="10"/>
        <v>#N/A</v>
      </c>
      <c r="V29" s="676" t="s">
        <v>17</v>
      </c>
      <c r="W29" s="677" t="e">
        <f t="shared" si="11"/>
        <v>#N/A</v>
      </c>
      <c r="X29" s="1394"/>
      <c r="Y29" s="3264"/>
      <c r="Z29" s="1393" t="str">
        <f t="shared" si="12"/>
        <v>成新率</v>
      </c>
      <c r="AA29" s="1393" t="e">
        <f t="shared" si="3"/>
        <v>#N/A</v>
      </c>
      <c r="AB29" s="1393" t="e">
        <f t="shared" si="4"/>
        <v>#N/A</v>
      </c>
      <c r="AC29" s="1393" t="e">
        <f t="shared" si="5"/>
        <v>#N/A</v>
      </c>
    </row>
    <row r="30" spans="1:29" ht="15">
      <c r="A30" s="585"/>
      <c r="B30" s="124" t="s">
        <v>2295</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64"/>
      <c r="Q30" s="1392" t="str">
        <f t="shared" si="8"/>
        <v>物业等级</v>
      </c>
      <c r="R30" s="676" t="s">
        <v>17</v>
      </c>
      <c r="S30" s="677">
        <f t="shared" si="9"/>
        <v>100</v>
      </c>
      <c r="T30" s="676" t="s">
        <v>17</v>
      </c>
      <c r="U30" s="677">
        <f t="shared" si="10"/>
        <v>100</v>
      </c>
      <c r="V30" s="676" t="s">
        <v>17</v>
      </c>
      <c r="W30" s="677">
        <f t="shared" si="11"/>
        <v>100</v>
      </c>
      <c r="X30" s="1394"/>
      <c r="Y30" s="3264"/>
      <c r="Z30" s="1393" t="str">
        <f t="shared" si="12"/>
        <v>物业等级</v>
      </c>
      <c r="AA30" s="1393">
        <f t="shared" si="3"/>
        <v>1</v>
      </c>
      <c r="AB30" s="1393">
        <f t="shared" si="4"/>
        <v>1</v>
      </c>
      <c r="AC30" s="1393">
        <f t="shared" si="5"/>
        <v>1</v>
      </c>
    </row>
    <row r="31" spans="1:29" s="107" customFormat="1" ht="15">
      <c r="A31" s="587"/>
      <c r="B31" s="124" t="s">
        <v>2296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4"/>
      <c r="N31" s="2604"/>
      <c r="O31" s="2604"/>
      <c r="P31" s="3264"/>
      <c r="Q31" s="538" t="str">
        <f t="shared" si="8"/>
        <v>停车位面积</v>
      </c>
      <c r="R31" s="673" t="s">
        <v>17</v>
      </c>
      <c r="S31" s="674" t="e">
        <f t="shared" si="9"/>
        <v>#N/A</v>
      </c>
      <c r="T31" s="673" t="s">
        <v>17</v>
      </c>
      <c r="U31" s="674" t="e">
        <f t="shared" si="10"/>
        <v>#N/A</v>
      </c>
      <c r="V31" s="673" t="s">
        <v>17</v>
      </c>
      <c r="W31" s="674" t="e">
        <f t="shared" si="11"/>
        <v>#N/A</v>
      </c>
      <c r="X31" s="675"/>
      <c r="Y31" s="3264"/>
      <c r="Z31" s="53" t="str">
        <f t="shared" si="12"/>
        <v>停车位面积</v>
      </c>
      <c r="AA31" s="53" t="e">
        <f t="shared" si="3"/>
        <v>#N/A</v>
      </c>
      <c r="AB31" s="53" t="e">
        <f t="shared" si="4"/>
        <v>#N/A</v>
      </c>
      <c r="AC31" s="53" t="e">
        <f t="shared" si="5"/>
        <v>#N/A</v>
      </c>
    </row>
    <row r="32" spans="1:29" ht="15">
      <c r="A32" s="585"/>
      <c r="B32" s="124" t="s">
        <v>2297</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64" t="s">
        <v>2144</v>
      </c>
      <c r="Q32" s="1392" t="str">
        <f t="shared" si="8"/>
        <v>车位类型</v>
      </c>
      <c r="R32" s="676" t="s">
        <v>17</v>
      </c>
      <c r="S32" s="677">
        <f t="shared" si="9"/>
        <v>100</v>
      </c>
      <c r="T32" s="676" t="s">
        <v>17</v>
      </c>
      <c r="U32" s="677">
        <f t="shared" si="10"/>
        <v>100</v>
      </c>
      <c r="V32" s="676" t="s">
        <v>17</v>
      </c>
      <c r="W32" s="677">
        <f t="shared" si="11"/>
        <v>100</v>
      </c>
      <c r="X32" s="1394"/>
      <c r="Y32" s="3264" t="s">
        <v>2144</v>
      </c>
      <c r="Z32" s="1393" t="str">
        <f t="shared" si="12"/>
        <v>车位类型</v>
      </c>
      <c r="AA32" s="1393">
        <f t="shared" si="3"/>
        <v>1</v>
      </c>
      <c r="AB32" s="1393">
        <f t="shared" si="4"/>
        <v>1</v>
      </c>
      <c r="AC32" s="1393">
        <f t="shared" si="5"/>
        <v>1</v>
      </c>
    </row>
    <row r="33" spans="1:29" ht="15">
      <c r="A33" s="585"/>
      <c r="B33" s="124" t="s">
        <v>2298</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64"/>
      <c r="Q33" s="1392" t="str">
        <f t="shared" si="8"/>
        <v>是否直接入户</v>
      </c>
      <c r="R33" s="676" t="s">
        <v>17</v>
      </c>
      <c r="S33" s="677">
        <f t="shared" si="9"/>
        <v>100</v>
      </c>
      <c r="T33" s="676" t="s">
        <v>17</v>
      </c>
      <c r="U33" s="677">
        <f t="shared" si="10"/>
        <v>100</v>
      </c>
      <c r="V33" s="676" t="s">
        <v>17</v>
      </c>
      <c r="W33" s="677">
        <f t="shared" si="11"/>
        <v>100</v>
      </c>
      <c r="X33" s="1394"/>
      <c r="Y33" s="3264"/>
      <c r="Z33" s="1393" t="str">
        <f t="shared" si="12"/>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64"/>
      <c r="Q34" s="1392">
        <f t="shared" si="8"/>
        <v>111</v>
      </c>
      <c r="R34" s="676" t="s">
        <v>17</v>
      </c>
      <c r="S34" s="677">
        <f t="shared" si="9"/>
        <v>100</v>
      </c>
      <c r="T34" s="676" t="s">
        <v>17</v>
      </c>
      <c r="U34" s="677">
        <f t="shared" si="10"/>
        <v>100</v>
      </c>
      <c r="V34" s="676" t="s">
        <v>17</v>
      </c>
      <c r="W34" s="677">
        <f t="shared" si="11"/>
        <v>100</v>
      </c>
      <c r="X34" s="1394"/>
      <c r="Y34" s="3264"/>
      <c r="Z34" s="1393">
        <f t="shared" si="12"/>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64"/>
      <c r="Q35" s="539">
        <f t="shared" si="8"/>
        <v>111</v>
      </c>
      <c r="R35" s="678" t="s">
        <v>17</v>
      </c>
      <c r="S35" s="679">
        <f t="shared" si="9"/>
        <v>100</v>
      </c>
      <c r="T35" s="678" t="s">
        <v>17</v>
      </c>
      <c r="U35" s="679">
        <f t="shared" si="10"/>
        <v>100</v>
      </c>
      <c r="V35" s="678" t="s">
        <v>17</v>
      </c>
      <c r="W35" s="679">
        <f t="shared" si="11"/>
        <v>100</v>
      </c>
      <c r="X35" s="680"/>
      <c r="Y35" s="3264"/>
      <c r="Z35" s="681">
        <f t="shared" si="12"/>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64"/>
      <c r="Q36" s="1392">
        <f t="shared" si="8"/>
        <v>111</v>
      </c>
      <c r="R36" s="676" t="s">
        <v>17</v>
      </c>
      <c r="S36" s="677">
        <f t="shared" si="9"/>
        <v>100</v>
      </c>
      <c r="T36" s="676" t="s">
        <v>17</v>
      </c>
      <c r="U36" s="677">
        <f t="shared" si="10"/>
        <v>100</v>
      </c>
      <c r="V36" s="676" t="s">
        <v>17</v>
      </c>
      <c r="W36" s="677">
        <f t="shared" si="11"/>
        <v>100</v>
      </c>
      <c r="X36" s="1394"/>
      <c r="Y36" s="3264"/>
      <c r="Z36" s="1393">
        <f t="shared" si="12"/>
        <v>111</v>
      </c>
      <c r="AA36" s="1393">
        <f t="shared" si="3"/>
        <v>1</v>
      </c>
      <c r="AB36" s="1393">
        <f t="shared" si="4"/>
        <v>1</v>
      </c>
      <c r="AC36" s="1393">
        <f t="shared" si="5"/>
        <v>1</v>
      </c>
    </row>
    <row r="37" spans="1:29" ht="15">
      <c r="A37" s="424" t="s">
        <v>2299</v>
      </c>
      <c r="B37" s="1951" t="s">
        <v>2300</v>
      </c>
      <c r="C37" s="1191" t="s">
        <v>1</v>
      </c>
      <c r="D37" s="426"/>
      <c r="E37" s="427"/>
      <c r="F37" s="428"/>
      <c r="G37" s="429"/>
      <c r="H37" s="430"/>
      <c r="I37" s="427"/>
      <c r="J37" s="430"/>
      <c r="K37" s="553"/>
      <c r="L37" s="2661"/>
      <c r="M37" s="2654"/>
      <c r="N37" s="2654"/>
      <c r="O37" s="2654"/>
      <c r="P37" s="3266" t="str">
        <f>A37</f>
        <v>成交单价</v>
      </c>
      <c r="Q37" s="3266"/>
      <c r="R37" s="3252">
        <f>E37</f>
        <v>0</v>
      </c>
      <c r="S37" s="3252"/>
      <c r="T37" s="3252">
        <f>G37</f>
        <v>0</v>
      </c>
      <c r="U37" s="3252"/>
      <c r="V37" s="3252">
        <f>I37</f>
        <v>0</v>
      </c>
      <c r="W37" s="3252"/>
      <c r="X37" s="393"/>
      <c r="Y37" s="682"/>
      <c r="Z37" s="393"/>
      <c r="AA37" s="393"/>
      <c r="AB37" s="393"/>
      <c r="AC37" s="393"/>
    </row>
    <row r="38" spans="1:29" ht="15.75" thickBot="1">
      <c r="A38" s="431" t="s">
        <v>2301</v>
      </c>
      <c r="B38" s="432" t="str">
        <f>B37</f>
        <v>元/车位</v>
      </c>
      <c r="C38" s="1192" t="e">
        <f>R39</f>
        <v>#DIV/0!</v>
      </c>
      <c r="D38" s="2301" t="s">
        <v>2638</v>
      </c>
      <c r="E38" s="1193" t="e">
        <f>R38</f>
        <v>#DIV/0!</v>
      </c>
      <c r="F38" s="2302"/>
      <c r="G38" s="1192" t="e">
        <f>T38</f>
        <v>#DIV/0!</v>
      </c>
      <c r="H38" s="2302"/>
      <c r="I38" s="1193" t="e">
        <f>V38</f>
        <v>#DIV/0!</v>
      </c>
      <c r="J38" s="2302"/>
      <c r="K38" s="2304">
        <f>F38+H38+J38</f>
        <v>0</v>
      </c>
      <c r="L38" s="2661"/>
      <c r="M38" s="2654"/>
      <c r="N38" s="2654"/>
      <c r="O38" s="2654"/>
      <c r="P38" s="3266" t="str">
        <f>A38</f>
        <v>比较价值（元/平方米）</v>
      </c>
      <c r="Q38" s="3266"/>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393"/>
      <c r="Y38" s="393"/>
      <c r="Z38" s="393"/>
      <c r="AA38" s="393"/>
      <c r="AB38" s="393"/>
      <c r="AC38" s="393"/>
    </row>
    <row r="39" spans="1:29" ht="15.75" thickBot="1">
      <c r="A39" s="435" t="s">
        <v>2302</v>
      </c>
      <c r="B39" s="436"/>
      <c r="C39" s="357" t="e">
        <f>R39</f>
        <v>#DIV/0!</v>
      </c>
      <c r="D39" s="357"/>
      <c r="E39" s="357"/>
      <c r="F39" s="357"/>
      <c r="G39" s="357"/>
      <c r="H39" s="357"/>
      <c r="I39" s="357"/>
      <c r="J39" s="357"/>
      <c r="K39" s="554"/>
      <c r="L39" s="2661"/>
      <c r="M39" s="2654"/>
      <c r="N39" s="2654"/>
      <c r="O39" s="2654"/>
      <c r="P39" s="3267" t="str">
        <f>A39</f>
        <v>估价对象XX用房的比较价值（楼面单价，元/平方米）</v>
      </c>
      <c r="Q39" s="3268"/>
      <c r="R39" s="3318" t="e">
        <f>IF(F1="售价",ROUND(IF(D38="简单平均",AVERAGE(R38:W38),R38*F38+T38*H38+V38*J38),0),ROUND(IF(D38="简单平均",AVERAGE(R38:V38),R38*F38+T38*H38+V38*J38),1))</f>
        <v>#DIV/0!</v>
      </c>
      <c r="S39" s="3318"/>
      <c r="T39" s="3318"/>
      <c r="U39" s="3318"/>
      <c r="V39" s="3318"/>
      <c r="W39" s="3318"/>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75" thickBot="1">
      <c r="A47" s="1197" t="s">
        <v>2306</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ht="15">
      <c r="A48" s="448" t="s">
        <v>2307</v>
      </c>
      <c r="B48" s="449"/>
      <c r="C48" s="1213" t="str">
        <f>YEAR(C7)&amp;"-"&amp;MONTH(C7)</f>
        <v>2022-12</v>
      </c>
      <c r="D48" s="1214">
        <f>EDATE(C48,-1)</f>
        <v>44866</v>
      </c>
      <c r="E48" s="1214">
        <f t="shared" ref="E48:O48" si="13">EDATE(D48,-1)</f>
        <v>44835</v>
      </c>
      <c r="F48" s="1214">
        <f t="shared" si="13"/>
        <v>44805</v>
      </c>
      <c r="G48" s="1214">
        <f t="shared" si="13"/>
        <v>44774</v>
      </c>
      <c r="H48" s="1214">
        <f t="shared" si="13"/>
        <v>44743</v>
      </c>
      <c r="I48" s="1214">
        <f t="shared" si="13"/>
        <v>44713</v>
      </c>
      <c r="J48" s="1214">
        <f t="shared" si="13"/>
        <v>44682</v>
      </c>
      <c r="K48" s="1214">
        <f t="shared" si="13"/>
        <v>44652</v>
      </c>
      <c r="L48" s="1214">
        <f t="shared" si="13"/>
        <v>44621</v>
      </c>
      <c r="M48" s="1214">
        <f t="shared" si="13"/>
        <v>44593</v>
      </c>
      <c r="N48" s="1214">
        <f t="shared" si="13"/>
        <v>44562</v>
      </c>
      <c r="O48" s="1214">
        <f t="shared" si="13"/>
        <v>44531</v>
      </c>
      <c r="P48" s="2694"/>
      <c r="Q48" s="2677"/>
      <c r="R48" s="2677"/>
      <c r="S48" s="2677"/>
      <c r="T48" s="2677"/>
      <c r="U48" s="2677"/>
      <c r="V48" s="2677"/>
      <c r="W48" s="2677"/>
      <c r="X48" s="2677"/>
      <c r="Y48" s="2677"/>
      <c r="Z48" s="2677"/>
      <c r="AA48" s="2677"/>
      <c r="AB48" s="2677"/>
      <c r="AC48" s="2677"/>
    </row>
    <row r="49" spans="1:29" s="107" customFormat="1" ht="15">
      <c r="A49" s="451"/>
      <c r="B49" s="452"/>
      <c r="C49" s="1207">
        <v>100</v>
      </c>
      <c r="D49" s="454"/>
      <c r="E49" s="454"/>
      <c r="F49" s="454"/>
      <c r="G49" s="454"/>
      <c r="H49" s="454"/>
      <c r="I49" s="454"/>
      <c r="J49" s="454"/>
      <c r="K49" s="454"/>
      <c r="L49" s="454"/>
      <c r="M49" s="455"/>
      <c r="N49" s="454"/>
      <c r="O49" s="455"/>
      <c r="P49" s="2695"/>
      <c r="Q49" s="2604"/>
      <c r="R49" s="2604"/>
      <c r="S49" s="2604"/>
      <c r="T49" s="2604"/>
      <c r="U49" s="2604"/>
      <c r="V49" s="2604"/>
      <c r="W49" s="2604"/>
      <c r="X49" s="2604"/>
      <c r="Y49" s="2604"/>
      <c r="Z49" s="2604"/>
      <c r="AA49" s="2604"/>
      <c r="AB49" s="2604"/>
      <c r="AC49" s="2604"/>
    </row>
    <row r="50" spans="1:29" s="107" customFormat="1" ht="15.75" thickBot="1">
      <c r="A50" s="457" t="s">
        <v>2164</v>
      </c>
      <c r="B50" s="458"/>
      <c r="C50" s="459"/>
      <c r="D50" s="460"/>
      <c r="E50" s="460"/>
      <c r="F50" s="460"/>
      <c r="G50" s="460"/>
      <c r="H50" s="460"/>
      <c r="I50" s="460"/>
      <c r="J50" s="460"/>
      <c r="K50" s="460"/>
      <c r="L50" s="460"/>
      <c r="M50" s="461"/>
      <c r="N50" s="460"/>
      <c r="O50" s="461"/>
      <c r="P50" s="2695"/>
      <c r="Q50" s="2675"/>
      <c r="R50" s="2604"/>
      <c r="S50" s="2604"/>
      <c r="T50" s="2604"/>
      <c r="U50" s="2604"/>
      <c r="V50" s="2604"/>
      <c r="W50" s="2604"/>
      <c r="X50" s="2604"/>
      <c r="Y50" s="2604"/>
      <c r="Z50" s="2604"/>
      <c r="AA50" s="2604"/>
      <c r="AB50" s="2604"/>
      <c r="AC50" s="2604"/>
    </row>
    <row r="51" spans="1:29" s="107" customFormat="1" ht="15">
      <c r="A51" s="463" t="s">
        <v>2129</v>
      </c>
      <c r="B51" s="452"/>
      <c r="C51" s="464" t="s">
        <v>2231</v>
      </c>
      <c r="D51" s="34"/>
      <c r="E51" s="34"/>
      <c r="F51" s="34"/>
      <c r="G51" s="34"/>
      <c r="H51" s="34"/>
      <c r="I51" s="34"/>
      <c r="J51" s="34"/>
      <c r="K51" s="34"/>
      <c r="L51" s="465"/>
      <c r="M51" s="466"/>
      <c r="N51" s="2687"/>
      <c r="O51" s="2687"/>
      <c r="P51" s="2696"/>
      <c r="Q51" s="2675"/>
      <c r="R51" s="2604"/>
      <c r="S51" s="2604"/>
      <c r="T51" s="2604"/>
      <c r="U51" s="2604"/>
      <c r="V51" s="2604"/>
      <c r="W51" s="2604"/>
      <c r="X51" s="2604"/>
      <c r="Y51" s="2604"/>
      <c r="Z51" s="2604"/>
      <c r="AA51" s="2604"/>
      <c r="AB51" s="2604"/>
      <c r="AC51" s="2604"/>
    </row>
    <row r="52" spans="1:29" s="107" customFormat="1" ht="15.75" thickBot="1">
      <c r="A52" s="463"/>
      <c r="B52" s="452"/>
      <c r="C52" s="571">
        <v>100</v>
      </c>
      <c r="D52" s="454"/>
      <c r="E52" s="454"/>
      <c r="F52" s="454"/>
      <c r="G52" s="454"/>
      <c r="H52" s="454"/>
      <c r="I52" s="454"/>
      <c r="J52" s="454"/>
      <c r="K52" s="454"/>
      <c r="L52" s="454"/>
      <c r="M52" s="456"/>
      <c r="N52" s="2687"/>
      <c r="O52" s="2687"/>
      <c r="P52" s="2695"/>
      <c r="Q52" s="2675"/>
      <c r="R52" s="2604"/>
      <c r="S52" s="2604"/>
      <c r="T52" s="2604"/>
      <c r="U52" s="2604"/>
      <c r="V52" s="2604"/>
      <c r="W52" s="2604"/>
      <c r="X52" s="2604"/>
      <c r="Y52" s="2604"/>
      <c r="Z52" s="2604"/>
      <c r="AA52" s="2604"/>
      <c r="AB52" s="2604"/>
      <c r="AC52" s="2604"/>
    </row>
    <row r="53" spans="1:29">
      <c r="A53" s="387" t="s">
        <v>2167</v>
      </c>
      <c r="B53" s="468" t="s">
        <v>2133</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5.7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7.75" thickTop="1">
      <c r="A55" s="375"/>
      <c r="B55" s="477" t="s">
        <v>2136</v>
      </c>
      <c r="C55" s="478" t="s">
        <v>2168</v>
      </c>
      <c r="D55" s="478" t="s">
        <v>2169</v>
      </c>
      <c r="E55" s="478" t="s">
        <v>2170</v>
      </c>
      <c r="F55" s="478" t="s">
        <v>2171</v>
      </c>
      <c r="G55" s="478" t="s">
        <v>2172</v>
      </c>
      <c r="H55" s="478" t="s">
        <v>2173</v>
      </c>
      <c r="I55" s="478" t="s">
        <v>2174</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5.7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5.7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5.7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5.7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5.7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5.7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5" thickTop="1">
      <c r="A63" s="387" t="s">
        <v>2138</v>
      </c>
      <c r="B63" s="468" t="s">
        <v>2181</v>
      </c>
      <c r="C63" s="512" t="s">
        <v>2176</v>
      </c>
      <c r="D63" s="512" t="s">
        <v>2177</v>
      </c>
      <c r="E63" s="512" t="s">
        <v>2178</v>
      </c>
      <c r="F63" s="512" t="s">
        <v>2179</v>
      </c>
      <c r="G63" s="512" t="s">
        <v>2180</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5.75" thickTop="1">
      <c r="A65" s="375"/>
      <c r="B65" s="477" t="s">
        <v>2182</v>
      </c>
      <c r="C65" s="517" t="s">
        <v>2176</v>
      </c>
      <c r="D65" s="517" t="s">
        <v>2177</v>
      </c>
      <c r="E65" s="517" t="s">
        <v>2178</v>
      </c>
      <c r="F65" s="517" t="s">
        <v>2179</v>
      </c>
      <c r="G65" s="517" t="s">
        <v>2180</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5.75" thickTop="1">
      <c r="A67" s="375"/>
      <c r="B67" s="485" t="s">
        <v>2268</v>
      </c>
      <c r="C67" s="589" t="s">
        <v>2254</v>
      </c>
      <c r="D67" s="589" t="s">
        <v>2255</v>
      </c>
      <c r="E67" s="589" t="s">
        <v>2256</v>
      </c>
      <c r="F67" s="589" t="s">
        <v>2257</v>
      </c>
      <c r="G67" s="589" t="s">
        <v>2258</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5.75" thickTop="1">
      <c r="A69" s="375"/>
      <c r="B69" s="477" t="s">
        <v>2188</v>
      </c>
      <c r="C69" s="517" t="s">
        <v>2176</v>
      </c>
      <c r="D69" s="517" t="s">
        <v>2177</v>
      </c>
      <c r="E69" s="517" t="s">
        <v>2178</v>
      </c>
      <c r="F69" s="517" t="s">
        <v>2179</v>
      </c>
      <c r="G69" s="517" t="s">
        <v>2180</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5.75" thickTop="1">
      <c r="A71" s="375"/>
      <c r="B71" s="477" t="s">
        <v>2308</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5.75" thickTop="1">
      <c r="A73" s="378"/>
      <c r="B73" s="477">
        <f>B23</f>
        <v>111</v>
      </c>
      <c r="C73" s="488"/>
      <c r="D73" s="488"/>
      <c r="E73" s="488"/>
      <c r="F73" s="488"/>
      <c r="G73" s="493"/>
      <c r="H73" s="493"/>
      <c r="I73" s="493"/>
      <c r="J73" s="493"/>
      <c r="K73" s="493"/>
      <c r="L73" s="518"/>
      <c r="M73" s="519"/>
      <c r="N73" s="2687"/>
      <c r="O73" s="2687"/>
      <c r="P73" s="2697"/>
      <c r="Q73" s="2675"/>
      <c r="R73" s="2604"/>
      <c r="S73" s="2604"/>
      <c r="T73" s="2604"/>
      <c r="U73" s="2604"/>
      <c r="V73" s="2604"/>
      <c r="W73" s="2604"/>
      <c r="X73" s="2604"/>
      <c r="Y73" s="2604"/>
      <c r="Z73" s="2604"/>
      <c r="AA73" s="2604"/>
      <c r="AB73" s="2604"/>
      <c r="AC73" s="2604"/>
    </row>
    <row r="74" spans="1:29" s="107" customFormat="1" ht="15.75" thickBot="1">
      <c r="A74" s="378"/>
      <c r="B74" s="482"/>
      <c r="C74" s="499"/>
      <c r="D74" s="475"/>
      <c r="E74" s="475"/>
      <c r="F74" s="475"/>
      <c r="G74" s="475"/>
      <c r="H74" s="475"/>
      <c r="I74" s="475"/>
      <c r="J74" s="475"/>
      <c r="K74" s="475"/>
      <c r="L74" s="475"/>
      <c r="M74" s="476"/>
      <c r="N74" s="2689"/>
      <c r="O74" s="2689"/>
      <c r="P74" s="2697"/>
      <c r="Q74" s="2675"/>
      <c r="R74" s="2604"/>
      <c r="S74" s="2604"/>
      <c r="T74" s="2604"/>
      <c r="U74" s="2604"/>
      <c r="V74" s="2604"/>
      <c r="W74" s="2604"/>
      <c r="X74" s="2604"/>
      <c r="Y74" s="2604"/>
      <c r="Z74" s="2604"/>
      <c r="AA74" s="2604"/>
      <c r="AB74" s="2604"/>
      <c r="AC74" s="2604"/>
    </row>
    <row r="75" spans="1:29" s="107" customFormat="1" ht="15.75" thickTop="1">
      <c r="A75" s="378"/>
      <c r="B75" s="477">
        <f>B24</f>
        <v>111</v>
      </c>
      <c r="C75" s="488"/>
      <c r="D75" s="488"/>
      <c r="E75" s="488"/>
      <c r="F75" s="488"/>
      <c r="G75" s="493"/>
      <c r="H75" s="493"/>
      <c r="I75" s="493"/>
      <c r="J75" s="493"/>
      <c r="K75" s="493"/>
      <c r="L75" s="493"/>
      <c r="M75" s="519"/>
      <c r="N75" s="2687"/>
      <c r="O75" s="2687"/>
      <c r="P75" s="2697"/>
      <c r="Q75" s="2675"/>
      <c r="R75" s="2604"/>
      <c r="S75" s="2604"/>
      <c r="T75" s="2604"/>
      <c r="U75" s="2604"/>
      <c r="V75" s="2604"/>
      <c r="W75" s="2604"/>
      <c r="X75" s="2604"/>
      <c r="Y75" s="2604"/>
      <c r="Z75" s="2604"/>
      <c r="AA75" s="2604"/>
      <c r="AB75" s="2604"/>
      <c r="AC75" s="2604"/>
    </row>
    <row r="76" spans="1:29" s="107" customFormat="1" ht="15.75" thickBot="1">
      <c r="A76" s="378"/>
      <c r="B76" s="482"/>
      <c r="C76" s="499"/>
      <c r="D76" s="475"/>
      <c r="E76" s="475"/>
      <c r="F76" s="475"/>
      <c r="G76" s="475"/>
      <c r="H76" s="475"/>
      <c r="I76" s="475"/>
      <c r="J76" s="475"/>
      <c r="K76" s="475"/>
      <c r="L76" s="475"/>
      <c r="M76" s="476"/>
      <c r="N76" s="2689"/>
      <c r="O76" s="2689"/>
      <c r="P76" s="2697"/>
      <c r="Q76" s="2675"/>
      <c r="R76" s="2604"/>
      <c r="S76" s="2604"/>
      <c r="T76" s="2604"/>
      <c r="U76" s="2604"/>
      <c r="V76" s="2604"/>
      <c r="W76" s="2604"/>
      <c r="X76" s="2604"/>
      <c r="Y76" s="2604"/>
      <c r="Z76" s="2604"/>
      <c r="AA76" s="2604"/>
      <c r="AB76" s="2604"/>
      <c r="AC76" s="2604"/>
    </row>
    <row r="77" spans="1:29" s="416" customFormat="1" ht="15.7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5.7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7.75" thickTop="1">
      <c r="A79" s="387" t="s">
        <v>2142</v>
      </c>
      <c r="B79" s="468" t="s">
        <v>2309</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 t="shared" ref="D80:M80" si="14">C80-$K26</f>
        <v>100</v>
      </c>
      <c r="E80" s="483">
        <f t="shared" si="14"/>
        <v>100</v>
      </c>
      <c r="F80" s="483">
        <f t="shared" si="14"/>
        <v>100</v>
      </c>
      <c r="G80" s="483">
        <f t="shared" si="14"/>
        <v>100</v>
      </c>
      <c r="H80" s="483">
        <f t="shared" si="14"/>
        <v>100</v>
      </c>
      <c r="I80" s="483">
        <f t="shared" si="14"/>
        <v>100</v>
      </c>
      <c r="J80" s="483">
        <f t="shared" si="14"/>
        <v>100</v>
      </c>
      <c r="K80" s="483">
        <f t="shared" si="14"/>
        <v>100</v>
      </c>
      <c r="L80" s="483">
        <f t="shared" si="14"/>
        <v>100</v>
      </c>
      <c r="M80" s="484">
        <f t="shared" si="14"/>
        <v>100</v>
      </c>
      <c r="N80" s="2689"/>
      <c r="O80" s="2689"/>
      <c r="P80" s="2697"/>
      <c r="Q80" s="2675"/>
      <c r="R80" s="2654"/>
      <c r="S80" s="2654"/>
      <c r="T80" s="2654"/>
      <c r="U80" s="2654"/>
      <c r="V80" s="2654"/>
      <c r="W80" s="2654"/>
      <c r="X80" s="2654"/>
      <c r="Y80" s="2654"/>
      <c r="Z80" s="2654"/>
      <c r="AA80" s="2654"/>
      <c r="AB80" s="2654"/>
      <c r="AC80" s="2654"/>
    </row>
    <row r="81" spans="1:29" ht="15.75" thickTop="1">
      <c r="A81" s="375"/>
      <c r="B81" s="477" t="s">
        <v>2310</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5" thickTop="1">
      <c r="A83" s="417"/>
      <c r="B83" s="477" t="s">
        <v>2195</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5.75" thickBot="1">
      <c r="A84" s="375"/>
      <c r="B84" s="482"/>
      <c r="C84" s="483">
        <v>100</v>
      </c>
      <c r="D84" s="483">
        <f t="shared" ref="D84:M84" si="15">C84-$K28</f>
        <v>100</v>
      </c>
      <c r="E84" s="483">
        <f t="shared" si="15"/>
        <v>100</v>
      </c>
      <c r="F84" s="483">
        <f t="shared" si="15"/>
        <v>100</v>
      </c>
      <c r="G84" s="483">
        <f t="shared" si="15"/>
        <v>100</v>
      </c>
      <c r="H84" s="483">
        <f t="shared" si="15"/>
        <v>100</v>
      </c>
      <c r="I84" s="483">
        <f t="shared" si="15"/>
        <v>100</v>
      </c>
      <c r="J84" s="483">
        <f t="shared" si="15"/>
        <v>100</v>
      </c>
      <c r="K84" s="483">
        <f t="shared" si="15"/>
        <v>100</v>
      </c>
      <c r="L84" s="483">
        <f t="shared" si="15"/>
        <v>100</v>
      </c>
      <c r="M84" s="484">
        <f t="shared" si="15"/>
        <v>100</v>
      </c>
      <c r="N84" s="2689"/>
      <c r="O84" s="2689"/>
      <c r="P84" s="2697"/>
      <c r="Q84" s="2675"/>
      <c r="R84" s="2654"/>
      <c r="S84" s="2654"/>
      <c r="T84" s="2654"/>
      <c r="U84" s="2654"/>
      <c r="V84" s="2654"/>
      <c r="W84" s="2654"/>
      <c r="X84" s="2654"/>
      <c r="Y84" s="2654"/>
      <c r="Z84" s="2654"/>
      <c r="AA84" s="2654"/>
      <c r="AB84" s="2654"/>
      <c r="AC84" s="2654"/>
    </row>
    <row r="85" spans="1:29" ht="15" thickTop="1">
      <c r="A85" s="417"/>
      <c r="B85" s="477" t="s">
        <v>2311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5.75" thickBot="1">
      <c r="A87" s="375"/>
      <c r="B87" s="482"/>
      <c r="C87" s="520">
        <v>100</v>
      </c>
      <c r="D87" s="483">
        <f>C87+$K$29</f>
        <v>100</v>
      </c>
      <c r="E87" s="483">
        <f t="shared" ref="E87:M87" si="16">D87+$K$29</f>
        <v>100</v>
      </c>
      <c r="F87" s="483">
        <f t="shared" si="16"/>
        <v>100</v>
      </c>
      <c r="G87" s="483">
        <f t="shared" si="16"/>
        <v>100</v>
      </c>
      <c r="H87" s="483">
        <f t="shared" si="16"/>
        <v>100</v>
      </c>
      <c r="I87" s="483">
        <f t="shared" si="16"/>
        <v>100</v>
      </c>
      <c r="J87" s="483">
        <f t="shared" si="16"/>
        <v>100</v>
      </c>
      <c r="K87" s="483">
        <f t="shared" si="16"/>
        <v>100</v>
      </c>
      <c r="L87" s="483">
        <f t="shared" si="16"/>
        <v>100</v>
      </c>
      <c r="M87" s="483">
        <f t="shared" si="16"/>
        <v>100</v>
      </c>
      <c r="N87" s="2689"/>
      <c r="O87" s="2689"/>
      <c r="P87" s="2697"/>
      <c r="Q87" s="2675"/>
      <c r="R87" s="2654"/>
      <c r="S87" s="2654"/>
      <c r="T87" s="2654"/>
      <c r="U87" s="2654"/>
      <c r="V87" s="2654"/>
      <c r="W87" s="2654"/>
      <c r="X87" s="2654"/>
      <c r="Y87" s="2654"/>
      <c r="Z87" s="2654"/>
      <c r="AA87" s="2654"/>
      <c r="AB87" s="2654"/>
      <c r="AC87" s="2654"/>
    </row>
    <row r="88" spans="1:29" ht="15" thickTop="1">
      <c r="A88" s="417"/>
      <c r="B88" s="485" t="s">
        <v>2312</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5.75" thickBot="1">
      <c r="A89" s="375"/>
      <c r="B89" s="482"/>
      <c r="C89" s="520">
        <v>100</v>
      </c>
      <c r="D89" s="483">
        <f t="shared" ref="D89:M89" si="17">C89+$K30</f>
        <v>100</v>
      </c>
      <c r="E89" s="483">
        <f t="shared" si="17"/>
        <v>100</v>
      </c>
      <c r="F89" s="483">
        <f t="shared" si="17"/>
        <v>100</v>
      </c>
      <c r="G89" s="483">
        <f t="shared" si="17"/>
        <v>100</v>
      </c>
      <c r="H89" s="483">
        <f t="shared" si="17"/>
        <v>100</v>
      </c>
      <c r="I89" s="483">
        <f t="shared" si="17"/>
        <v>100</v>
      </c>
      <c r="J89" s="483">
        <f t="shared" si="17"/>
        <v>100</v>
      </c>
      <c r="K89" s="483">
        <f t="shared" si="17"/>
        <v>100</v>
      </c>
      <c r="L89" s="483">
        <f t="shared" si="17"/>
        <v>100</v>
      </c>
      <c r="M89" s="483">
        <f t="shared" si="17"/>
        <v>100</v>
      </c>
      <c r="N89" s="2689"/>
      <c r="O89" s="2689"/>
      <c r="P89" s="2697"/>
      <c r="Q89" s="2675"/>
      <c r="R89" s="2654"/>
      <c r="S89" s="2654"/>
      <c r="T89" s="2654"/>
      <c r="U89" s="2654"/>
      <c r="V89" s="2654"/>
      <c r="W89" s="2654"/>
      <c r="X89" s="2654"/>
      <c r="Y89" s="2654"/>
      <c r="Z89" s="2654"/>
      <c r="AA89" s="2654"/>
      <c r="AB89" s="2654"/>
      <c r="AC89" s="2654"/>
    </row>
    <row r="90" spans="1:29" s="416" customFormat="1" ht="15" thickTop="1">
      <c r="A90" s="414"/>
      <c r="B90" s="477" t="s">
        <v>2313</v>
      </c>
      <c r="C90" s="517" t="str">
        <f>C91&amp;"(含)"&amp;"-"&amp;D91</f>
        <v>(含)-</v>
      </c>
      <c r="D90" s="517" t="str">
        <f t="shared" ref="D90:L90" si="18">D91&amp;"(含)"&amp;"-"&amp;E91</f>
        <v>(含)-</v>
      </c>
      <c r="E90" s="517" t="str">
        <f t="shared" si="18"/>
        <v>(含)-</v>
      </c>
      <c r="F90" s="517" t="str">
        <f t="shared" si="18"/>
        <v>(含)-</v>
      </c>
      <c r="G90" s="517" t="str">
        <f t="shared" si="18"/>
        <v>(含)-</v>
      </c>
      <c r="H90" s="517" t="str">
        <f t="shared" si="18"/>
        <v>(含)-</v>
      </c>
      <c r="I90" s="517" t="str">
        <f t="shared" si="18"/>
        <v>(含)-</v>
      </c>
      <c r="J90" s="517" t="str">
        <f t="shared" si="18"/>
        <v>(含)-</v>
      </c>
      <c r="K90" s="517" t="str">
        <f t="shared" si="18"/>
        <v>(含)-</v>
      </c>
      <c r="L90" s="517" t="str">
        <f t="shared" si="18"/>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5" thickTop="1">
      <c r="A93" s="417"/>
      <c r="B93" s="477" t="s">
        <v>2314</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83">
        <v>100</v>
      </c>
      <c r="D94" s="483">
        <f t="shared" ref="D94:M94" si="19">C94-$K32</f>
        <v>100</v>
      </c>
      <c r="E94" s="483">
        <f t="shared" si="19"/>
        <v>100</v>
      </c>
      <c r="F94" s="483">
        <f t="shared" si="19"/>
        <v>100</v>
      </c>
      <c r="G94" s="483">
        <f t="shared" si="19"/>
        <v>100</v>
      </c>
      <c r="H94" s="483">
        <f t="shared" si="19"/>
        <v>100</v>
      </c>
      <c r="I94" s="483">
        <f t="shared" si="19"/>
        <v>100</v>
      </c>
      <c r="J94" s="483">
        <f t="shared" si="19"/>
        <v>100</v>
      </c>
      <c r="K94" s="483">
        <f t="shared" si="19"/>
        <v>100</v>
      </c>
      <c r="L94" s="483">
        <f t="shared" si="19"/>
        <v>100</v>
      </c>
      <c r="M94" s="484">
        <f t="shared" si="19"/>
        <v>100</v>
      </c>
      <c r="N94" s="2689"/>
      <c r="O94" s="2689"/>
      <c r="P94" s="2697"/>
      <c r="Q94" s="2675"/>
      <c r="R94" s="2654"/>
      <c r="S94" s="2654"/>
      <c r="T94" s="2654"/>
      <c r="U94" s="2654"/>
      <c r="V94" s="2654"/>
      <c r="W94" s="2654"/>
      <c r="X94" s="2654"/>
      <c r="Y94" s="2654"/>
      <c r="Z94" s="2654"/>
      <c r="AA94" s="2654"/>
      <c r="AB94" s="2654"/>
      <c r="AC94" s="2654"/>
    </row>
    <row r="95" spans="1:29" ht="15" thickTop="1">
      <c r="A95" s="417"/>
      <c r="B95" s="477" t="s">
        <v>2315</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5.7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5.7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E17 I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38"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IF(C2="——",ROUND(C37*D3/10000,0),ROUND(C37*D3/10000,0)-D2)</f>
        <v>#DIV/0!</v>
      </c>
      <c r="C2" s="1867"/>
      <c r="D2" s="961" t="e">
        <f ca="1">SUMIF(INDIRECT("'"&amp;F2&amp;"'"&amp;"!A:A"),"承租人权益价值",INDIRECT("'"&amp;F2&amp;"'"&amp;"!c:c"))</f>
        <v>#REF!</v>
      </c>
      <c r="E2" s="1868" t="s">
        <v>1907</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IF(C2="——",C37,ROUND(B2*10000/D3,0))</f>
        <v>#DIV/0!</v>
      </c>
      <c r="C3" s="350" t="s">
        <v>2223</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230" t="s">
        <v>2230</v>
      </c>
      <c r="Q4" s="3231"/>
      <c r="R4" s="3236" t="s">
        <v>2226</v>
      </c>
      <c r="S4" s="3237"/>
      <c r="T4" s="3236" t="s">
        <v>2227</v>
      </c>
      <c r="U4" s="3237"/>
      <c r="V4" s="3252" t="s">
        <v>2228</v>
      </c>
      <c r="W4" s="3252"/>
      <c r="X4" s="1394"/>
      <c r="Y4" s="3236" t="s">
        <v>2230</v>
      </c>
      <c r="Z4" s="3237"/>
      <c r="AA4" s="3223" t="s">
        <v>2226</v>
      </c>
      <c r="AB4" s="3224" t="s">
        <v>2227</v>
      </c>
      <c r="AC4" s="3223" t="s">
        <v>2228</v>
      </c>
    </row>
    <row r="5" spans="1:29" ht="15">
      <c r="A5" s="354"/>
      <c r="B5" s="355"/>
      <c r="C5" s="3240" t="s">
        <v>2121</v>
      </c>
      <c r="D5" s="3241"/>
      <c r="E5" s="3301" t="s">
        <v>2122</v>
      </c>
      <c r="F5" s="3243"/>
      <c r="G5" s="3240" t="s">
        <v>2123</v>
      </c>
      <c r="H5" s="3241"/>
      <c r="I5" s="3240" t="s">
        <v>2124</v>
      </c>
      <c r="J5" s="3241"/>
      <c r="K5" s="545"/>
      <c r="L5" s="2653"/>
      <c r="M5" s="2654"/>
      <c r="N5" s="2654"/>
      <c r="O5" s="2654"/>
      <c r="P5" s="3232"/>
      <c r="Q5" s="3233"/>
      <c r="R5" s="3238"/>
      <c r="S5" s="3239"/>
      <c r="T5" s="3238"/>
      <c r="U5" s="3239"/>
      <c r="V5" s="3252"/>
      <c r="W5" s="3252"/>
      <c r="X5" s="1394"/>
      <c r="Y5" s="3238"/>
      <c r="Z5" s="3239"/>
      <c r="AA5" s="3224"/>
      <c r="AB5" s="3224"/>
      <c r="AC5" s="3224"/>
    </row>
    <row r="6" spans="1:29" ht="15.75" thickBot="1">
      <c r="A6" s="356"/>
      <c r="B6" s="357"/>
      <c r="C6" s="3245" t="s">
        <v>2125</v>
      </c>
      <c r="D6" s="3246"/>
      <c r="E6" s="3247" t="s">
        <v>2125</v>
      </c>
      <c r="F6" s="3248"/>
      <c r="G6" s="3245" t="s">
        <v>2125</v>
      </c>
      <c r="H6" s="3246"/>
      <c r="I6" s="3245" t="s">
        <v>2125</v>
      </c>
      <c r="J6" s="3246"/>
      <c r="K6" s="545" t="s">
        <v>2126</v>
      </c>
      <c r="L6" s="2653"/>
      <c r="M6" s="2654"/>
      <c r="N6" s="2654"/>
      <c r="O6" s="2654"/>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SUMIF(46:46,YEAR(E7)&amp;"-"&amp;MONTH(E7),47:47)</f>
        <v>0</v>
      </c>
      <c r="G7" s="1952"/>
      <c r="H7" s="361">
        <f>SUMIF(46:46,YEAR(G7)&amp;"-"&amp;MONTH(G7),47:47)</f>
        <v>0</v>
      </c>
      <c r="I7" s="362"/>
      <c r="J7" s="361">
        <f>SUMIF(46:46,YEAR(I7)&amp;"-"&amp;MONTH(I7),47:47)</f>
        <v>0</v>
      </c>
      <c r="K7" s="41"/>
      <c r="L7" s="2655"/>
      <c r="M7" s="2604"/>
      <c r="N7" s="2604"/>
      <c r="O7" s="2604"/>
      <c r="P7" s="3253" t="s">
        <v>2128</v>
      </c>
      <c r="Q7" s="3254"/>
      <c r="R7" s="673" t="s">
        <v>17</v>
      </c>
      <c r="S7" s="674">
        <f t="shared" ref="S7:S14" si="0">F7</f>
        <v>0</v>
      </c>
      <c r="T7" s="673" t="s">
        <v>17</v>
      </c>
      <c r="U7" s="674">
        <f t="shared" ref="U7:U14" si="1">H7</f>
        <v>0</v>
      </c>
      <c r="V7" s="673" t="s">
        <v>17</v>
      </c>
      <c r="W7" s="674">
        <f t="shared" ref="W7:W14" si="2">J7</f>
        <v>0</v>
      </c>
      <c r="X7" s="675"/>
      <c r="Y7" s="3253" t="s">
        <v>2128</v>
      </c>
      <c r="Z7" s="3255"/>
      <c r="AA7" s="53" t="e">
        <f>D7/F7</f>
        <v>#DIV/0!</v>
      </c>
      <c r="AB7" s="53" t="e">
        <f>D7/H7</f>
        <v>#DIV/0!</v>
      </c>
      <c r="AC7" s="53" t="e">
        <f>D7/J7</f>
        <v>#DIV/0!</v>
      </c>
    </row>
    <row r="8" spans="1:29" s="107" customFormat="1" ht="15.75" thickBot="1">
      <c r="A8" s="358" t="s">
        <v>2129</v>
      </c>
      <c r="B8" s="359"/>
      <c r="C8" s="364" t="s">
        <v>2231</v>
      </c>
      <c r="D8" s="361">
        <v>100</v>
      </c>
      <c r="E8" s="364"/>
      <c r="F8" s="363">
        <f>SUMIF(49:49,E8,50:50)-SUMIF(49:49,C8,50:50)+100</f>
        <v>0</v>
      </c>
      <c r="G8" s="364"/>
      <c r="H8" s="361">
        <f>SUMIF(49:49,G8,50:50)-SUMIF(49:49,C8,50:50)+100</f>
        <v>0</v>
      </c>
      <c r="I8" s="364"/>
      <c r="J8" s="361">
        <f>SUMIF(49:49,I8,50:50)-SUMIF(49:49,C8,50:50)+100</f>
        <v>0</v>
      </c>
      <c r="K8" s="41"/>
      <c r="L8" s="2655"/>
      <c r="M8" s="2604"/>
      <c r="N8" s="2604"/>
      <c r="O8" s="2604"/>
      <c r="P8" s="3253" t="s">
        <v>2131</v>
      </c>
      <c r="Q8" s="3255"/>
      <c r="R8" s="673" t="s">
        <v>17</v>
      </c>
      <c r="S8" s="674">
        <f t="shared" si="0"/>
        <v>0</v>
      </c>
      <c r="T8" s="673" t="s">
        <v>17</v>
      </c>
      <c r="U8" s="674">
        <f t="shared" si="1"/>
        <v>0</v>
      </c>
      <c r="V8" s="673" t="s">
        <v>17</v>
      </c>
      <c r="W8" s="674">
        <f t="shared" si="2"/>
        <v>0</v>
      </c>
      <c r="X8" s="675"/>
      <c r="Y8" s="3253" t="s">
        <v>2131</v>
      </c>
      <c r="Z8" s="3255"/>
      <c r="AA8" s="53" t="e">
        <f t="shared" ref="AA8:AA34" si="3">D8/F8</f>
        <v>#DIV/0!</v>
      </c>
      <c r="AB8" s="53" t="e">
        <f t="shared" ref="AB8:AB34" si="4">D8/H8</f>
        <v>#DIV/0!</v>
      </c>
      <c r="AC8" s="53" t="e">
        <f t="shared" ref="AC8:AC34" si="5">D8/J8</f>
        <v>#DIV/0!</v>
      </c>
    </row>
    <row r="9" spans="1:29" s="107" customFormat="1">
      <c r="A9" s="365" t="s">
        <v>2132</v>
      </c>
      <c r="B9" s="64" t="s">
        <v>2133</v>
      </c>
      <c r="C9" s="366"/>
      <c r="D9" s="63">
        <v>100</v>
      </c>
      <c r="E9" s="368"/>
      <c r="F9" s="64">
        <f>SUMIF(51:51,E9,52:52)-SUMIF(51:51,C9,52:52)+100</f>
        <v>100</v>
      </c>
      <c r="G9" s="368"/>
      <c r="H9" s="63">
        <f>SUMIF(51:51,G9,52:52)-SUMIF(51:51,C9,52:52)+100</f>
        <v>100</v>
      </c>
      <c r="I9" s="368"/>
      <c r="J9" s="63">
        <f>SUMIF(51:51,I9,52:52)-SUMIF(51:51,C9,52:52)+100</f>
        <v>100</v>
      </c>
      <c r="K9" s="41"/>
      <c r="L9" s="2655"/>
      <c r="M9" s="2604"/>
      <c r="N9" s="2604"/>
      <c r="O9" s="2707"/>
      <c r="P9" s="3266" t="s">
        <v>2134</v>
      </c>
      <c r="Q9" s="538" t="str">
        <f t="shared" ref="Q9:Q14" si="6">B9</f>
        <v>用途</v>
      </c>
      <c r="R9" s="673" t="s">
        <v>17</v>
      </c>
      <c r="S9" s="674">
        <f t="shared" si="0"/>
        <v>100</v>
      </c>
      <c r="T9" s="673" t="s">
        <v>17</v>
      </c>
      <c r="U9" s="674">
        <f t="shared" si="1"/>
        <v>100</v>
      </c>
      <c r="V9" s="673" t="s">
        <v>17</v>
      </c>
      <c r="W9" s="674">
        <f t="shared" si="2"/>
        <v>100</v>
      </c>
      <c r="X9" s="675"/>
      <c r="Y9" s="3191" t="s">
        <v>2135</v>
      </c>
      <c r="Z9" s="53" t="str">
        <f t="shared" ref="Z9:Z14" si="7">Q9</f>
        <v>用途</v>
      </c>
      <c r="AA9" s="53">
        <f t="shared" si="3"/>
        <v>1</v>
      </c>
      <c r="AB9" s="53">
        <f t="shared" si="4"/>
        <v>1</v>
      </c>
      <c r="AC9" s="53">
        <f t="shared" si="5"/>
        <v>1</v>
      </c>
    </row>
    <row r="10" spans="1:29" s="374" customFormat="1" ht="27">
      <c r="A10" s="369"/>
      <c r="B10" s="370" t="s">
        <v>2136</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66"/>
      <c r="Q10" s="538" t="str">
        <f t="shared" si="6"/>
        <v>土地使用年限（年）</v>
      </c>
      <c r="R10" s="673" t="s">
        <v>17</v>
      </c>
      <c r="S10" s="674">
        <f t="shared" si="0"/>
        <v>100</v>
      </c>
      <c r="T10" s="673" t="s">
        <v>17</v>
      </c>
      <c r="U10" s="674">
        <f t="shared" si="1"/>
        <v>100</v>
      </c>
      <c r="V10" s="673" t="s">
        <v>17</v>
      </c>
      <c r="W10" s="674">
        <f t="shared" si="2"/>
        <v>100</v>
      </c>
      <c r="X10" s="675"/>
      <c r="Y10" s="3191"/>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66"/>
      <c r="Q11" s="538">
        <f t="shared" si="6"/>
        <v>111</v>
      </c>
      <c r="R11" s="673" t="s">
        <v>17</v>
      </c>
      <c r="S11" s="674">
        <f t="shared" si="0"/>
        <v>100</v>
      </c>
      <c r="T11" s="673" t="s">
        <v>17</v>
      </c>
      <c r="U11" s="674">
        <f t="shared" si="1"/>
        <v>100</v>
      </c>
      <c r="V11" s="673" t="s">
        <v>17</v>
      </c>
      <c r="W11" s="674">
        <f t="shared" si="2"/>
        <v>100</v>
      </c>
      <c r="X11" s="675"/>
      <c r="Y11" s="3191"/>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4"/>
      <c r="N12" s="2604"/>
      <c r="O12" s="2707"/>
      <c r="P12" s="326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6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85.25">
      <c r="A14" s="387" t="s">
        <v>2138</v>
      </c>
      <c r="B14" s="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59" t="s">
        <v>2139</v>
      </c>
      <c r="Q14" s="1392" t="str">
        <f t="shared" si="6"/>
        <v>交通便捷度</v>
      </c>
      <c r="R14" s="676" t="s">
        <v>17</v>
      </c>
      <c r="S14" s="677">
        <f t="shared" si="0"/>
        <v>100</v>
      </c>
      <c r="T14" s="676" t="s">
        <v>17</v>
      </c>
      <c r="U14" s="677">
        <f t="shared" si="1"/>
        <v>100</v>
      </c>
      <c r="V14" s="676" t="s">
        <v>17</v>
      </c>
      <c r="W14" s="677">
        <f t="shared" si="2"/>
        <v>100</v>
      </c>
      <c r="X14" s="1394"/>
      <c r="Y14" s="3259" t="s">
        <v>2139</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9"/>
      <c r="M15" s="2654"/>
      <c r="N15" s="2654"/>
      <c r="O15" s="2709"/>
      <c r="P15" s="3260"/>
      <c r="Q15" s="1392"/>
      <c r="R15" s="676"/>
      <c r="S15" s="677"/>
      <c r="T15" s="676"/>
      <c r="U15" s="677"/>
      <c r="V15" s="676"/>
      <c r="W15" s="677"/>
      <c r="X15" s="1394"/>
      <c r="Y15" s="3260"/>
      <c r="Z15" s="1393"/>
      <c r="AA15" s="1393">
        <v>1</v>
      </c>
      <c r="AB15" s="1393">
        <v>1</v>
      </c>
      <c r="AC15" s="1393">
        <v>1</v>
      </c>
    </row>
    <row r="16" spans="1:29" ht="42.75">
      <c r="A16" s="375"/>
      <c r="B16" s="398" t="s">
        <v>2267</v>
      </c>
      <c r="C16" s="1884" t="str">
        <f>IF(B1="工业",估价对象房地状况!G5,估价对象房地状况!C7)</f>
        <v>估价对象所在区域公共配套设施齐备</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60"/>
      <c r="Q16" s="1392" t="str">
        <f>B16</f>
        <v>公共配套设施</v>
      </c>
      <c r="R16" s="676" t="s">
        <v>17</v>
      </c>
      <c r="S16" s="677">
        <f>F16</f>
        <v>100</v>
      </c>
      <c r="T16" s="676" t="s">
        <v>17</v>
      </c>
      <c r="U16" s="677">
        <f>H16</f>
        <v>100</v>
      </c>
      <c r="V16" s="676" t="s">
        <v>17</v>
      </c>
      <c r="W16" s="677">
        <f>J16</f>
        <v>100</v>
      </c>
      <c r="X16" s="1394"/>
      <c r="Y16" s="3260"/>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9"/>
      <c r="M17" s="2654"/>
      <c r="N17" s="2654"/>
      <c r="O17" s="2709"/>
      <c r="P17" s="3260"/>
      <c r="Q17" s="1392"/>
      <c r="R17" s="676"/>
      <c r="S17" s="677"/>
      <c r="T17" s="676"/>
      <c r="U17" s="677"/>
      <c r="V17" s="676"/>
      <c r="W17" s="677"/>
      <c r="X17" s="1394"/>
      <c r="Y17" s="3260"/>
      <c r="Z17" s="1393"/>
      <c r="AA17" s="1393">
        <v>1</v>
      </c>
      <c r="AB17" s="1393">
        <v>1</v>
      </c>
      <c r="AC17" s="1393">
        <v>1</v>
      </c>
    </row>
    <row r="18" spans="1:29" ht="42.75">
      <c r="A18" s="375"/>
      <c r="B18" s="594" t="s">
        <v>2268</v>
      </c>
      <c r="C18" s="1884" t="str">
        <f>IF(B1="工业",估价对象房地状况!G6,估价对象房地状况!C8)</f>
        <v>估价对象所在区域基础设施水平达七通</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60"/>
      <c r="Q18" s="1392" t="str">
        <f>B18</f>
        <v>基础设施水平</v>
      </c>
      <c r="R18" s="676" t="s">
        <v>17</v>
      </c>
      <c r="S18" s="677">
        <f>F18</f>
        <v>100</v>
      </c>
      <c r="T18" s="676" t="s">
        <v>17</v>
      </c>
      <c r="U18" s="677">
        <f>H18</f>
        <v>100</v>
      </c>
      <c r="V18" s="676" t="s">
        <v>17</v>
      </c>
      <c r="W18" s="677">
        <f>J18</f>
        <v>100</v>
      </c>
      <c r="X18" s="1394"/>
      <c r="Y18" s="3260"/>
      <c r="Z18" s="1393" t="str">
        <f>Q18</f>
        <v>基础设施水平</v>
      </c>
      <c r="AA18" s="1393">
        <f>D18/F18</f>
        <v>1</v>
      </c>
      <c r="AB18" s="1393">
        <f>D18/H18</f>
        <v>1</v>
      </c>
      <c r="AC18" s="1393">
        <f>D18/J18</f>
        <v>1</v>
      </c>
    </row>
    <row r="19" spans="1:29" ht="15">
      <c r="A19" s="375"/>
      <c r="B19" s="594"/>
      <c r="C19" s="1885"/>
      <c r="D19" s="397"/>
      <c r="E19" s="1885"/>
      <c r="F19" s="400"/>
      <c r="G19" s="1885"/>
      <c r="H19" s="395"/>
      <c r="I19" s="394"/>
      <c r="J19" s="395"/>
      <c r="K19" s="1174"/>
      <c r="L19" s="2659"/>
      <c r="M19" s="2654"/>
      <c r="N19" s="2654"/>
      <c r="O19" s="2709"/>
      <c r="P19" s="3260"/>
      <c r="Q19" s="1392"/>
      <c r="R19" s="676"/>
      <c r="S19" s="677"/>
      <c r="T19" s="676"/>
      <c r="U19" s="677"/>
      <c r="V19" s="676"/>
      <c r="W19" s="677"/>
      <c r="X19" s="1394"/>
      <c r="Y19" s="3260"/>
      <c r="Z19" s="1393"/>
      <c r="AA19" s="1393">
        <v>1</v>
      </c>
      <c r="AB19" s="1393">
        <v>1</v>
      </c>
      <c r="AC19" s="1393">
        <v>1</v>
      </c>
    </row>
    <row r="20" spans="1:29" ht="128.25">
      <c r="A20" s="375"/>
      <c r="B20" s="398"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60"/>
      <c r="Q20" s="1392" t="str">
        <f>B20</f>
        <v>自然及人文环境</v>
      </c>
      <c r="R20" s="676" t="s">
        <v>17</v>
      </c>
      <c r="S20" s="677">
        <f>F20</f>
        <v>100</v>
      </c>
      <c r="T20" s="676" t="s">
        <v>17</v>
      </c>
      <c r="U20" s="677">
        <f>H20</f>
        <v>100</v>
      </c>
      <c r="V20" s="676" t="s">
        <v>17</v>
      </c>
      <c r="W20" s="677">
        <f>J20</f>
        <v>100</v>
      </c>
      <c r="X20" s="1394"/>
      <c r="Y20" s="3260"/>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9"/>
      <c r="M21" s="2654"/>
      <c r="N21" s="2654"/>
      <c r="O21" s="2709"/>
      <c r="P21" s="3260"/>
      <c r="Q21" s="1392"/>
      <c r="R21" s="676"/>
      <c r="S21" s="677"/>
      <c r="T21" s="676"/>
      <c r="U21" s="677"/>
      <c r="V21" s="676"/>
      <c r="W21" s="677"/>
      <c r="X21" s="1394"/>
      <c r="Y21" s="3260"/>
      <c r="Z21" s="1393"/>
      <c r="AA21" s="1393">
        <v>1</v>
      </c>
      <c r="AB21" s="1393">
        <v>1</v>
      </c>
      <c r="AC21" s="1393">
        <v>1</v>
      </c>
    </row>
    <row r="22" spans="1:29" ht="15">
      <c r="A22" s="375"/>
      <c r="B22" s="398" t="s">
        <v>2290</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60"/>
      <c r="Q22" s="1392" t="str">
        <f>B22</f>
        <v>楼层</v>
      </c>
      <c r="R22" s="676" t="s">
        <v>17</v>
      </c>
      <c r="S22" s="677">
        <f>F22</f>
        <v>100</v>
      </c>
      <c r="T22" s="676" t="s">
        <v>17</v>
      </c>
      <c r="U22" s="677">
        <f>H22</f>
        <v>100</v>
      </c>
      <c r="V22" s="676" t="s">
        <v>17</v>
      </c>
      <c r="W22" s="677">
        <f>J22</f>
        <v>100</v>
      </c>
      <c r="X22" s="1394"/>
      <c r="Y22" s="3260"/>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60"/>
      <c r="Q23" s="1392">
        <f>B23</f>
        <v>111</v>
      </c>
      <c r="R23" s="676" t="s">
        <v>17</v>
      </c>
      <c r="S23" s="677">
        <f>F23</f>
        <v>100</v>
      </c>
      <c r="T23" s="676" t="s">
        <v>17</v>
      </c>
      <c r="U23" s="677">
        <f>H23</f>
        <v>100</v>
      </c>
      <c r="V23" s="676" t="s">
        <v>17</v>
      </c>
      <c r="W23" s="677">
        <f>J23</f>
        <v>100</v>
      </c>
      <c r="X23" s="1394"/>
      <c r="Y23" s="3260"/>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60"/>
      <c r="Q24" s="1392">
        <f t="shared" ref="Q24:Q34" si="8">B24</f>
        <v>111</v>
      </c>
      <c r="R24" s="676" t="s">
        <v>17</v>
      </c>
      <c r="S24" s="677">
        <f>F24</f>
        <v>100</v>
      </c>
      <c r="T24" s="676" t="s">
        <v>17</v>
      </c>
      <c r="U24" s="677">
        <f>H24</f>
        <v>100</v>
      </c>
      <c r="V24" s="676" t="s">
        <v>17</v>
      </c>
      <c r="W24" s="677">
        <f>J24</f>
        <v>100</v>
      </c>
      <c r="X24" s="1394"/>
      <c r="Y24" s="3260"/>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4"/>
      <c r="N25" s="2604"/>
      <c r="O25" s="2707"/>
      <c r="P25" s="3260"/>
      <c r="Q25" s="538">
        <f t="shared" si="8"/>
        <v>111</v>
      </c>
      <c r="R25" s="673" t="s">
        <v>17</v>
      </c>
      <c r="S25" s="674">
        <f>F25</f>
        <v>100</v>
      </c>
      <c r="T25" s="673" t="s">
        <v>17</v>
      </c>
      <c r="U25" s="674">
        <f>H25</f>
        <v>100</v>
      </c>
      <c r="V25" s="673" t="s">
        <v>17</v>
      </c>
      <c r="W25" s="674">
        <f>J25</f>
        <v>100</v>
      </c>
      <c r="X25" s="675"/>
      <c r="Y25" s="3260"/>
      <c r="Z25" s="53">
        <f>Q25</f>
        <v>111</v>
      </c>
      <c r="AA25" s="1393">
        <f>D25/F25</f>
        <v>1</v>
      </c>
      <c r="AB25" s="1393">
        <f>D25/H25</f>
        <v>1</v>
      </c>
      <c r="AC25" s="1393">
        <f>D25/J25</f>
        <v>1</v>
      </c>
    </row>
    <row r="26" spans="1:29" ht="29.25">
      <c r="A26" s="412" t="s">
        <v>2142</v>
      </c>
      <c r="B26" s="64" t="s">
        <v>2293</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317" t="s">
        <v>2144</v>
      </c>
      <c r="Q26" s="1392" t="str">
        <f t="shared" si="8"/>
        <v>公共部分装修</v>
      </c>
      <c r="R26" s="676" t="s">
        <v>17</v>
      </c>
      <c r="S26" s="677">
        <f t="shared" ref="S26:S34" si="9">F26</f>
        <v>100</v>
      </c>
      <c r="T26" s="676" t="s">
        <v>17</v>
      </c>
      <c r="U26" s="677">
        <f t="shared" ref="U26:U34" si="10">H26</f>
        <v>100</v>
      </c>
      <c r="V26" s="676" t="s">
        <v>17</v>
      </c>
      <c r="W26" s="677">
        <f t="shared" ref="W26:W34" si="11">J26</f>
        <v>100</v>
      </c>
      <c r="X26" s="1394"/>
      <c r="Y26" s="3264" t="s">
        <v>2144</v>
      </c>
      <c r="Z26" s="1393" t="str">
        <f t="shared" ref="Z26:Z34" si="12">Q26</f>
        <v>公共部分装修</v>
      </c>
      <c r="AA26" s="1393">
        <f t="shared" si="3"/>
        <v>1</v>
      </c>
      <c r="AB26" s="1393">
        <f t="shared" si="4"/>
        <v>1</v>
      </c>
      <c r="AC26" s="1393">
        <f t="shared" si="5"/>
        <v>1</v>
      </c>
    </row>
    <row r="27" spans="1:29" s="416" customFormat="1" ht="15">
      <c r="A27" s="414"/>
      <c r="B27" s="370" t="s">
        <v>2294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64"/>
      <c r="Q27" s="539" t="str">
        <f t="shared" si="8"/>
        <v>成新率</v>
      </c>
      <c r="R27" s="678" t="s">
        <v>17</v>
      </c>
      <c r="S27" s="679" t="e">
        <f t="shared" si="9"/>
        <v>#N/A</v>
      </c>
      <c r="T27" s="678" t="s">
        <v>17</v>
      </c>
      <c r="U27" s="679" t="e">
        <f t="shared" si="10"/>
        <v>#N/A</v>
      </c>
      <c r="V27" s="678" t="s">
        <v>17</v>
      </c>
      <c r="W27" s="679" t="e">
        <f t="shared" si="11"/>
        <v>#N/A</v>
      </c>
      <c r="X27" s="680"/>
      <c r="Y27" s="3264"/>
      <c r="Z27" s="681" t="str">
        <f t="shared" si="12"/>
        <v>成新率</v>
      </c>
      <c r="AA27" s="1393" t="e">
        <f t="shared" si="3"/>
        <v>#N/A</v>
      </c>
      <c r="AB27" s="1393" t="e">
        <f t="shared" si="4"/>
        <v>#N/A</v>
      </c>
      <c r="AC27" s="1393" t="e">
        <f t="shared" si="5"/>
        <v>#N/A</v>
      </c>
    </row>
    <row r="28" spans="1:29" ht="15">
      <c r="A28" s="417"/>
      <c r="B28" s="370" t="s">
        <v>2295</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64"/>
      <c r="Q28" s="1392" t="str">
        <f t="shared" si="8"/>
        <v>物业等级</v>
      </c>
      <c r="R28" s="676" t="s">
        <v>17</v>
      </c>
      <c r="S28" s="677">
        <f t="shared" si="9"/>
        <v>100</v>
      </c>
      <c r="T28" s="676" t="s">
        <v>17</v>
      </c>
      <c r="U28" s="677">
        <f t="shared" si="10"/>
        <v>100</v>
      </c>
      <c r="V28" s="676" t="s">
        <v>17</v>
      </c>
      <c r="W28" s="677">
        <f t="shared" si="11"/>
        <v>100</v>
      </c>
      <c r="X28" s="1394"/>
      <c r="Y28" s="3264"/>
      <c r="Z28" s="1393" t="str">
        <f t="shared" si="12"/>
        <v>物业等级</v>
      </c>
      <c r="AA28" s="1393">
        <f t="shared" si="3"/>
        <v>1</v>
      </c>
      <c r="AB28" s="1393">
        <f t="shared" si="4"/>
        <v>1</v>
      </c>
      <c r="AC28" s="1393">
        <f t="shared" si="5"/>
        <v>1</v>
      </c>
    </row>
    <row r="29" spans="1:29" ht="15">
      <c r="A29" s="417"/>
      <c r="B29" s="370" t="s">
        <v>2316</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64"/>
      <c r="Q29" s="1392" t="str">
        <f t="shared" si="8"/>
        <v>有无电梯</v>
      </c>
      <c r="R29" s="676" t="s">
        <v>17</v>
      </c>
      <c r="S29" s="677">
        <f t="shared" si="9"/>
        <v>100</v>
      </c>
      <c r="T29" s="676" t="s">
        <v>17</v>
      </c>
      <c r="U29" s="677">
        <f t="shared" si="10"/>
        <v>100</v>
      </c>
      <c r="V29" s="676" t="s">
        <v>17</v>
      </c>
      <c r="W29" s="677">
        <f t="shared" si="11"/>
        <v>100</v>
      </c>
      <c r="X29" s="1394"/>
      <c r="Y29" s="3264"/>
      <c r="Z29" s="1393" t="str">
        <f t="shared" si="12"/>
        <v>有无电梯</v>
      </c>
      <c r="AA29" s="1393">
        <f t="shared" si="3"/>
        <v>1</v>
      </c>
      <c r="AB29" s="1393">
        <f t="shared" si="4"/>
        <v>1</v>
      </c>
      <c r="AC29" s="1393">
        <f t="shared" si="5"/>
        <v>1</v>
      </c>
    </row>
    <row r="30" spans="1:29" ht="15">
      <c r="A30" s="417"/>
      <c r="B30" s="370" t="s">
        <v>2317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64"/>
      <c r="Q30" s="1392" t="str">
        <f t="shared" si="8"/>
        <v>建筑面积</v>
      </c>
      <c r="R30" s="676" t="s">
        <v>17</v>
      </c>
      <c r="S30" s="677" t="e">
        <f t="shared" si="9"/>
        <v>#N/A</v>
      </c>
      <c r="T30" s="676" t="s">
        <v>17</v>
      </c>
      <c r="U30" s="677" t="e">
        <f t="shared" si="10"/>
        <v>#N/A</v>
      </c>
      <c r="V30" s="676" t="s">
        <v>17</v>
      </c>
      <c r="W30" s="677" t="e">
        <f t="shared" si="11"/>
        <v>#N/A</v>
      </c>
      <c r="X30" s="1394"/>
      <c r="Y30" s="3264"/>
      <c r="Z30" s="1393" t="str">
        <f t="shared" si="12"/>
        <v>建筑面积</v>
      </c>
      <c r="AA30" s="1393" t="e">
        <f t="shared" si="3"/>
        <v>#N/A</v>
      </c>
      <c r="AB30" s="1393" t="e">
        <f t="shared" si="4"/>
        <v>#N/A</v>
      </c>
      <c r="AC30" s="1393" t="e">
        <f t="shared" si="5"/>
        <v>#N/A</v>
      </c>
    </row>
    <row r="31" spans="1:29" s="107" customFormat="1" ht="15">
      <c r="A31" s="418"/>
      <c r="B31" s="370" t="s">
        <v>2318</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4"/>
      <c r="N31" s="2604"/>
      <c r="O31" s="2707"/>
      <c r="P31" s="3264"/>
      <c r="Q31" s="538" t="str">
        <f t="shared" si="8"/>
        <v>是否封闭</v>
      </c>
      <c r="R31" s="673" t="s">
        <v>17</v>
      </c>
      <c r="S31" s="674">
        <f t="shared" si="9"/>
        <v>100</v>
      </c>
      <c r="T31" s="673" t="s">
        <v>17</v>
      </c>
      <c r="U31" s="674">
        <f t="shared" si="10"/>
        <v>100</v>
      </c>
      <c r="V31" s="673" t="s">
        <v>17</v>
      </c>
      <c r="W31" s="674">
        <f t="shared" si="11"/>
        <v>100</v>
      </c>
      <c r="X31" s="675"/>
      <c r="Y31" s="3264"/>
      <c r="Z31" s="53" t="str">
        <f t="shared" si="12"/>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64" t="s">
        <v>2144</v>
      </c>
      <c r="Q32" s="1392">
        <f t="shared" si="8"/>
        <v>111</v>
      </c>
      <c r="R32" s="676" t="s">
        <v>17</v>
      </c>
      <c r="S32" s="677">
        <f t="shared" si="9"/>
        <v>100</v>
      </c>
      <c r="T32" s="676" t="s">
        <v>17</v>
      </c>
      <c r="U32" s="677">
        <f t="shared" si="10"/>
        <v>100</v>
      </c>
      <c r="V32" s="676" t="s">
        <v>17</v>
      </c>
      <c r="W32" s="677">
        <f t="shared" si="11"/>
        <v>100</v>
      </c>
      <c r="X32" s="1394"/>
      <c r="Y32" s="3264" t="s">
        <v>2144</v>
      </c>
      <c r="Z32" s="1393">
        <f t="shared" si="12"/>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64"/>
      <c r="Q33" s="1392">
        <f t="shared" si="8"/>
        <v>111</v>
      </c>
      <c r="R33" s="676" t="s">
        <v>17</v>
      </c>
      <c r="S33" s="677">
        <f t="shared" si="9"/>
        <v>100</v>
      </c>
      <c r="T33" s="676" t="s">
        <v>17</v>
      </c>
      <c r="U33" s="677">
        <f t="shared" si="10"/>
        <v>100</v>
      </c>
      <c r="V33" s="676" t="s">
        <v>17</v>
      </c>
      <c r="W33" s="677">
        <f t="shared" si="11"/>
        <v>100</v>
      </c>
      <c r="X33" s="1394"/>
      <c r="Y33" s="3264"/>
      <c r="Z33" s="1393">
        <f t="shared" si="12"/>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64"/>
      <c r="Q34" s="1392">
        <f t="shared" si="8"/>
        <v>111</v>
      </c>
      <c r="R34" s="676" t="s">
        <v>17</v>
      </c>
      <c r="S34" s="677">
        <f t="shared" si="9"/>
        <v>100</v>
      </c>
      <c r="T34" s="676" t="s">
        <v>17</v>
      </c>
      <c r="U34" s="677">
        <f t="shared" si="10"/>
        <v>100</v>
      </c>
      <c r="V34" s="676" t="s">
        <v>17</v>
      </c>
      <c r="W34" s="677">
        <f t="shared" si="11"/>
        <v>100</v>
      </c>
      <c r="X34" s="1394"/>
      <c r="Y34" s="3264"/>
      <c r="Z34" s="1393">
        <f t="shared" si="12"/>
        <v>111</v>
      </c>
      <c r="AA34" s="1393">
        <f t="shared" si="3"/>
        <v>1</v>
      </c>
      <c r="AB34" s="1393">
        <f t="shared" si="4"/>
        <v>1</v>
      </c>
      <c r="AC34" s="1393">
        <f t="shared" si="5"/>
        <v>1</v>
      </c>
    </row>
    <row r="35" spans="1:30" ht="15">
      <c r="A35" s="424" t="s">
        <v>2156</v>
      </c>
      <c r="B35" s="425"/>
      <c r="C35" s="1191" t="s">
        <v>1</v>
      </c>
      <c r="D35" s="426"/>
      <c r="E35" s="427"/>
      <c r="F35" s="428"/>
      <c r="G35" s="429"/>
      <c r="H35" s="430"/>
      <c r="I35" s="427"/>
      <c r="J35" s="430"/>
      <c r="K35" s="683"/>
      <c r="L35" s="2661"/>
      <c r="M35" s="2654"/>
      <c r="N35" s="2654"/>
      <c r="O35" s="2654"/>
      <c r="P35" s="3266" t="str">
        <f>A35</f>
        <v>成交单价（元/平方米）</v>
      </c>
      <c r="Q35" s="3266"/>
      <c r="R35" s="3252">
        <f>E35</f>
        <v>0</v>
      </c>
      <c r="S35" s="3252"/>
      <c r="T35" s="3252">
        <f>G35</f>
        <v>0</v>
      </c>
      <c r="U35" s="3252"/>
      <c r="V35" s="3252">
        <f>I35</f>
        <v>0</v>
      </c>
      <c r="W35" s="3252"/>
      <c r="X35" s="393"/>
      <c r="Y35" s="682"/>
      <c r="Z35" s="393"/>
      <c r="AA35" s="393"/>
      <c r="AB35" s="393"/>
      <c r="AC35" s="393"/>
    </row>
    <row r="36" spans="1:30" ht="15.75" thickBot="1">
      <c r="A36" s="431" t="s">
        <v>2248</v>
      </c>
      <c r="B36" s="432"/>
      <c r="C36" s="1192" t="e">
        <f>R37</f>
        <v>#DIV/0!</v>
      </c>
      <c r="D36" s="2301" t="s">
        <v>2638</v>
      </c>
      <c r="E36" s="1193" t="e">
        <f>R36</f>
        <v>#DIV/0!</v>
      </c>
      <c r="F36" s="2302"/>
      <c r="G36" s="1192" t="e">
        <f>T36</f>
        <v>#DIV/0!</v>
      </c>
      <c r="H36" s="2302"/>
      <c r="I36" s="1193" t="e">
        <f>V36</f>
        <v>#DIV/0!</v>
      </c>
      <c r="J36" s="2302"/>
      <c r="K36" s="2304">
        <f>F36+H36+J36</f>
        <v>0</v>
      </c>
      <c r="L36" s="2661"/>
      <c r="M36" s="2654"/>
      <c r="N36" s="2654"/>
      <c r="O36" s="2654"/>
      <c r="P36" s="3266" t="str">
        <f>A36</f>
        <v>比较价值（元/平方米）</v>
      </c>
      <c r="Q36" s="3266"/>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393"/>
      <c r="Y36" s="393"/>
      <c r="Z36" s="393"/>
      <c r="AA36" s="393"/>
      <c r="AB36" s="393"/>
      <c r="AC36" s="393"/>
    </row>
    <row r="37" spans="1:30" ht="15.75" thickBot="1">
      <c r="A37" s="435" t="s">
        <v>2249</v>
      </c>
      <c r="B37" s="436"/>
      <c r="C37" s="357" t="e">
        <f>R37</f>
        <v>#DIV/0!</v>
      </c>
      <c r="D37" s="357"/>
      <c r="E37" s="357"/>
      <c r="F37" s="357"/>
      <c r="G37" s="357"/>
      <c r="H37" s="357"/>
      <c r="I37" s="357"/>
      <c r="J37" s="357"/>
      <c r="K37" s="684"/>
      <c r="L37" s="2661"/>
      <c r="M37" s="2654"/>
      <c r="N37" s="2654"/>
      <c r="O37" s="2654"/>
      <c r="P37" s="3267" t="str">
        <f>A37</f>
        <v>估价对象XX用房的比较价值（楼面单价，元/平方米）</v>
      </c>
      <c r="Q37" s="3268"/>
      <c r="R37" s="3318" t="e">
        <f>IF(F1="售价",ROUND(IF(D36="简单平均",AVERAGE(R36:W36),R36*F36+T36*H36+V36*J36),0),ROUND(IF(D36="简单平均",AVERAGE(R36:V36),R36*F36+T36*H36+V36*J36),1))</f>
        <v>#DIV/0!</v>
      </c>
      <c r="S37" s="3318"/>
      <c r="T37" s="3318"/>
      <c r="U37" s="3318"/>
      <c r="V37" s="3318"/>
      <c r="W37" s="3318"/>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75" thickBot="1">
      <c r="A45" s="667" t="s">
        <v>2253</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ht="15">
      <c r="A46" s="448" t="s">
        <v>2127</v>
      </c>
      <c r="B46" s="449"/>
      <c r="C46" s="1213" t="str">
        <f>YEAR(C7)&amp;"-"&amp;MONTH(C7)</f>
        <v>2022-12</v>
      </c>
      <c r="D46" s="1214">
        <f>EDATE(C46,-1)</f>
        <v>44866</v>
      </c>
      <c r="E46" s="1214">
        <f t="shared" ref="E46:O46" si="13">EDATE(D46,-1)</f>
        <v>44835</v>
      </c>
      <c r="F46" s="1214">
        <f t="shared" si="13"/>
        <v>44805</v>
      </c>
      <c r="G46" s="1214">
        <f t="shared" si="13"/>
        <v>44774</v>
      </c>
      <c r="H46" s="1214">
        <f t="shared" si="13"/>
        <v>44743</v>
      </c>
      <c r="I46" s="1214">
        <f t="shared" si="13"/>
        <v>44713</v>
      </c>
      <c r="J46" s="1214">
        <f t="shared" si="13"/>
        <v>44682</v>
      </c>
      <c r="K46" s="1214">
        <f t="shared" si="13"/>
        <v>44652</v>
      </c>
      <c r="L46" s="1214">
        <f t="shared" si="13"/>
        <v>44621</v>
      </c>
      <c r="M46" s="1214">
        <f t="shared" si="13"/>
        <v>44593</v>
      </c>
      <c r="N46" s="1214">
        <f t="shared" si="13"/>
        <v>44562</v>
      </c>
      <c r="O46" s="1214">
        <f t="shared" si="13"/>
        <v>44531</v>
      </c>
      <c r="P46" s="2677"/>
      <c r="Q46" s="2677"/>
      <c r="R46" s="2677"/>
      <c r="S46" s="2677"/>
      <c r="T46" s="2677"/>
      <c r="U46" s="2677"/>
      <c r="V46" s="2677"/>
      <c r="W46" s="2677"/>
      <c r="X46" s="2677"/>
      <c r="Y46" s="2677"/>
      <c r="Z46" s="2677"/>
      <c r="AA46" s="2677"/>
      <c r="AB46" s="2677"/>
      <c r="AC46" s="2677"/>
      <c r="AD46" s="2677"/>
    </row>
    <row r="47" spans="1:30" s="107" customFormat="1" ht="15">
      <c r="A47" s="451"/>
      <c r="B47" s="452"/>
      <c r="C47" s="1212">
        <v>100</v>
      </c>
      <c r="D47" s="454"/>
      <c r="E47" s="454"/>
      <c r="F47" s="454"/>
      <c r="G47" s="454"/>
      <c r="H47" s="454"/>
      <c r="I47" s="454"/>
      <c r="J47" s="454"/>
      <c r="K47" s="454"/>
      <c r="L47" s="454"/>
      <c r="M47" s="455"/>
      <c r="N47" s="454"/>
      <c r="O47" s="456"/>
      <c r="P47" s="2675"/>
      <c r="Q47" s="2604"/>
      <c r="R47" s="2604"/>
      <c r="S47" s="2604"/>
      <c r="T47" s="2604"/>
      <c r="U47" s="2604"/>
      <c r="V47" s="2604"/>
      <c r="W47" s="2604"/>
      <c r="X47" s="2604"/>
      <c r="Y47" s="2604"/>
      <c r="Z47" s="2604"/>
      <c r="AA47" s="2604"/>
      <c r="AB47" s="2604"/>
      <c r="AC47" s="2604"/>
      <c r="AD47" s="2604"/>
    </row>
    <row r="48" spans="1:30" s="107" customFormat="1" ht="15.75" thickBot="1">
      <c r="A48" s="457" t="s">
        <v>2164</v>
      </c>
      <c r="B48" s="458"/>
      <c r="C48" s="459"/>
      <c r="D48" s="460"/>
      <c r="E48" s="460"/>
      <c r="F48" s="460"/>
      <c r="G48" s="460"/>
      <c r="H48" s="460"/>
      <c r="I48" s="460"/>
      <c r="J48" s="460"/>
      <c r="K48" s="460"/>
      <c r="L48" s="460"/>
      <c r="M48" s="461"/>
      <c r="N48" s="460"/>
      <c r="O48" s="462"/>
      <c r="P48" s="2675"/>
      <c r="Q48" s="2675"/>
      <c r="R48" s="2604"/>
      <c r="S48" s="2604"/>
      <c r="T48" s="2604"/>
      <c r="U48" s="2604"/>
      <c r="V48" s="2604"/>
      <c r="W48" s="2604"/>
      <c r="X48" s="2604"/>
      <c r="Y48" s="2604"/>
      <c r="Z48" s="2604"/>
      <c r="AA48" s="2604"/>
      <c r="AB48" s="2604"/>
      <c r="AC48" s="2604"/>
      <c r="AD48" s="2604"/>
    </row>
    <row r="49" spans="1:30" s="107" customFormat="1" ht="15">
      <c r="A49" s="463" t="s">
        <v>2129</v>
      </c>
      <c r="B49" s="452"/>
      <c r="C49" s="464" t="s">
        <v>2231</v>
      </c>
      <c r="D49" s="34"/>
      <c r="E49" s="34"/>
      <c r="F49" s="34"/>
      <c r="G49" s="34"/>
      <c r="H49" s="34"/>
      <c r="I49" s="34"/>
      <c r="J49" s="34"/>
      <c r="K49" s="34"/>
      <c r="L49" s="465"/>
      <c r="M49" s="466"/>
      <c r="N49" s="2687"/>
      <c r="O49" s="2687"/>
      <c r="P49" s="2711"/>
      <c r="Q49" s="2675"/>
      <c r="R49" s="2604"/>
      <c r="S49" s="2604"/>
      <c r="T49" s="2604"/>
      <c r="U49" s="2604"/>
      <c r="V49" s="2604"/>
      <c r="W49" s="2604"/>
      <c r="X49" s="2604"/>
      <c r="Y49" s="2604"/>
      <c r="Z49" s="2604"/>
      <c r="AA49" s="2604"/>
      <c r="AB49" s="2604"/>
      <c r="AC49" s="2604"/>
      <c r="AD49" s="2604"/>
    </row>
    <row r="50" spans="1:30" s="107" customFormat="1" ht="15.75" thickBot="1">
      <c r="A50" s="463"/>
      <c r="B50" s="452"/>
      <c r="C50" s="571">
        <v>100</v>
      </c>
      <c r="D50" s="454"/>
      <c r="E50" s="454"/>
      <c r="F50" s="454"/>
      <c r="G50" s="454"/>
      <c r="H50" s="454"/>
      <c r="I50" s="454"/>
      <c r="J50" s="454"/>
      <c r="K50" s="454"/>
      <c r="L50" s="454"/>
      <c r="M50" s="456"/>
      <c r="N50" s="2687"/>
      <c r="O50" s="2687"/>
      <c r="P50" s="2675"/>
      <c r="Q50" s="2675"/>
      <c r="R50" s="2604"/>
      <c r="S50" s="2604"/>
      <c r="T50" s="2604"/>
      <c r="U50" s="2604"/>
      <c r="V50" s="2604"/>
      <c r="W50" s="2604"/>
      <c r="X50" s="2604"/>
      <c r="Y50" s="2604"/>
      <c r="Z50" s="2604"/>
      <c r="AA50" s="2604"/>
      <c r="AB50" s="2604"/>
      <c r="AC50" s="2604"/>
      <c r="AD50" s="2604"/>
    </row>
    <row r="51" spans="1:30">
      <c r="A51" s="387" t="s">
        <v>2167</v>
      </c>
      <c r="B51" s="468" t="s">
        <v>2133</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5.7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7.75" thickTop="1">
      <c r="A53" s="375"/>
      <c r="B53" s="477" t="s">
        <v>2136</v>
      </c>
      <c r="C53" s="478" t="s">
        <v>2168</v>
      </c>
      <c r="D53" s="478" t="s">
        <v>2169</v>
      </c>
      <c r="E53" s="478" t="s">
        <v>2170</v>
      </c>
      <c r="F53" s="478" t="s">
        <v>2171</v>
      </c>
      <c r="G53" s="478" t="s">
        <v>2172</v>
      </c>
      <c r="H53" s="478" t="s">
        <v>2173</v>
      </c>
      <c r="I53" s="478" t="s">
        <v>2174</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5.7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5.7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5.7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5.7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5.7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5.7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5" thickTop="1">
      <c r="A61" s="387" t="s">
        <v>2138</v>
      </c>
      <c r="B61" s="468" t="s">
        <v>2181</v>
      </c>
      <c r="C61" s="512" t="s">
        <v>2176</v>
      </c>
      <c r="D61" s="512" t="s">
        <v>2177</v>
      </c>
      <c r="E61" s="512" t="s">
        <v>2178</v>
      </c>
      <c r="F61" s="512" t="s">
        <v>2179</v>
      </c>
      <c r="G61" s="512" t="s">
        <v>2180</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7.75" thickTop="1">
      <c r="A63" s="375"/>
      <c r="B63" s="477" t="s">
        <v>2319</v>
      </c>
      <c r="C63" s="517" t="s">
        <v>2176</v>
      </c>
      <c r="D63" s="517" t="s">
        <v>2177</v>
      </c>
      <c r="E63" s="517" t="s">
        <v>2178</v>
      </c>
      <c r="F63" s="517" t="s">
        <v>2179</v>
      </c>
      <c r="G63" s="517" t="s">
        <v>2180</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5.75" thickTop="1">
      <c r="A65" s="375"/>
      <c r="B65" s="485" t="s">
        <v>2268</v>
      </c>
      <c r="C65" s="589" t="s">
        <v>2254</v>
      </c>
      <c r="D65" s="589" t="s">
        <v>2255</v>
      </c>
      <c r="E65" s="589" t="s">
        <v>2256</v>
      </c>
      <c r="F65" s="589" t="s">
        <v>2257</v>
      </c>
      <c r="G65" s="589" t="s">
        <v>2258</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5.75" thickTop="1">
      <c r="A67" s="375"/>
      <c r="B67" s="477" t="s">
        <v>2188</v>
      </c>
      <c r="C67" s="517" t="s">
        <v>2176</v>
      </c>
      <c r="D67" s="517" t="s">
        <v>2177</v>
      </c>
      <c r="E67" s="517" t="s">
        <v>2178</v>
      </c>
      <c r="F67" s="517" t="s">
        <v>2179</v>
      </c>
      <c r="G67" s="517" t="s">
        <v>2180</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5.75" thickTop="1">
      <c r="A69" s="375"/>
      <c r="B69" s="477" t="s">
        <v>2308</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5.7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5.75" thickTop="1">
      <c r="A71" s="378"/>
      <c r="B71" s="477">
        <f>B23</f>
        <v>111</v>
      </c>
      <c r="C71" s="488"/>
      <c r="D71" s="488"/>
      <c r="E71" s="488"/>
      <c r="F71" s="488"/>
      <c r="G71" s="493"/>
      <c r="H71" s="493"/>
      <c r="I71" s="493"/>
      <c r="J71" s="493"/>
      <c r="K71" s="493"/>
      <c r="L71" s="518"/>
      <c r="M71" s="519"/>
      <c r="N71" s="2687"/>
      <c r="O71" s="2687"/>
      <c r="P71" s="2687"/>
      <c r="Q71" s="2675"/>
      <c r="R71" s="2604"/>
      <c r="S71" s="2604"/>
      <c r="T71" s="2604"/>
      <c r="U71" s="2604"/>
      <c r="V71" s="2604"/>
      <c r="W71" s="2604"/>
      <c r="X71" s="2604"/>
      <c r="Y71" s="2604"/>
      <c r="Z71" s="2604"/>
      <c r="AA71" s="2604"/>
      <c r="AB71" s="2604"/>
      <c r="AC71" s="2604"/>
      <c r="AD71" s="2604"/>
    </row>
    <row r="72" spans="1:30" s="107" customFormat="1" ht="15.75" thickBot="1">
      <c r="A72" s="378"/>
      <c r="B72" s="482"/>
      <c r="C72" s="499"/>
      <c r="D72" s="475"/>
      <c r="E72" s="475"/>
      <c r="F72" s="475"/>
      <c r="G72" s="475"/>
      <c r="H72" s="475"/>
      <c r="I72" s="475"/>
      <c r="J72" s="475"/>
      <c r="K72" s="475"/>
      <c r="L72" s="475"/>
      <c r="M72" s="476"/>
      <c r="N72" s="2689"/>
      <c r="O72" s="2689"/>
      <c r="P72" s="2687"/>
      <c r="Q72" s="2675"/>
      <c r="R72" s="2604"/>
      <c r="S72" s="2604"/>
      <c r="T72" s="2604"/>
      <c r="U72" s="2604"/>
      <c r="V72" s="2604"/>
      <c r="W72" s="2604"/>
      <c r="X72" s="2604"/>
      <c r="Y72" s="2604"/>
      <c r="Z72" s="2604"/>
      <c r="AA72" s="2604"/>
      <c r="AB72" s="2604"/>
      <c r="AC72" s="2604"/>
      <c r="AD72" s="2604"/>
    </row>
    <row r="73" spans="1:30" s="107" customFormat="1" ht="15.75" thickTop="1">
      <c r="A73" s="378"/>
      <c r="B73" s="477">
        <f>B24</f>
        <v>111</v>
      </c>
      <c r="C73" s="488"/>
      <c r="D73" s="488"/>
      <c r="E73" s="488"/>
      <c r="F73" s="488"/>
      <c r="G73" s="493"/>
      <c r="H73" s="493"/>
      <c r="I73" s="493"/>
      <c r="J73" s="493"/>
      <c r="K73" s="493"/>
      <c r="L73" s="493"/>
      <c r="M73" s="519"/>
      <c r="N73" s="2687"/>
      <c r="O73" s="2687"/>
      <c r="P73" s="2687"/>
      <c r="Q73" s="2675"/>
      <c r="R73" s="2604"/>
      <c r="S73" s="2604"/>
      <c r="T73" s="2604"/>
      <c r="U73" s="2604"/>
      <c r="V73" s="2604"/>
      <c r="W73" s="2604"/>
      <c r="X73" s="2604"/>
      <c r="Y73" s="2604"/>
      <c r="Z73" s="2604"/>
      <c r="AA73" s="2604"/>
      <c r="AB73" s="2604"/>
      <c r="AC73" s="2604"/>
      <c r="AD73" s="2604"/>
    </row>
    <row r="74" spans="1:30" s="107" customFormat="1" ht="15.75" thickBot="1">
      <c r="A74" s="378"/>
      <c r="B74" s="482"/>
      <c r="C74" s="499"/>
      <c r="D74" s="475"/>
      <c r="E74" s="475"/>
      <c r="F74" s="475"/>
      <c r="G74" s="475"/>
      <c r="H74" s="475"/>
      <c r="I74" s="475"/>
      <c r="J74" s="475"/>
      <c r="K74" s="475"/>
      <c r="L74" s="475"/>
      <c r="M74" s="476"/>
      <c r="N74" s="2689"/>
      <c r="O74" s="2689"/>
      <c r="P74" s="2687"/>
      <c r="Q74" s="2675"/>
      <c r="R74" s="2604"/>
      <c r="S74" s="2604"/>
      <c r="T74" s="2604"/>
      <c r="U74" s="2604"/>
      <c r="V74" s="2604"/>
      <c r="W74" s="2604"/>
      <c r="X74" s="2604"/>
      <c r="Y74" s="2604"/>
      <c r="Z74" s="2604"/>
      <c r="AA74" s="2604"/>
      <c r="AB74" s="2604"/>
      <c r="AC74" s="2604"/>
      <c r="AD74" s="2604"/>
    </row>
    <row r="75" spans="1:30" s="416" customFormat="1" ht="15.7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5.7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5" thickTop="1">
      <c r="A77" s="387" t="s">
        <v>2142</v>
      </c>
      <c r="B77" s="468" t="s">
        <v>2195</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5.75" thickBot="1">
      <c r="A78" s="375"/>
      <c r="B78" s="482"/>
      <c r="C78" s="483">
        <v>100</v>
      </c>
      <c r="D78" s="483">
        <f t="shared" ref="D78:M78" si="14">C78-$K26</f>
        <v>100</v>
      </c>
      <c r="E78" s="483">
        <f t="shared" si="14"/>
        <v>100</v>
      </c>
      <c r="F78" s="483">
        <f t="shared" si="14"/>
        <v>100</v>
      </c>
      <c r="G78" s="483">
        <f t="shared" si="14"/>
        <v>100</v>
      </c>
      <c r="H78" s="483">
        <f t="shared" si="14"/>
        <v>100</v>
      </c>
      <c r="I78" s="483">
        <f t="shared" si="14"/>
        <v>100</v>
      </c>
      <c r="J78" s="483">
        <f t="shared" si="14"/>
        <v>100</v>
      </c>
      <c r="K78" s="483">
        <f t="shared" si="14"/>
        <v>100</v>
      </c>
      <c r="L78" s="483">
        <f t="shared" si="14"/>
        <v>100</v>
      </c>
      <c r="M78" s="484">
        <f t="shared" si="14"/>
        <v>100</v>
      </c>
      <c r="N78" s="2689"/>
      <c r="O78" s="2689"/>
      <c r="P78" s="2687"/>
      <c r="Q78" s="2675"/>
      <c r="R78" s="2654"/>
      <c r="S78" s="2654"/>
      <c r="T78" s="2654"/>
      <c r="U78" s="2654"/>
      <c r="V78" s="2654"/>
      <c r="W78" s="2654"/>
      <c r="X78" s="2654"/>
      <c r="Y78" s="2654"/>
      <c r="Z78" s="2654"/>
      <c r="AA78" s="2654"/>
      <c r="AB78" s="2654"/>
      <c r="AC78" s="2654"/>
      <c r="AD78" s="2654"/>
    </row>
    <row r="79" spans="1:30" ht="15.75" thickTop="1">
      <c r="A79" s="375"/>
      <c r="B79" s="477" t="s">
        <v>2311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ht="15">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5.75" thickBot="1">
      <c r="A81" s="492"/>
      <c r="B81" s="482"/>
      <c r="C81" s="520">
        <v>100</v>
      </c>
      <c r="D81" s="483">
        <f t="shared" ref="D81:M81" si="15">C81+$K27</f>
        <v>100</v>
      </c>
      <c r="E81" s="483">
        <f t="shared" si="15"/>
        <v>100</v>
      </c>
      <c r="F81" s="483">
        <f t="shared" si="15"/>
        <v>100</v>
      </c>
      <c r="G81" s="483">
        <f t="shared" si="15"/>
        <v>100</v>
      </c>
      <c r="H81" s="483">
        <f t="shared" si="15"/>
        <v>100</v>
      </c>
      <c r="I81" s="483">
        <f t="shared" si="15"/>
        <v>100</v>
      </c>
      <c r="J81" s="483">
        <f t="shared" si="15"/>
        <v>100</v>
      </c>
      <c r="K81" s="483">
        <f t="shared" si="15"/>
        <v>100</v>
      </c>
      <c r="L81" s="483">
        <f t="shared" si="15"/>
        <v>100</v>
      </c>
      <c r="M81" s="483">
        <f t="shared" si="15"/>
        <v>100</v>
      </c>
      <c r="N81" s="2689"/>
      <c r="O81" s="2689"/>
      <c r="P81" s="2690"/>
      <c r="Q81" s="2682"/>
      <c r="R81" s="2660"/>
      <c r="S81" s="2660"/>
      <c r="T81" s="2660"/>
      <c r="U81" s="2660"/>
      <c r="V81" s="2660"/>
      <c r="W81" s="2660"/>
      <c r="X81" s="2660"/>
      <c r="Y81" s="2660"/>
      <c r="Z81" s="2660"/>
      <c r="AA81" s="2660"/>
      <c r="AB81" s="2660"/>
      <c r="AC81" s="2660"/>
      <c r="AD81" s="2660"/>
    </row>
    <row r="82" spans="1:30" ht="15" thickTop="1">
      <c r="A82" s="417"/>
      <c r="B82" s="485" t="s">
        <v>2312</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5.75" thickBot="1">
      <c r="A83" s="375"/>
      <c r="B83" s="482"/>
      <c r="C83" s="483">
        <v>100</v>
      </c>
      <c r="D83" s="483">
        <f t="shared" ref="D83:M83" si="16">C83-$K28</f>
        <v>100</v>
      </c>
      <c r="E83" s="483">
        <f t="shared" si="16"/>
        <v>100</v>
      </c>
      <c r="F83" s="483">
        <f t="shared" si="16"/>
        <v>100</v>
      </c>
      <c r="G83" s="483">
        <f t="shared" si="16"/>
        <v>100</v>
      </c>
      <c r="H83" s="483">
        <f t="shared" si="16"/>
        <v>100</v>
      </c>
      <c r="I83" s="483">
        <f t="shared" si="16"/>
        <v>100</v>
      </c>
      <c r="J83" s="483">
        <f t="shared" si="16"/>
        <v>100</v>
      </c>
      <c r="K83" s="483">
        <f t="shared" si="16"/>
        <v>100</v>
      </c>
      <c r="L83" s="483">
        <f t="shared" si="16"/>
        <v>100</v>
      </c>
      <c r="M83" s="484">
        <f t="shared" si="16"/>
        <v>100</v>
      </c>
      <c r="N83" s="2689"/>
      <c r="O83" s="2689"/>
      <c r="P83" s="2687"/>
      <c r="Q83" s="2675"/>
      <c r="R83" s="2654"/>
      <c r="S83" s="2654"/>
      <c r="T83" s="2654"/>
      <c r="U83" s="2654"/>
      <c r="V83" s="2654"/>
      <c r="W83" s="2654"/>
      <c r="X83" s="2654"/>
      <c r="Y83" s="2654"/>
      <c r="Z83" s="2654"/>
      <c r="AA83" s="2654"/>
      <c r="AB83" s="2654"/>
      <c r="AC83" s="2654"/>
      <c r="AD83" s="2654"/>
    </row>
    <row r="84" spans="1:30" ht="15" thickTop="1">
      <c r="A84" s="417"/>
      <c r="B84" s="477" t="s">
        <v>2320</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5.75" thickBot="1">
      <c r="A85" s="375"/>
      <c r="B85" s="482"/>
      <c r="C85" s="520">
        <v>100</v>
      </c>
      <c r="D85" s="483">
        <f t="shared" ref="D85:M85" si="17">C85+$K29</f>
        <v>100</v>
      </c>
      <c r="E85" s="483">
        <f t="shared" si="17"/>
        <v>100</v>
      </c>
      <c r="F85" s="483">
        <f t="shared" si="17"/>
        <v>100</v>
      </c>
      <c r="G85" s="483">
        <f t="shared" si="17"/>
        <v>100</v>
      </c>
      <c r="H85" s="483">
        <f t="shared" si="17"/>
        <v>100</v>
      </c>
      <c r="I85" s="483">
        <f t="shared" si="17"/>
        <v>100</v>
      </c>
      <c r="J85" s="483">
        <f t="shared" si="17"/>
        <v>100</v>
      </c>
      <c r="K85" s="483">
        <f t="shared" si="17"/>
        <v>100</v>
      </c>
      <c r="L85" s="483">
        <f t="shared" si="17"/>
        <v>100</v>
      </c>
      <c r="M85" s="483">
        <f t="shared" si="17"/>
        <v>100</v>
      </c>
      <c r="N85" s="2689"/>
      <c r="O85" s="2689"/>
      <c r="P85" s="2687"/>
      <c r="Q85" s="2675"/>
      <c r="R85" s="2654"/>
      <c r="S85" s="2654"/>
      <c r="T85" s="2654"/>
      <c r="U85" s="2654"/>
      <c r="V85" s="2654"/>
      <c r="W85" s="2654"/>
      <c r="X85" s="2654"/>
      <c r="Y85" s="2654"/>
      <c r="Z85" s="2654"/>
      <c r="AA85" s="2654"/>
      <c r="AB85" s="2654"/>
      <c r="AC85" s="2654"/>
      <c r="AD85" s="2654"/>
    </row>
    <row r="86" spans="1:30" ht="15" thickTop="1">
      <c r="A86" s="417"/>
      <c r="B86" s="485" t="s">
        <v>2321</v>
      </c>
      <c r="C86" s="517" t="str">
        <f t="shared" ref="C86:L86" si="18">C87&amp;"(含)"&amp;"-"&amp;D87</f>
        <v>(含)-</v>
      </c>
      <c r="D86" s="517" t="str">
        <f t="shared" si="18"/>
        <v>(含)-</v>
      </c>
      <c r="E86" s="517" t="str">
        <f t="shared" si="18"/>
        <v>(含)-</v>
      </c>
      <c r="F86" s="517" t="str">
        <f t="shared" si="18"/>
        <v>(含)-</v>
      </c>
      <c r="G86" s="517" t="str">
        <f t="shared" si="18"/>
        <v>(含)-</v>
      </c>
      <c r="H86" s="517" t="str">
        <f t="shared" si="18"/>
        <v>(含)-</v>
      </c>
      <c r="I86" s="517" t="str">
        <f t="shared" si="18"/>
        <v>(含)-</v>
      </c>
      <c r="J86" s="517" t="str">
        <f t="shared" si="18"/>
        <v>(含)-</v>
      </c>
      <c r="K86" s="517" t="str">
        <f t="shared" si="18"/>
        <v>(含)-</v>
      </c>
      <c r="L86" s="517" t="str">
        <f t="shared" si="18"/>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5.7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5" thickTop="1">
      <c r="A89" s="414"/>
      <c r="B89" s="477" t="s">
        <v>2322</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5.7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5.7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5.7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5.7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C2" xr:uid="{00000000-0002-0000-2600-00000F000000}">
      <formula1>"需扣减承租人权益,——"</formula1>
    </dataValidation>
    <dataValidation type="list" allowBlank="1" showInputMessage="1" showErrorMessage="1" sqref="F2" xr:uid="{00000000-0002-0000-2600-000010000000}">
      <formula1>估价方法</formula1>
    </dataValidation>
    <dataValidation type="list" allowBlank="1" showInputMessage="1" showErrorMessage="1" sqref="D36"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25" style="1520" customWidth="1"/>
    <col min="3" max="3" width="11.375" style="1520" customWidth="1"/>
    <col min="4" max="4" width="31.75" style="1520" customWidth="1"/>
    <col min="5" max="5" width="0.5" style="1520" customWidth="1"/>
    <col min="6" max="7" width="13" style="1520" customWidth="1"/>
    <col min="8" max="16384" width="9" style="1520"/>
  </cols>
  <sheetData>
    <row r="1" spans="1:5" ht="18.75">
      <c r="A1" s="1519" t="s">
        <v>1344</v>
      </c>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估价结果一览表（市场价值不需“结果表-1”）</v>
      </c>
      <c r="B3" s="3033"/>
      <c r="C3" s="3033"/>
      <c r="D3" s="3033"/>
      <c r="E3" s="3033"/>
    </row>
    <row r="4" spans="1:5" ht="19.5" thickBot="1">
      <c r="A4" s="1521"/>
      <c r="B4" s="3031" t="s">
        <v>1353</v>
      </c>
      <c r="C4" s="3031"/>
      <c r="D4" s="3031"/>
      <c r="E4" s="1521"/>
    </row>
    <row r="5" spans="1:5" ht="16.5" thickTop="1">
      <c r="B5" s="3029" t="s">
        <v>1345</v>
      </c>
      <c r="C5" s="1522" t="s">
        <v>1346</v>
      </c>
      <c r="D5" s="882">
        <f ca="1">结果表!H101</f>
        <v>1417</v>
      </c>
    </row>
    <row r="6" spans="1:5" ht="15.75">
      <c r="B6" s="3029"/>
      <c r="C6" s="1522" t="s">
        <v>1347</v>
      </c>
      <c r="D6" s="882" t="str">
        <f ca="1">NUMBERSTRING(INT(D5*10000),2)&amp;"元整"</f>
        <v>壹仟肆佰壹拾柒万元整</v>
      </c>
    </row>
    <row r="7" spans="1:5" ht="15.75">
      <c r="B7" s="3034"/>
      <c r="C7" s="1523" t="s">
        <v>1348</v>
      </c>
      <c r="D7" s="883">
        <f ca="1">结果表!H102</f>
        <v>55359</v>
      </c>
    </row>
    <row r="8" spans="1:5" ht="15.75">
      <c r="B8" s="3035" t="str">
        <f>结果表!E103</f>
        <v>2.估价师知悉的法定优先受偿款</v>
      </c>
      <c r="C8" s="1524" t="s">
        <v>1349</v>
      </c>
      <c r="D8" s="883">
        <f>结果表!H103</f>
        <v>0</v>
      </c>
    </row>
    <row r="9" spans="1:5" ht="15.75">
      <c r="B9" s="3037"/>
      <c r="C9" s="1522" t="s">
        <v>1347</v>
      </c>
      <c r="D9" s="882" t="str">
        <f>NUMBERSTRING(INT(D8*10000),2)&amp;"元整"</f>
        <v>零元整</v>
      </c>
    </row>
    <row r="10" spans="1:5" ht="15">
      <c r="B10" s="1525" t="s">
        <v>1352</v>
      </c>
      <c r="C10" s="1526" t="s">
        <v>1350</v>
      </c>
      <c r="D10" s="884">
        <f>结果表!H104</f>
        <v>0</v>
      </c>
    </row>
    <row r="11" spans="1:5" ht="15">
      <c r="B11" s="1525" t="s">
        <v>1354</v>
      </c>
      <c r="C11" s="1526" t="s">
        <v>1355</v>
      </c>
      <c r="D11" s="884">
        <f>结果表!H105</f>
        <v>0</v>
      </c>
    </row>
    <row r="12" spans="1:5" ht="15">
      <c r="B12" s="1525" t="s">
        <v>1356</v>
      </c>
      <c r="C12" s="1526" t="s">
        <v>1355</v>
      </c>
      <c r="D12" s="884">
        <f>结果表!H106</f>
        <v>0</v>
      </c>
    </row>
    <row r="13" spans="1:5" ht="15.75">
      <c r="B13" s="3028" t="str">
        <f>结果表!E107</f>
        <v>3.房地产抵押价值</v>
      </c>
      <c r="C13" s="1527" t="s">
        <v>1346</v>
      </c>
      <c r="D13" s="885">
        <f ca="1">结果表!H107</f>
        <v>1417</v>
      </c>
    </row>
    <row r="14" spans="1:5" ht="15.75">
      <c r="B14" s="3029"/>
      <c r="C14" s="1522" t="s">
        <v>1347</v>
      </c>
      <c r="D14" s="882" t="str">
        <f ca="1">NUMBERSTRING(INT(D13*10000),2)&amp;"元整"</f>
        <v>壹仟肆佰壹拾柒万元整</v>
      </c>
    </row>
    <row r="15" spans="1:5" ht="15">
      <c r="B15" s="3034"/>
      <c r="C15" s="1523" t="s">
        <v>1357</v>
      </c>
      <c r="D15" s="891">
        <f ca="1">结果表!H108</f>
        <v>13919</v>
      </c>
    </row>
    <row r="16" spans="1:5" ht="15">
      <c r="B16" s="3035" t="str">
        <f>结果表!E109</f>
        <v>——</v>
      </c>
      <c r="C16" s="1527" t="s">
        <v>1358</v>
      </c>
      <c r="D16" s="1528" t="str">
        <f>结果表!H109</f>
        <v>——</v>
      </c>
    </row>
    <row r="17" spans="1:5" ht="15.75">
      <c r="B17" s="3036"/>
      <c r="C17" s="1522" t="s">
        <v>1359</v>
      </c>
      <c r="D17" s="882" t="e">
        <f>NUMBERSTRING(INT(D16*10000),2)&amp;"元整"</f>
        <v>#VALUE!</v>
      </c>
    </row>
    <row r="18" spans="1:5" ht="15">
      <c r="B18" s="3037"/>
      <c r="C18" s="1523" t="s">
        <v>1348</v>
      </c>
      <c r="D18" s="891" t="str">
        <f>结果表!H110</f>
        <v>——</v>
      </c>
    </row>
    <row r="19" spans="1:5" ht="15.75">
      <c r="B19" s="3028" t="str">
        <f>结果表!E111</f>
        <v>——</v>
      </c>
      <c r="C19" s="1527" t="s">
        <v>1346</v>
      </c>
      <c r="D19" s="883" t="str">
        <f>结果表!H111</f>
        <v>——</v>
      </c>
    </row>
    <row r="20" spans="1:5" ht="15.75">
      <c r="B20" s="3029"/>
      <c r="C20" s="1522" t="s">
        <v>1359</v>
      </c>
      <c r="D20" s="882" t="e">
        <f>NUMBERSTRING(INT(D19*10000),2)&amp;"元整"</f>
        <v>#VALUE!</v>
      </c>
    </row>
    <row r="21" spans="1:5" ht="15.75" thickBot="1">
      <c r="B21" s="3030"/>
      <c r="C21" s="1529" t="s">
        <v>1357</v>
      </c>
      <c r="D21" s="892" t="str">
        <f>结果表!H112</f>
        <v>——</v>
      </c>
    </row>
    <row r="22" spans="1:5" ht="15" thickTop="1">
      <c r="B22" s="1530" t="s">
        <v>1360</v>
      </c>
    </row>
    <row r="24" spans="1:5" ht="18.75">
      <c r="A24" s="1531"/>
      <c r="B24" s="1532" t="s">
        <v>1351</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F7" sqref="F7:F46"/>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2324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230" t="s">
        <v>2230</v>
      </c>
      <c r="Q4" s="3231"/>
      <c r="R4" s="3236" t="s">
        <v>2226</v>
      </c>
      <c r="S4" s="3237"/>
      <c r="T4" s="3236" t="s">
        <v>2227</v>
      </c>
      <c r="U4" s="3237"/>
      <c r="V4" s="3252" t="s">
        <v>2228</v>
      </c>
      <c r="W4" s="3252"/>
      <c r="X4" s="1394"/>
      <c r="Y4" s="3236" t="s">
        <v>2230</v>
      </c>
      <c r="Z4" s="3237"/>
      <c r="AA4" s="3223" t="s">
        <v>2226</v>
      </c>
      <c r="AB4" s="3224" t="s">
        <v>2227</v>
      </c>
      <c r="AC4" s="3223" t="s">
        <v>2228</v>
      </c>
    </row>
    <row r="5" spans="1:29" ht="15">
      <c r="A5" s="354"/>
      <c r="B5" s="355"/>
      <c r="C5" s="3240" t="s">
        <v>2121</v>
      </c>
      <c r="D5" s="3241"/>
      <c r="E5" s="3301" t="s">
        <v>2122</v>
      </c>
      <c r="F5" s="3243"/>
      <c r="G5" s="3240" t="s">
        <v>2123</v>
      </c>
      <c r="H5" s="3241"/>
      <c r="I5" s="3240" t="s">
        <v>2124</v>
      </c>
      <c r="J5" s="3241"/>
      <c r="K5" s="545"/>
      <c r="L5" s="2653"/>
      <c r="M5" s="2654"/>
      <c r="N5" s="2654"/>
      <c r="O5" s="2654"/>
      <c r="P5" s="3232"/>
      <c r="Q5" s="3233"/>
      <c r="R5" s="3238"/>
      <c r="S5" s="3239"/>
      <c r="T5" s="3238"/>
      <c r="U5" s="3239"/>
      <c r="V5" s="3252"/>
      <c r="W5" s="3252"/>
      <c r="X5" s="1394"/>
      <c r="Y5" s="3238"/>
      <c r="Z5" s="3239"/>
      <c r="AA5" s="3224"/>
      <c r="AB5" s="3224"/>
      <c r="AC5" s="3224"/>
    </row>
    <row r="6" spans="1:29" ht="15.75" thickBot="1">
      <c r="A6" s="356"/>
      <c r="B6" s="357"/>
      <c r="C6" s="3245" t="s">
        <v>2125</v>
      </c>
      <c r="D6" s="3246"/>
      <c r="E6" s="3247" t="s">
        <v>2125</v>
      </c>
      <c r="F6" s="3248"/>
      <c r="G6" s="3245" t="s">
        <v>2125</v>
      </c>
      <c r="H6" s="3246"/>
      <c r="I6" s="3245" t="s">
        <v>2125</v>
      </c>
      <c r="J6" s="3246"/>
      <c r="K6" s="545" t="s">
        <v>2126</v>
      </c>
      <c r="L6" s="2653"/>
      <c r="M6" s="2654"/>
      <c r="N6" s="2654"/>
      <c r="O6" s="2654"/>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SUMIF(69:69,YEAR(E7)&amp;"-"&amp;INT((MONTH(E7)+2)/3),70:70)</f>
        <v>0</v>
      </c>
      <c r="G7" s="1952"/>
      <c r="H7" s="361">
        <f>SUMIF(69:69,YEAR(G7)&amp;"-"&amp;INT((MONTH(G7)+2)/3),70:70)</f>
        <v>0</v>
      </c>
      <c r="I7" s="1952"/>
      <c r="J7" s="361">
        <f>SUMIF(69:69,YEAR(I7)&amp;"-"&amp;INT((MONTH(I7)+2)/3),70:70)</f>
        <v>0</v>
      </c>
      <c r="K7" s="41"/>
      <c r="L7" s="2655"/>
      <c r="M7" s="2604"/>
      <c r="N7" s="2604"/>
      <c r="O7" s="2604"/>
      <c r="P7" s="3253" t="s">
        <v>2128</v>
      </c>
      <c r="Q7" s="3254"/>
      <c r="R7" s="673" t="s">
        <v>17</v>
      </c>
      <c r="S7" s="674">
        <f t="shared" ref="S7:S15" si="0">F7</f>
        <v>0</v>
      </c>
      <c r="T7" s="673" t="s">
        <v>17</v>
      </c>
      <c r="U7" s="674">
        <f t="shared" ref="U7:U15" si="1">H7</f>
        <v>0</v>
      </c>
      <c r="V7" s="673" t="s">
        <v>17</v>
      </c>
      <c r="W7" s="674">
        <f t="shared" ref="W7:W15" si="2">J7</f>
        <v>0</v>
      </c>
      <c r="X7" s="675"/>
      <c r="Y7" s="3253" t="s">
        <v>2128</v>
      </c>
      <c r="Z7" s="3255"/>
      <c r="AA7" s="53" t="e">
        <f>D7/F7</f>
        <v>#DIV/0!</v>
      </c>
      <c r="AB7" s="53" t="e">
        <f>D7/H7</f>
        <v>#DIV/0!</v>
      </c>
      <c r="AC7" s="53" t="e">
        <f>D7/J7</f>
        <v>#DIV/0!</v>
      </c>
    </row>
    <row r="8" spans="1:29" s="107" customFormat="1" ht="15.75" thickBot="1">
      <c r="A8" s="358" t="s">
        <v>2129</v>
      </c>
      <c r="B8" s="359"/>
      <c r="C8" s="364" t="s">
        <v>2130</v>
      </c>
      <c r="D8" s="361">
        <v>100</v>
      </c>
      <c r="E8" s="364"/>
      <c r="F8" s="363">
        <f>SUMIF(72:72,E8,73:73)-SUMIF(72:72,C8,73:73)+100</f>
        <v>0</v>
      </c>
      <c r="G8" s="364"/>
      <c r="H8" s="361">
        <f>SUMIF(72:72,G8,73:73)-SUMIF(72:72,C8,73:73)+100</f>
        <v>0</v>
      </c>
      <c r="I8" s="364"/>
      <c r="J8" s="361">
        <f>SUMIF(72:72,I8,73:73)-SUMIF(72:72,C8,73:73)+100</f>
        <v>0</v>
      </c>
      <c r="K8" s="41"/>
      <c r="L8" s="2655"/>
      <c r="M8" s="2604"/>
      <c r="N8" s="2604"/>
      <c r="O8" s="2604"/>
      <c r="P8" s="3253" t="s">
        <v>2131</v>
      </c>
      <c r="Q8" s="3255"/>
      <c r="R8" s="673" t="s">
        <v>17</v>
      </c>
      <c r="S8" s="674">
        <f t="shared" si="0"/>
        <v>0</v>
      </c>
      <c r="T8" s="673" t="s">
        <v>17</v>
      </c>
      <c r="U8" s="674">
        <f t="shared" si="1"/>
        <v>0</v>
      </c>
      <c r="V8" s="673" t="s">
        <v>17</v>
      </c>
      <c r="W8" s="674">
        <f t="shared" si="2"/>
        <v>0</v>
      </c>
      <c r="X8" s="675"/>
      <c r="Y8" s="3253" t="s">
        <v>2131</v>
      </c>
      <c r="Z8" s="3255"/>
      <c r="AA8" s="53" t="e">
        <f t="shared" ref="AA8:AA45" si="3">D8/F8</f>
        <v>#DIV/0!</v>
      </c>
      <c r="AB8" s="53" t="e">
        <f t="shared" ref="AB8:AB45" si="4">D8/H8</f>
        <v>#DIV/0!</v>
      </c>
      <c r="AC8" s="53" t="e">
        <f t="shared" ref="AC8:AC45" si="5">D8/J8</f>
        <v>#DIV/0!</v>
      </c>
    </row>
    <row r="9" spans="1:29" s="107" customFormat="1">
      <c r="A9" s="365" t="s">
        <v>2132</v>
      </c>
      <c r="B9" s="64" t="s">
        <v>2133</v>
      </c>
      <c r="C9" s="1955"/>
      <c r="D9" s="63">
        <v>100</v>
      </c>
      <c r="E9" s="1955"/>
      <c r="F9" s="63">
        <f>SUMIF(74:74,E9,75:75)-SUMIF(74:74,C9,75:75)+100</f>
        <v>100</v>
      </c>
      <c r="G9" s="1955"/>
      <c r="H9" s="63">
        <f>SUMIF(74:74,G9,75:75)-SUMIF(74:74,C9,75:75)+100</f>
        <v>100</v>
      </c>
      <c r="I9" s="1955"/>
      <c r="J9" s="63">
        <f>SUMIF(74:74,I9,75:75)-SUMIF(74:74,C9,75:75)+100</f>
        <v>100</v>
      </c>
      <c r="K9" s="41"/>
      <c r="L9" s="2655"/>
      <c r="M9" s="2604"/>
      <c r="N9" s="2604"/>
      <c r="O9" s="2707"/>
      <c r="P9" s="326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
      <c r="A10" s="369"/>
      <c r="B10" s="370" t="s">
        <v>2136</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66"/>
      <c r="Q10" s="538" t="str">
        <f t="shared" si="6"/>
        <v>土地使用年限（年）</v>
      </c>
      <c r="R10" s="673" t="s">
        <v>17</v>
      </c>
      <c r="S10" s="674" t="e">
        <f t="shared" si="0"/>
        <v>#DIV/0!</v>
      </c>
      <c r="T10" s="673" t="s">
        <v>17</v>
      </c>
      <c r="U10" s="674" t="e">
        <f t="shared" si="1"/>
        <v>#DIV/0!</v>
      </c>
      <c r="V10" s="673" t="s">
        <v>17</v>
      </c>
      <c r="W10" s="674" t="e">
        <f t="shared" si="2"/>
        <v>#DIV/0!</v>
      </c>
      <c r="X10" s="675"/>
      <c r="Y10" s="3191"/>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66"/>
      <c r="Q11" s="538" t="str">
        <f t="shared" si="6"/>
        <v>容积率</v>
      </c>
      <c r="R11" s="673" t="s">
        <v>17</v>
      </c>
      <c r="S11" s="674" t="e">
        <f t="shared" si="0"/>
        <v>#N/A</v>
      </c>
      <c r="T11" s="673" t="s">
        <v>17</v>
      </c>
      <c r="U11" s="674" t="e">
        <f t="shared" si="1"/>
        <v>#N/A</v>
      </c>
      <c r="V11" s="673" t="s">
        <v>17</v>
      </c>
      <c r="W11" s="674" t="e">
        <f t="shared" si="2"/>
        <v>#N/A</v>
      </c>
      <c r="X11" s="675"/>
      <c r="Y11" s="3191"/>
      <c r="Z11" s="53" t="str">
        <f t="shared" si="7"/>
        <v>容积率</v>
      </c>
      <c r="AA11" s="53" t="e">
        <f t="shared" si="3"/>
        <v>#N/A</v>
      </c>
      <c r="AB11" s="53" t="e">
        <f t="shared" si="4"/>
        <v>#N/A</v>
      </c>
      <c r="AC11" s="53" t="e">
        <f t="shared" si="5"/>
        <v>#N/A</v>
      </c>
    </row>
    <row r="12" spans="1:29" s="107" customFormat="1" ht="15">
      <c r="A12" s="378"/>
      <c r="B12" s="455" t="s">
        <v>2326</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4"/>
      <c r="N12" s="2604"/>
      <c r="O12" s="2707"/>
      <c r="P12" s="3266"/>
      <c r="Q12" s="538" t="str">
        <f t="shared" si="6"/>
        <v>配建</v>
      </c>
      <c r="R12" s="673" t="s">
        <v>17</v>
      </c>
      <c r="S12" s="674">
        <f t="shared" si="0"/>
        <v>100</v>
      </c>
      <c r="T12" s="673" t="s">
        <v>17</v>
      </c>
      <c r="U12" s="674">
        <f t="shared" si="1"/>
        <v>100</v>
      </c>
      <c r="V12" s="673" t="s">
        <v>17</v>
      </c>
      <c r="W12" s="674">
        <f t="shared" si="2"/>
        <v>100</v>
      </c>
      <c r="X12" s="675"/>
      <c r="Y12" s="3191"/>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66"/>
      <c r="Q13" s="538">
        <f t="shared" si="6"/>
        <v>111</v>
      </c>
      <c r="R13" s="673" t="s">
        <v>17</v>
      </c>
      <c r="S13" s="674">
        <f t="shared" si="0"/>
        <v>100</v>
      </c>
      <c r="T13" s="673" t="s">
        <v>17</v>
      </c>
      <c r="U13" s="674">
        <f t="shared" si="1"/>
        <v>100</v>
      </c>
      <c r="V13" s="673" t="s">
        <v>17</v>
      </c>
      <c r="W13" s="674">
        <f t="shared" si="2"/>
        <v>100</v>
      </c>
      <c r="X13" s="675"/>
      <c r="Y13" s="3191"/>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66"/>
      <c r="Q14" s="538">
        <f t="shared" si="6"/>
        <v>111</v>
      </c>
      <c r="R14" s="673" t="s">
        <v>17</v>
      </c>
      <c r="S14" s="674">
        <f t="shared" si="0"/>
        <v>100</v>
      </c>
      <c r="T14" s="673" t="s">
        <v>17</v>
      </c>
      <c r="U14" s="674">
        <f t="shared" si="1"/>
        <v>100</v>
      </c>
      <c r="V14" s="673" t="s">
        <v>17</v>
      </c>
      <c r="W14" s="674">
        <f t="shared" si="2"/>
        <v>100</v>
      </c>
      <c r="X14" s="675"/>
      <c r="Y14" s="3191"/>
      <c r="Z14" s="53">
        <f t="shared" si="7"/>
        <v>111</v>
      </c>
      <c r="AA14" s="53">
        <f>D14/F14</f>
        <v>1</v>
      </c>
      <c r="AB14" s="53">
        <f>D14/H14</f>
        <v>1</v>
      </c>
      <c r="AC14" s="53">
        <f>D14/J14</f>
        <v>1</v>
      </c>
    </row>
    <row r="15" spans="1:29" ht="99.75">
      <c r="A15" s="387" t="s">
        <v>2138</v>
      </c>
      <c r="B15" s="62" t="s">
        <v>1701</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59" t="s">
        <v>2139</v>
      </c>
      <c r="Q15" s="1392" t="str">
        <f t="shared" si="6"/>
        <v>居住社区成熟度</v>
      </c>
      <c r="R15" s="676" t="s">
        <v>17</v>
      </c>
      <c r="S15" s="677">
        <f t="shared" si="0"/>
        <v>100</v>
      </c>
      <c r="T15" s="676" t="s">
        <v>17</v>
      </c>
      <c r="U15" s="677">
        <f t="shared" si="1"/>
        <v>100</v>
      </c>
      <c r="V15" s="676" t="s">
        <v>17</v>
      </c>
      <c r="W15" s="677">
        <f t="shared" si="2"/>
        <v>100</v>
      </c>
      <c r="X15" s="1394"/>
      <c r="Y15" s="3259" t="s">
        <v>2139</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59"/>
      <c r="M16" s="2654"/>
      <c r="N16" s="2654"/>
      <c r="O16" s="2709"/>
      <c r="P16" s="3260"/>
      <c r="Q16" s="1392"/>
      <c r="R16" s="676"/>
      <c r="S16" s="677"/>
      <c r="T16" s="676"/>
      <c r="U16" s="677"/>
      <c r="V16" s="676"/>
      <c r="W16" s="677"/>
      <c r="X16" s="1394"/>
      <c r="Y16" s="3260"/>
      <c r="Z16" s="1393"/>
      <c r="AA16" s="1393">
        <v>1</v>
      </c>
      <c r="AB16" s="1393">
        <v>1</v>
      </c>
      <c r="AC16" s="1393">
        <v>1</v>
      </c>
    </row>
    <row r="17" spans="1:29" ht="156.75">
      <c r="A17" s="375"/>
      <c r="B17" s="398" t="s">
        <v>2232</v>
      </c>
      <c r="C17" s="1936" t="str">
        <f>估价对象房地状况!C16</f>
        <v>估价对象位于西直门商圈，周边有嘉茂购物中心、智地钻河中心、华远企业中心、阳光大厦、京煤大厦等商业项目，商业氛围较成熟，人流量较大，商业繁华度较好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60"/>
      <c r="Q17" s="1392" t="str">
        <f>B17</f>
        <v>商业繁华度</v>
      </c>
      <c r="R17" s="676" t="s">
        <v>17</v>
      </c>
      <c r="S17" s="677">
        <f>F17</f>
        <v>100</v>
      </c>
      <c r="T17" s="676" t="s">
        <v>17</v>
      </c>
      <c r="U17" s="677">
        <f>H17</f>
        <v>100</v>
      </c>
      <c r="V17" s="676" t="s">
        <v>17</v>
      </c>
      <c r="W17" s="677">
        <f>J17</f>
        <v>100</v>
      </c>
      <c r="X17" s="1394"/>
      <c r="Y17" s="3260"/>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59"/>
      <c r="M18" s="2654"/>
      <c r="N18" s="2654"/>
      <c r="O18" s="2709"/>
      <c r="P18" s="3260"/>
      <c r="Q18" s="1392"/>
      <c r="R18" s="676"/>
      <c r="S18" s="677"/>
      <c r="T18" s="676"/>
      <c r="U18" s="677"/>
      <c r="V18" s="676"/>
      <c r="W18" s="677"/>
      <c r="X18" s="1394"/>
      <c r="Y18" s="3260"/>
      <c r="Z18" s="1393"/>
      <c r="AA18" s="1393">
        <v>1</v>
      </c>
      <c r="AB18" s="1393">
        <v>1</v>
      </c>
      <c r="AC18" s="1393">
        <v>1</v>
      </c>
    </row>
    <row r="19" spans="1:29" ht="128.25">
      <c r="A19" s="375"/>
      <c r="B19" s="398" t="s">
        <v>2266</v>
      </c>
      <c r="C19" s="1936" t="str">
        <f>估价对象房地状况!C17</f>
        <v>估价对象位于西直门商圈，周边有智地钻河中心、华远企业中心、阳光大厦、京煤大厦等写字楼，项目较多，入驻率较高，办公集聚程度较好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60"/>
      <c r="Q19" s="1392" t="str">
        <f>B19</f>
        <v>办公集聚程度</v>
      </c>
      <c r="R19" s="676" t="s">
        <v>17</v>
      </c>
      <c r="S19" s="677">
        <f>F19</f>
        <v>100</v>
      </c>
      <c r="T19" s="676" t="s">
        <v>17</v>
      </c>
      <c r="U19" s="677">
        <f>H19</f>
        <v>100</v>
      </c>
      <c r="V19" s="676" t="s">
        <v>17</v>
      </c>
      <c r="W19" s="677">
        <f>J19</f>
        <v>100</v>
      </c>
      <c r="X19" s="1394"/>
      <c r="Y19" s="3260"/>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59"/>
      <c r="M20" s="2654"/>
      <c r="N20" s="2654"/>
      <c r="O20" s="2709"/>
      <c r="P20" s="3260"/>
      <c r="Q20" s="1392"/>
      <c r="R20" s="676"/>
      <c r="S20" s="677"/>
      <c r="T20" s="676"/>
      <c r="U20" s="677"/>
      <c r="V20" s="676"/>
      <c r="W20" s="677"/>
      <c r="X20" s="1394"/>
      <c r="Y20" s="3260"/>
      <c r="Z20" s="1393"/>
      <c r="AA20" s="1393">
        <v>1</v>
      </c>
      <c r="AB20" s="1393">
        <v>1</v>
      </c>
      <c r="AC20" s="1393">
        <v>1</v>
      </c>
    </row>
    <row r="21" spans="1:29" ht="185.25">
      <c r="A21" s="375"/>
      <c r="B21" s="398" t="s">
        <v>2288</v>
      </c>
      <c r="C21" s="1884" t="str">
        <f>估价对象房地状况!C18</f>
        <v>估价对象周边有16路、26路、305路、603路、夜14路、快速直达专线35路等多条公交线路，距地铁2、4、13号线换乘站（西直门站）及京张城际铁路（北京北站）约1.2公里，综合评价交通便捷度较好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60"/>
      <c r="Q21" s="1392" t="str">
        <f>B21</f>
        <v>交通便捷度</v>
      </c>
      <c r="R21" s="676" t="s">
        <v>17</v>
      </c>
      <c r="S21" s="677">
        <f>F21</f>
        <v>100</v>
      </c>
      <c r="T21" s="676" t="s">
        <v>17</v>
      </c>
      <c r="U21" s="677">
        <f>H21</f>
        <v>100</v>
      </c>
      <c r="V21" s="676" t="s">
        <v>17</v>
      </c>
      <c r="W21" s="677">
        <f>J21</f>
        <v>100</v>
      </c>
      <c r="X21" s="1394"/>
      <c r="Y21" s="3260"/>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59"/>
      <c r="M22" s="2654"/>
      <c r="N22" s="2654"/>
      <c r="O22" s="2709"/>
      <c r="P22" s="3260"/>
      <c r="Q22" s="1392"/>
      <c r="R22" s="676"/>
      <c r="S22" s="677"/>
      <c r="T22" s="676"/>
      <c r="U22" s="677"/>
      <c r="V22" s="676"/>
      <c r="W22" s="677"/>
      <c r="X22" s="1394"/>
      <c r="Y22" s="3260"/>
      <c r="Z22" s="1393"/>
      <c r="AA22" s="1393">
        <v>1</v>
      </c>
      <c r="AB22" s="1393">
        <v>1</v>
      </c>
      <c r="AC22" s="1393">
        <v>1</v>
      </c>
    </row>
    <row r="23" spans="1:29" ht="15">
      <c r="A23" s="354"/>
      <c r="B23" s="398" t="s">
        <v>2327</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60"/>
      <c r="Q23" s="1392" t="str">
        <f t="shared" ref="Q23:Q37" si="8">B23</f>
        <v>区域土地利用方向</v>
      </c>
      <c r="R23" s="676" t="s">
        <v>17</v>
      </c>
      <c r="S23" s="677">
        <f>F23</f>
        <v>100</v>
      </c>
      <c r="T23" s="676" t="s">
        <v>17</v>
      </c>
      <c r="U23" s="677">
        <f>H23</f>
        <v>100</v>
      </c>
      <c r="V23" s="676" t="s">
        <v>17</v>
      </c>
      <c r="W23" s="677">
        <f>J23</f>
        <v>100</v>
      </c>
      <c r="X23" s="1394"/>
      <c r="Y23" s="3260"/>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59"/>
      <c r="M24" s="2654"/>
      <c r="N24" s="2654"/>
      <c r="O24" s="2709"/>
      <c r="P24" s="3260"/>
      <c r="Q24" s="1392"/>
      <c r="R24" s="676"/>
      <c r="S24" s="677"/>
      <c r="T24" s="676"/>
      <c r="U24" s="677"/>
      <c r="V24" s="676"/>
      <c r="W24" s="677"/>
      <c r="X24" s="1394"/>
      <c r="Y24" s="3260"/>
      <c r="Z24" s="1393"/>
      <c r="AA24" s="1393"/>
      <c r="AB24" s="1393"/>
      <c r="AC24" s="1393"/>
    </row>
    <row r="25" spans="1:29" ht="128.25">
      <c r="A25" s="354"/>
      <c r="B25" s="594" t="s">
        <v>2328</v>
      </c>
      <c r="C25" s="1936" t="str">
        <f>估价对象房地状况!C20</f>
        <v>区域自然环境：南长河、北护城河等；人文环境：北京动物园、北京海洋馆、北京展览馆、北京天文馆等；综合评价环境状况好</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60"/>
      <c r="Q25" s="1392" t="str">
        <f t="shared" si="8"/>
        <v>自然及人文环境状况</v>
      </c>
      <c r="R25" s="676" t="s">
        <v>17</v>
      </c>
      <c r="S25" s="677">
        <f>F25</f>
        <v>100</v>
      </c>
      <c r="T25" s="676" t="s">
        <v>17</v>
      </c>
      <c r="U25" s="677">
        <f>H25</f>
        <v>100</v>
      </c>
      <c r="V25" s="676" t="s">
        <v>17</v>
      </c>
      <c r="W25" s="677">
        <f>J25</f>
        <v>100</v>
      </c>
      <c r="X25" s="1394"/>
      <c r="Y25" s="3260"/>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59"/>
      <c r="M26" s="2654"/>
      <c r="N26" s="2654"/>
      <c r="O26" s="2709"/>
      <c r="P26" s="3260"/>
      <c r="Q26" s="1392"/>
      <c r="R26" s="676"/>
      <c r="S26" s="677"/>
      <c r="T26" s="676"/>
      <c r="U26" s="677"/>
      <c r="V26" s="676"/>
      <c r="W26" s="677"/>
      <c r="X26" s="1394"/>
      <c r="Y26" s="3260"/>
      <c r="Z26" s="1393"/>
      <c r="AA26" s="1393">
        <v>1</v>
      </c>
      <c r="AB26" s="1393">
        <v>1</v>
      </c>
      <c r="AC26" s="1393">
        <v>1</v>
      </c>
    </row>
    <row r="27" spans="1:29" s="107" customFormat="1" ht="42.75">
      <c r="A27" s="451"/>
      <c r="B27" s="594" t="s">
        <v>2233</v>
      </c>
      <c r="C27" s="1884" t="str">
        <f>估价对象房地状况!C21</f>
        <v>估价对象所在区域公共配套设施齐备</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4"/>
      <c r="N27" s="2604"/>
      <c r="O27" s="2707"/>
      <c r="P27" s="3260"/>
      <c r="Q27" s="538" t="str">
        <f t="shared" si="8"/>
        <v>公共配套设施</v>
      </c>
      <c r="R27" s="673" t="s">
        <v>17</v>
      </c>
      <c r="S27" s="674">
        <f>F27</f>
        <v>100</v>
      </c>
      <c r="T27" s="673" t="s">
        <v>17</v>
      </c>
      <c r="U27" s="674">
        <f>H27</f>
        <v>100</v>
      </c>
      <c r="V27" s="673" t="s">
        <v>17</v>
      </c>
      <c r="W27" s="674">
        <f>J27</f>
        <v>100</v>
      </c>
      <c r="X27" s="675"/>
      <c r="Y27" s="3260"/>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5"/>
      <c r="M28" s="2604"/>
      <c r="N28" s="2604"/>
      <c r="O28" s="2707"/>
      <c r="P28" s="3260"/>
      <c r="Q28" s="538"/>
      <c r="R28" s="673"/>
      <c r="S28" s="674"/>
      <c r="T28" s="673"/>
      <c r="U28" s="674"/>
      <c r="V28" s="673"/>
      <c r="W28" s="674"/>
      <c r="X28" s="675"/>
      <c r="Y28" s="3260"/>
      <c r="Z28" s="53"/>
      <c r="AA28" s="1393">
        <v>1</v>
      </c>
      <c r="AB28" s="1393">
        <v>1</v>
      </c>
      <c r="AC28" s="1393">
        <v>1</v>
      </c>
    </row>
    <row r="29" spans="1:29" s="107" customFormat="1" ht="42.75">
      <c r="A29" s="451"/>
      <c r="B29" s="594" t="s">
        <v>2234</v>
      </c>
      <c r="C29" s="1884" t="str">
        <f>估价对象房地状况!C22</f>
        <v>估价对象所在区域基础设施水平达七通</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4"/>
      <c r="N29" s="2604"/>
      <c r="O29" s="2707"/>
      <c r="P29" s="3260"/>
      <c r="Q29" s="538" t="str">
        <f>B29</f>
        <v>基础设施水平</v>
      </c>
      <c r="R29" s="673" t="s">
        <v>17</v>
      </c>
      <c r="S29" s="674">
        <f>F29</f>
        <v>100</v>
      </c>
      <c r="T29" s="673" t="s">
        <v>17</v>
      </c>
      <c r="U29" s="674">
        <f>H29</f>
        <v>100</v>
      </c>
      <c r="V29" s="673" t="s">
        <v>17</v>
      </c>
      <c r="W29" s="674">
        <f>J29</f>
        <v>100</v>
      </c>
      <c r="X29" s="675"/>
      <c r="Y29" s="3260"/>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5"/>
      <c r="M30" s="2604"/>
      <c r="N30" s="2604"/>
      <c r="O30" s="2707"/>
      <c r="P30" s="3260"/>
      <c r="Q30" s="538"/>
      <c r="R30" s="673"/>
      <c r="S30" s="674"/>
      <c r="T30" s="673"/>
      <c r="U30" s="674"/>
      <c r="V30" s="673"/>
      <c r="W30" s="674"/>
      <c r="X30" s="675"/>
      <c r="Y30" s="3260"/>
      <c r="Z30" s="53"/>
      <c r="AA30" s="1393">
        <v>1</v>
      </c>
      <c r="AB30" s="1393">
        <v>1</v>
      </c>
      <c r="AC30" s="1393">
        <v>1</v>
      </c>
    </row>
    <row r="31" spans="1:29" ht="15">
      <c r="A31" s="375"/>
      <c r="B31" s="403" t="s">
        <v>2235</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60"/>
      <c r="Q31" s="1392" t="str">
        <f t="shared" si="8"/>
        <v>临街状况</v>
      </c>
      <c r="R31" s="676" t="s">
        <v>17</v>
      </c>
      <c r="S31" s="677">
        <f t="shared" ref="S31:S45" si="9">F31</f>
        <v>100</v>
      </c>
      <c r="T31" s="676" t="s">
        <v>17</v>
      </c>
      <c r="U31" s="677">
        <f t="shared" ref="U31:U45" si="10">H31</f>
        <v>100</v>
      </c>
      <c r="V31" s="676" t="s">
        <v>17</v>
      </c>
      <c r="W31" s="677">
        <f t="shared" ref="W31:W45" si="11">J31</f>
        <v>100</v>
      </c>
      <c r="X31" s="1394"/>
      <c r="Y31" s="3260"/>
      <c r="Z31" s="1393" t="str">
        <f t="shared" ref="Z31:Z45" si="12">Q31</f>
        <v>临街状况</v>
      </c>
      <c r="AA31" s="1393">
        <f t="shared" si="3"/>
        <v>1</v>
      </c>
      <c r="AB31" s="1393">
        <f t="shared" si="4"/>
        <v>1</v>
      </c>
      <c r="AC31" s="1393">
        <f t="shared" si="5"/>
        <v>1</v>
      </c>
    </row>
    <row r="32" spans="1:29" ht="27">
      <c r="A32" s="375"/>
      <c r="B32" s="594" t="s">
        <v>2270</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60"/>
      <c r="Q32" s="1392" t="str">
        <f t="shared" si="8"/>
        <v>毗邻道路的类型与等级</v>
      </c>
      <c r="R32" s="676" t="s">
        <v>17</v>
      </c>
      <c r="S32" s="677">
        <f t="shared" si="9"/>
        <v>100</v>
      </c>
      <c r="T32" s="676" t="s">
        <v>17</v>
      </c>
      <c r="U32" s="677">
        <f t="shared" si="10"/>
        <v>100</v>
      </c>
      <c r="V32" s="676" t="s">
        <v>17</v>
      </c>
      <c r="W32" s="677">
        <f t="shared" si="11"/>
        <v>100</v>
      </c>
      <c r="X32" s="1394"/>
      <c r="Y32" s="3260"/>
      <c r="Z32" s="1393" t="str">
        <f t="shared" si="12"/>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59"/>
      <c r="M33" s="2654"/>
      <c r="N33" s="2654"/>
      <c r="O33" s="2709"/>
      <c r="P33" s="3260"/>
      <c r="Q33" s="1392"/>
      <c r="R33" s="676"/>
      <c r="S33" s="677"/>
      <c r="T33" s="676"/>
      <c r="U33" s="677"/>
      <c r="V33" s="676"/>
      <c r="W33" s="677"/>
      <c r="X33" s="1394"/>
      <c r="Y33" s="3260"/>
      <c r="Z33" s="1393"/>
      <c r="AA33" s="1393">
        <v>1</v>
      </c>
      <c r="AB33" s="1393">
        <v>1</v>
      </c>
      <c r="AC33" s="1393">
        <v>1</v>
      </c>
    </row>
    <row r="34" spans="1:29" ht="15">
      <c r="A34" s="375"/>
      <c r="B34" s="370" t="s">
        <v>2329</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60"/>
      <c r="Q34" s="1392" t="str">
        <f t="shared" si="8"/>
        <v>土地级别</v>
      </c>
      <c r="R34" s="676" t="s">
        <v>17</v>
      </c>
      <c r="S34" s="677">
        <f t="shared" si="9"/>
        <v>100</v>
      </c>
      <c r="T34" s="676" t="s">
        <v>17</v>
      </c>
      <c r="U34" s="677">
        <f t="shared" si="10"/>
        <v>100</v>
      </c>
      <c r="V34" s="676" t="s">
        <v>17</v>
      </c>
      <c r="W34" s="677">
        <f t="shared" si="11"/>
        <v>100</v>
      </c>
      <c r="X34" s="1394"/>
      <c r="Y34" s="3260"/>
      <c r="Z34" s="1393" t="str">
        <f t="shared" si="12"/>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60"/>
      <c r="Q35" s="1392">
        <f t="shared" si="8"/>
        <v>111</v>
      </c>
      <c r="R35" s="676" t="s">
        <v>17</v>
      </c>
      <c r="S35" s="677">
        <f t="shared" si="9"/>
        <v>100</v>
      </c>
      <c r="T35" s="676" t="s">
        <v>17</v>
      </c>
      <c r="U35" s="677">
        <f t="shared" si="10"/>
        <v>100</v>
      </c>
      <c r="V35" s="676" t="s">
        <v>17</v>
      </c>
      <c r="W35" s="677">
        <f t="shared" si="11"/>
        <v>100</v>
      </c>
      <c r="X35" s="1394"/>
      <c r="Y35" s="3260"/>
      <c r="Z35" s="1393">
        <f t="shared" si="12"/>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317" t="s">
        <v>2144</v>
      </c>
      <c r="Q36" s="1392">
        <f t="shared" si="8"/>
        <v>111</v>
      </c>
      <c r="R36" s="676" t="s">
        <v>17</v>
      </c>
      <c r="S36" s="677">
        <f t="shared" si="9"/>
        <v>100</v>
      </c>
      <c r="T36" s="676" t="s">
        <v>17</v>
      </c>
      <c r="U36" s="677">
        <f t="shared" si="10"/>
        <v>100</v>
      </c>
      <c r="V36" s="676" t="s">
        <v>17</v>
      </c>
      <c r="W36" s="677">
        <f t="shared" si="11"/>
        <v>100</v>
      </c>
      <c r="X36" s="1394"/>
      <c r="Y36" s="3264" t="s">
        <v>2144</v>
      </c>
      <c r="Z36" s="1393">
        <f t="shared" si="12"/>
        <v>111</v>
      </c>
      <c r="AA36" s="1393">
        <f t="shared" si="3"/>
        <v>1</v>
      </c>
      <c r="AB36" s="1393">
        <f t="shared" si="4"/>
        <v>1</v>
      </c>
      <c r="AC36" s="1393">
        <f t="shared" si="5"/>
        <v>1</v>
      </c>
    </row>
    <row r="37" spans="1:29" s="416" customFormat="1" ht="15.75"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64"/>
      <c r="Q37" s="1392">
        <f t="shared" si="8"/>
        <v>111</v>
      </c>
      <c r="R37" s="678" t="s">
        <v>17</v>
      </c>
      <c r="S37" s="679">
        <f t="shared" si="9"/>
        <v>100</v>
      </c>
      <c r="T37" s="678" t="s">
        <v>17</v>
      </c>
      <c r="U37" s="679">
        <f t="shared" si="10"/>
        <v>100</v>
      </c>
      <c r="V37" s="678" t="s">
        <v>17</v>
      </c>
      <c r="W37" s="679">
        <f t="shared" si="11"/>
        <v>100</v>
      </c>
      <c r="X37" s="680"/>
      <c r="Y37" s="3264"/>
      <c r="Z37" s="681">
        <f t="shared" si="12"/>
        <v>111</v>
      </c>
      <c r="AA37" s="1393">
        <f t="shared" si="3"/>
        <v>1</v>
      </c>
      <c r="AB37" s="1393">
        <f t="shared" si="4"/>
        <v>1</v>
      </c>
      <c r="AC37" s="1393">
        <f t="shared" si="5"/>
        <v>1</v>
      </c>
    </row>
    <row r="38" spans="1:29" ht="15">
      <c r="A38" s="417" t="s">
        <v>2142</v>
      </c>
      <c r="B38" s="403" t="s">
        <v>2330</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64"/>
      <c r="Q38" s="1392" t="str">
        <f>B38</f>
        <v>宗地面积</v>
      </c>
      <c r="R38" s="676" t="s">
        <v>17</v>
      </c>
      <c r="S38" s="677" t="e">
        <f t="shared" si="9"/>
        <v>#N/A</v>
      </c>
      <c r="T38" s="676" t="s">
        <v>17</v>
      </c>
      <c r="U38" s="677" t="e">
        <f t="shared" si="10"/>
        <v>#N/A</v>
      </c>
      <c r="V38" s="676" t="s">
        <v>17</v>
      </c>
      <c r="W38" s="677" t="e">
        <f t="shared" si="11"/>
        <v>#N/A</v>
      </c>
      <c r="X38" s="1394"/>
      <c r="Y38" s="3264"/>
      <c r="Z38" s="1393" t="str">
        <f t="shared" si="12"/>
        <v>宗地面积</v>
      </c>
      <c r="AA38" s="1393" t="e">
        <f t="shared" si="3"/>
        <v>#N/A</v>
      </c>
      <c r="AB38" s="1393" t="e">
        <f t="shared" si="4"/>
        <v>#N/A</v>
      </c>
      <c r="AC38" s="1393" t="e">
        <f t="shared" si="5"/>
        <v>#N/A</v>
      </c>
    </row>
    <row r="39" spans="1:29" ht="15">
      <c r="A39" s="417"/>
      <c r="B39" s="370" t="s">
        <v>2331</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64"/>
      <c r="Q39" s="1392" t="str">
        <f t="shared" ref="Q39:Q45" si="13">B39</f>
        <v>宗地形状</v>
      </c>
      <c r="R39" s="676" t="s">
        <v>17</v>
      </c>
      <c r="S39" s="677">
        <f t="shared" si="9"/>
        <v>100</v>
      </c>
      <c r="T39" s="676" t="s">
        <v>17</v>
      </c>
      <c r="U39" s="677">
        <f t="shared" si="10"/>
        <v>100</v>
      </c>
      <c r="V39" s="676" t="s">
        <v>17</v>
      </c>
      <c r="W39" s="677">
        <f t="shared" si="11"/>
        <v>100</v>
      </c>
      <c r="X39" s="1394"/>
      <c r="Y39" s="3264"/>
      <c r="Z39" s="1393" t="str">
        <f t="shared" si="12"/>
        <v>宗地形状</v>
      </c>
      <c r="AA39" s="1393">
        <f t="shared" si="3"/>
        <v>1</v>
      </c>
      <c r="AB39" s="1393">
        <f t="shared" si="4"/>
        <v>1</v>
      </c>
      <c r="AC39" s="1393">
        <f t="shared" si="5"/>
        <v>1</v>
      </c>
    </row>
    <row r="40" spans="1:29" ht="15">
      <c r="A40" s="417"/>
      <c r="B40" s="370" t="s">
        <v>2332</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64"/>
      <c r="Q40" s="1392" t="str">
        <f t="shared" si="13"/>
        <v>临街宽度及深度</v>
      </c>
      <c r="R40" s="676" t="s">
        <v>17</v>
      </c>
      <c r="S40" s="677">
        <f t="shared" si="9"/>
        <v>100</v>
      </c>
      <c r="T40" s="676" t="s">
        <v>17</v>
      </c>
      <c r="U40" s="677">
        <f t="shared" si="10"/>
        <v>100</v>
      </c>
      <c r="V40" s="676" t="s">
        <v>17</v>
      </c>
      <c r="W40" s="677">
        <f t="shared" si="11"/>
        <v>100</v>
      </c>
      <c r="X40" s="1394"/>
      <c r="Y40" s="3264"/>
      <c r="Z40" s="1393" t="str">
        <f t="shared" si="12"/>
        <v>临街宽度及深度</v>
      </c>
      <c r="AA40" s="1393">
        <f t="shared" si="3"/>
        <v>1</v>
      </c>
      <c r="AB40" s="1393">
        <f t="shared" si="4"/>
        <v>1</v>
      </c>
      <c r="AC40" s="1393">
        <f t="shared" si="5"/>
        <v>1</v>
      </c>
    </row>
    <row r="41" spans="1:29" s="107" customFormat="1" ht="15">
      <c r="A41" s="418"/>
      <c r="B41" s="370" t="s">
        <v>2333</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4"/>
      <c r="N41" s="2604"/>
      <c r="O41" s="2707"/>
      <c r="P41" s="3264"/>
      <c r="Q41" s="1392" t="str">
        <f t="shared" si="13"/>
        <v>宗地开发程度</v>
      </c>
      <c r="R41" s="673" t="s">
        <v>17</v>
      </c>
      <c r="S41" s="674">
        <f t="shared" si="9"/>
        <v>100</v>
      </c>
      <c r="T41" s="673" t="s">
        <v>17</v>
      </c>
      <c r="U41" s="674">
        <f t="shared" si="10"/>
        <v>100</v>
      </c>
      <c r="V41" s="673" t="s">
        <v>17</v>
      </c>
      <c r="W41" s="674">
        <f t="shared" si="11"/>
        <v>100</v>
      </c>
      <c r="X41" s="675"/>
      <c r="Y41" s="3264"/>
      <c r="Z41" s="53" t="str">
        <f t="shared" si="12"/>
        <v>宗地开发程度</v>
      </c>
      <c r="AA41" s="53">
        <f t="shared" si="3"/>
        <v>1</v>
      </c>
      <c r="AB41" s="53">
        <f t="shared" si="4"/>
        <v>1</v>
      </c>
      <c r="AC41" s="53">
        <f t="shared" si="5"/>
        <v>1</v>
      </c>
    </row>
    <row r="42" spans="1:29" ht="15">
      <c r="A42" s="417"/>
      <c r="B42" s="370" t="s">
        <v>2334</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64" t="s">
        <v>2144</v>
      </c>
      <c r="Q42" s="1392" t="str">
        <f t="shared" si="13"/>
        <v>工程地质条件</v>
      </c>
      <c r="R42" s="676" t="s">
        <v>17</v>
      </c>
      <c r="S42" s="677">
        <f t="shared" si="9"/>
        <v>100</v>
      </c>
      <c r="T42" s="676" t="s">
        <v>17</v>
      </c>
      <c r="U42" s="677">
        <f t="shared" si="10"/>
        <v>100</v>
      </c>
      <c r="V42" s="676" t="s">
        <v>17</v>
      </c>
      <c r="W42" s="677">
        <f t="shared" si="11"/>
        <v>100</v>
      </c>
      <c r="X42" s="1394"/>
      <c r="Y42" s="3264" t="s">
        <v>2144</v>
      </c>
      <c r="Z42" s="1393" t="str">
        <f t="shared" si="12"/>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64"/>
      <c r="Q43" s="1392">
        <f t="shared" si="13"/>
        <v>111</v>
      </c>
      <c r="R43" s="676" t="s">
        <v>17</v>
      </c>
      <c r="S43" s="677">
        <f t="shared" si="9"/>
        <v>100</v>
      </c>
      <c r="T43" s="676" t="s">
        <v>17</v>
      </c>
      <c r="U43" s="677">
        <f t="shared" si="10"/>
        <v>100</v>
      </c>
      <c r="V43" s="676" t="s">
        <v>17</v>
      </c>
      <c r="W43" s="677">
        <f t="shared" si="11"/>
        <v>100</v>
      </c>
      <c r="X43" s="1394"/>
      <c r="Y43" s="3264"/>
      <c r="Z43" s="1393">
        <f t="shared" si="12"/>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64"/>
      <c r="Q44" s="1392">
        <f t="shared" si="13"/>
        <v>111</v>
      </c>
      <c r="R44" s="676" t="s">
        <v>17</v>
      </c>
      <c r="S44" s="677">
        <f t="shared" si="9"/>
        <v>100</v>
      </c>
      <c r="T44" s="676" t="s">
        <v>17</v>
      </c>
      <c r="U44" s="677">
        <f t="shared" si="10"/>
        <v>100</v>
      </c>
      <c r="V44" s="676" t="s">
        <v>17</v>
      </c>
      <c r="W44" s="677">
        <f t="shared" si="11"/>
        <v>100</v>
      </c>
      <c r="X44" s="1394"/>
      <c r="Y44" s="3264"/>
      <c r="Z44" s="1393">
        <f t="shared" si="12"/>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64"/>
      <c r="Q45" s="1392">
        <f t="shared" si="13"/>
        <v>111</v>
      </c>
      <c r="R45" s="678" t="s">
        <v>17</v>
      </c>
      <c r="S45" s="679">
        <f t="shared" si="9"/>
        <v>100</v>
      </c>
      <c r="T45" s="678" t="s">
        <v>17</v>
      </c>
      <c r="U45" s="679">
        <f t="shared" si="10"/>
        <v>100</v>
      </c>
      <c r="V45" s="678" t="s">
        <v>17</v>
      </c>
      <c r="W45" s="679">
        <f t="shared" si="11"/>
        <v>100</v>
      </c>
      <c r="X45" s="680"/>
      <c r="Y45" s="3264"/>
      <c r="Z45" s="681">
        <f t="shared" si="12"/>
        <v>111</v>
      </c>
      <c r="AA45" s="1393">
        <f t="shared" si="3"/>
        <v>1</v>
      </c>
      <c r="AB45" s="1393">
        <f t="shared" si="4"/>
        <v>1</v>
      </c>
      <c r="AC45" s="1393">
        <f t="shared" si="5"/>
        <v>1</v>
      </c>
    </row>
    <row r="46" spans="1:29" ht="15">
      <c r="A46" s="424" t="s">
        <v>2299</v>
      </c>
      <c r="B46" s="1960" t="s">
        <v>2335</v>
      </c>
      <c r="C46" s="610" t="s">
        <v>1</v>
      </c>
      <c r="D46" s="426"/>
      <c r="E46" s="427"/>
      <c r="F46" s="428"/>
      <c r="G46" s="429"/>
      <c r="H46" s="430"/>
      <c r="I46" s="427"/>
      <c r="J46" s="430"/>
      <c r="K46" s="683"/>
      <c r="L46" s="2661"/>
      <c r="M46" s="2654"/>
      <c r="N46" s="2654"/>
      <c r="O46" s="2654"/>
      <c r="P46" s="3266" t="str">
        <f>A46</f>
        <v>成交单价</v>
      </c>
      <c r="Q46" s="3266"/>
      <c r="R46" s="3252">
        <f>E46</f>
        <v>0</v>
      </c>
      <c r="S46" s="3252"/>
      <c r="T46" s="3252">
        <f>G46</f>
        <v>0</v>
      </c>
      <c r="U46" s="3252"/>
      <c r="V46" s="3252">
        <f>I46</f>
        <v>0</v>
      </c>
      <c r="W46" s="3252"/>
      <c r="X46" s="393"/>
      <c r="Y46" s="682"/>
      <c r="Z46" s="393"/>
      <c r="AA46" s="393"/>
      <c r="AB46" s="393"/>
      <c r="AC46" s="393"/>
    </row>
    <row r="47" spans="1:29" ht="15.75" thickBot="1">
      <c r="A47" s="431" t="s">
        <v>2248</v>
      </c>
      <c r="B47" s="611"/>
      <c r="C47" s="434" t="e">
        <f>R48</f>
        <v>#DIV/0!</v>
      </c>
      <c r="D47" s="2301" t="s">
        <v>2638</v>
      </c>
      <c r="E47" s="434" t="e">
        <f>R47</f>
        <v>#DIV/0!</v>
      </c>
      <c r="F47" s="2302"/>
      <c r="G47" s="433" t="e">
        <f>T47</f>
        <v>#DIV/0!</v>
      </c>
      <c r="H47" s="2302"/>
      <c r="I47" s="434" t="e">
        <f>V47</f>
        <v>#DIV/0!</v>
      </c>
      <c r="J47" s="2302"/>
      <c r="K47" s="2304">
        <f>F47+H47+J47</f>
        <v>0</v>
      </c>
      <c r="L47" s="2661"/>
      <c r="M47" s="2654"/>
      <c r="N47" s="2654"/>
      <c r="O47" s="2654"/>
      <c r="P47" s="3266" t="str">
        <f>A47</f>
        <v>比较价值（元/平方米）</v>
      </c>
      <c r="Q47" s="3266"/>
      <c r="R47" s="3319" t="e">
        <f>ROUND(PRODUCT(R46,AA7:AA45),0)</f>
        <v>#DIV/0!</v>
      </c>
      <c r="S47" s="3319"/>
      <c r="T47" s="3319" t="e">
        <f>ROUND(PRODUCT(T46,AB7:AB45),0)</f>
        <v>#DIV/0!</v>
      </c>
      <c r="U47" s="3319"/>
      <c r="V47" s="3319" t="e">
        <f>ROUND(PRODUCT(V46,AC7:AC45),0)</f>
        <v>#DIV/0!</v>
      </c>
      <c r="W47" s="3319"/>
      <c r="X47" s="393"/>
      <c r="Y47" s="393"/>
      <c r="Z47" s="393"/>
      <c r="AA47" s="393"/>
      <c r="AB47" s="393"/>
      <c r="AC47" s="393"/>
    </row>
    <row r="48" spans="1:29" ht="15.75" thickBot="1">
      <c r="A48" s="435" t="s">
        <v>2336</v>
      </c>
      <c r="B48" s="436"/>
      <c r="C48" s="437" t="e">
        <f>R48</f>
        <v>#DIV/0!</v>
      </c>
      <c r="D48" s="437"/>
      <c r="E48" s="437"/>
      <c r="F48" s="437"/>
      <c r="G48" s="437"/>
      <c r="H48" s="437"/>
      <c r="I48" s="437"/>
      <c r="J48" s="437"/>
      <c r="K48" s="684"/>
      <c r="L48" s="2661"/>
      <c r="M48" s="2654"/>
      <c r="N48" s="2654"/>
      <c r="O48" s="2654"/>
      <c r="P48" s="3267" t="str">
        <f>A48</f>
        <v>估价对象XX用房的比较价值（楼面单价，元/平方米）</v>
      </c>
      <c r="Q48" s="3268"/>
      <c r="R48" s="3320" t="e">
        <f>ROUND(IF(D47="简单平均",AVERAGE(R47:W47),R47*F47+T47*H47+V47*J47),0)</f>
        <v>#DIV/0!</v>
      </c>
      <c r="S48" s="3320"/>
      <c r="T48" s="3320"/>
      <c r="U48" s="3320"/>
      <c r="V48" s="3320"/>
      <c r="W48" s="3320"/>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2337</v>
      </c>
      <c r="B55" s="613" t="s">
        <v>2338</v>
      </c>
      <c r="C55" s="1961" t="s">
        <v>2339</v>
      </c>
      <c r="D55" s="1962" t="s">
        <v>2340</v>
      </c>
      <c r="E55" s="614" t="s">
        <v>2341</v>
      </c>
      <c r="F55" s="944" t="s">
        <v>2342</v>
      </c>
      <c r="G55" s="3226" t="s">
        <v>2343</v>
      </c>
      <c r="H55" s="3321"/>
      <c r="I55" s="132" t="s">
        <v>2344</v>
      </c>
      <c r="J55" s="1963">
        <f>项目基本情况!F35</f>
        <v>0</v>
      </c>
      <c r="K55" s="1964" t="s">
        <v>2345</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2346</v>
      </c>
      <c r="B56" s="617" t="e">
        <f>C48</f>
        <v>#DIV/0!</v>
      </c>
      <c r="C56" s="618">
        <v>1</v>
      </c>
      <c r="D56" s="997">
        <v>1</v>
      </c>
      <c r="E56" s="618">
        <f>'数据-汇总表'!E8+'数据-汇总表'!E9</f>
        <v>1018</v>
      </c>
      <c r="F56" s="940" t="e">
        <f t="shared" ref="F56:F64" si="14">ROUND(B56*E56/10000,0)</f>
        <v>#DIV/0!</v>
      </c>
      <c r="G56" s="3256"/>
      <c r="H56" s="3266"/>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2347</v>
      </c>
      <c r="B57" s="216" t="e">
        <f>ROUND($C$48*C57*D57,0)</f>
        <v>#DIV/0!</v>
      </c>
      <c r="C57" s="168">
        <f t="shared" ref="C57:C64" si="15">IF($C$55="北京市系数",I57,J57)</f>
        <v>0.7</v>
      </c>
      <c r="D57" s="998">
        <v>0.25</v>
      </c>
      <c r="E57" s="622"/>
      <c r="F57" s="940" t="e">
        <f t="shared" si="14"/>
        <v>#DIV/0!</v>
      </c>
      <c r="G57" s="2958" t="s">
        <v>2348</v>
      </c>
      <c r="H57" s="941" t="str">
        <f>项目基本情况!B37</f>
        <v>二级</v>
      </c>
      <c r="I57" s="945">
        <f>SUMIF(修正!A57:A68,H57,修正!B57:B68)</f>
        <v>0.7</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2349</v>
      </c>
      <c r="B58" s="216" t="e">
        <f t="shared" ref="B58:B64" si="16">ROUND($C$48*C58*D58,0)</f>
        <v>#DIV/0!</v>
      </c>
      <c r="C58" s="168">
        <f t="shared" si="15"/>
        <v>0.4</v>
      </c>
      <c r="D58" s="998">
        <v>0.25</v>
      </c>
      <c r="E58" s="622"/>
      <c r="F58" s="940" t="e">
        <f t="shared" si="14"/>
        <v>#DIV/0!</v>
      </c>
      <c r="G58" s="2959"/>
      <c r="H58" s="941" t="str">
        <f>项目基本情况!B37</f>
        <v>二级</v>
      </c>
      <c r="I58" s="945">
        <f>SUMIF(修正!A57:A68,H58,修正!C57:C68)</f>
        <v>0.4</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2350</v>
      </c>
      <c r="B59" s="216" t="e">
        <f t="shared" si="16"/>
        <v>#DIV/0!</v>
      </c>
      <c r="C59" s="168">
        <f t="shared" si="15"/>
        <v>0.3</v>
      </c>
      <c r="D59" s="998">
        <v>0.25</v>
      </c>
      <c r="E59" s="622"/>
      <c r="F59" s="940" t="e">
        <f t="shared" si="14"/>
        <v>#DIV/0!</v>
      </c>
      <c r="G59" s="2959"/>
      <c r="H59" s="941" t="str">
        <f>项目基本情况!B37</f>
        <v>二级</v>
      </c>
      <c r="I59" s="945">
        <f>SUMIF(修正!A57:A68,H59,修正!D57:D68)</f>
        <v>0.3</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2351</v>
      </c>
      <c r="B60" s="216" t="e">
        <f t="shared" si="16"/>
        <v>#DIV/0!</v>
      </c>
      <c r="C60" s="168">
        <f t="shared" si="15"/>
        <v>0</v>
      </c>
      <c r="D60" s="998">
        <v>0.25</v>
      </c>
      <c r="E60" s="215">
        <f>'数据-汇总表'!E11</f>
        <v>0</v>
      </c>
      <c r="F60" s="940" t="e">
        <f t="shared" si="14"/>
        <v>#DIV/0!</v>
      </c>
      <c r="G60" s="1965" t="s">
        <v>2352</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2353</v>
      </c>
      <c r="B61" s="216" t="e">
        <f t="shared" si="16"/>
        <v>#DIV/0!</v>
      </c>
      <c r="C61" s="168">
        <f t="shared" si="15"/>
        <v>0</v>
      </c>
      <c r="D61" s="998">
        <v>0.25</v>
      </c>
      <c r="E61" s="215">
        <f>'数据-汇总表'!E12</f>
        <v>0</v>
      </c>
      <c r="F61" s="940" t="e">
        <f t="shared" si="14"/>
        <v>#DIV/0!</v>
      </c>
      <c r="G61" s="946" t="s">
        <v>2354</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2355</v>
      </c>
      <c r="B62" s="216" t="e">
        <f t="shared" si="16"/>
        <v>#DIV/0!</v>
      </c>
      <c r="C62" s="168">
        <f t="shared" si="15"/>
        <v>0</v>
      </c>
      <c r="D62" s="998">
        <v>0.25</v>
      </c>
      <c r="E62" s="215">
        <f>'数据-汇总表'!E13</f>
        <v>0</v>
      </c>
      <c r="F62" s="940" t="e">
        <f t="shared" si="14"/>
        <v>#DIV/0!</v>
      </c>
      <c r="G62" s="946" t="s">
        <v>2356</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2357</v>
      </c>
      <c r="B63" s="216" t="e">
        <f t="shared" si="16"/>
        <v>#DIV/0!</v>
      </c>
      <c r="C63" s="168">
        <f t="shared" si="15"/>
        <v>0.2</v>
      </c>
      <c r="D63" s="998">
        <v>0.25</v>
      </c>
      <c r="E63" s="215">
        <f>'数据-汇总表'!E14</f>
        <v>0</v>
      </c>
      <c r="F63" s="940" t="e">
        <f t="shared" si="14"/>
        <v>#DIV/0!</v>
      </c>
      <c r="G63" s="1965" t="s">
        <v>2348</v>
      </c>
      <c r="H63" s="941" t="str">
        <f>项目基本情况!B37</f>
        <v>二级</v>
      </c>
      <c r="I63" s="945">
        <f>SUMIF(修正!A57:A68,H63,修正!G57:G68)</f>
        <v>0.2</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5" thickBot="1">
      <c r="A64" s="621" t="s">
        <v>2358</v>
      </c>
      <c r="B64" s="216" t="e">
        <f t="shared" si="16"/>
        <v>#DIV/0!</v>
      </c>
      <c r="C64" s="168">
        <f t="shared" si="15"/>
        <v>0</v>
      </c>
      <c r="D64" s="998">
        <v>0.25</v>
      </c>
      <c r="E64" s="215">
        <f>'数据-汇总表'!E15</f>
        <v>0</v>
      </c>
      <c r="F64" s="940" t="e">
        <f t="shared" si="14"/>
        <v>#DIV/0!</v>
      </c>
      <c r="G64" s="1966" t="s">
        <v>2352</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ht="13.5" thickBot="1">
      <c r="A65" s="623" t="s">
        <v>2359</v>
      </c>
      <c r="B65" s="624" t="s">
        <v>28</v>
      </c>
      <c r="C65" s="624" t="s">
        <v>29</v>
      </c>
      <c r="D65" s="624" t="s">
        <v>816</v>
      </c>
      <c r="E65" s="624">
        <f>IF(B46="楼面地价",SUM(E56:E64),'数据-汇总表'!D3)</f>
        <v>1018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2022-12-1</v>
      </c>
      <c r="D67" s="665">
        <f>EDATE(C67,-3)</f>
        <v>44805</v>
      </c>
      <c r="E67" s="665">
        <f>EDATE(D67,-3)</f>
        <v>44713</v>
      </c>
      <c r="F67" s="665">
        <f t="shared" ref="F67:O67" si="17">EDATE(E67,-3)</f>
        <v>44621</v>
      </c>
      <c r="G67" s="665">
        <f t="shared" si="17"/>
        <v>44531</v>
      </c>
      <c r="H67" s="665">
        <f t="shared" si="17"/>
        <v>44440</v>
      </c>
      <c r="I67" s="665">
        <f t="shared" si="17"/>
        <v>44348</v>
      </c>
      <c r="J67" s="665">
        <f t="shared" si="17"/>
        <v>44256</v>
      </c>
      <c r="K67" s="665">
        <f t="shared" si="17"/>
        <v>44166</v>
      </c>
      <c r="L67" s="665">
        <f t="shared" si="17"/>
        <v>44075</v>
      </c>
      <c r="M67" s="665">
        <f t="shared" si="17"/>
        <v>43983</v>
      </c>
      <c r="N67" s="665">
        <f t="shared" si="17"/>
        <v>43891</v>
      </c>
      <c r="O67" s="665">
        <f t="shared" si="17"/>
        <v>43800</v>
      </c>
      <c r="P67" s="2654"/>
      <c r="Q67" s="2654"/>
      <c r="R67" s="2654"/>
      <c r="S67" s="2654"/>
      <c r="T67" s="2654"/>
      <c r="U67" s="2654"/>
      <c r="V67" s="2654"/>
      <c r="W67" s="2654"/>
      <c r="X67" s="2654"/>
      <c r="Y67" s="2654"/>
      <c r="Z67" s="2654"/>
      <c r="AA67" s="2654"/>
      <c r="AB67" s="2654"/>
      <c r="AC67" s="2654"/>
    </row>
    <row r="68" spans="1:29" ht="21.75" thickBot="1">
      <c r="A68" s="667" t="s">
        <v>2253</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ht="15">
      <c r="A69" s="1760" t="s">
        <v>2360</v>
      </c>
      <c r="B69" s="1154"/>
      <c r="C69" s="1211" t="str">
        <f>YEAR(C67)&amp;"-"&amp;ROUNDUP(MONTH(C67)/3,0)</f>
        <v>2022-4</v>
      </c>
      <c r="D69" s="1211" t="str">
        <f>YEAR(D67)&amp;"-"&amp;ROUNDUP(MONTH(D67)/3,0)</f>
        <v>2022-3</v>
      </c>
      <c r="E69" s="1211" t="str">
        <f t="shared" ref="E69:O69" si="18">YEAR(E67)&amp;"-"&amp;ROUNDUP(MONTH(E67)/3,0)</f>
        <v>2022-2</v>
      </c>
      <c r="F69" s="1211" t="str">
        <f t="shared" si="18"/>
        <v>2022-1</v>
      </c>
      <c r="G69" s="1211" t="str">
        <f t="shared" si="18"/>
        <v>2021-4</v>
      </c>
      <c r="H69" s="1211" t="str">
        <f t="shared" si="18"/>
        <v>2021-3</v>
      </c>
      <c r="I69" s="1211" t="str">
        <f t="shared" si="18"/>
        <v>2021-2</v>
      </c>
      <c r="J69" s="1211" t="str">
        <f t="shared" si="18"/>
        <v>2021-1</v>
      </c>
      <c r="K69" s="1211" t="str">
        <f t="shared" si="18"/>
        <v>2020-4</v>
      </c>
      <c r="L69" s="1211" t="str">
        <f t="shared" si="18"/>
        <v>2020-3</v>
      </c>
      <c r="M69" s="1211" t="str">
        <f t="shared" si="18"/>
        <v>2020-2</v>
      </c>
      <c r="N69" s="1211" t="str">
        <f t="shared" si="18"/>
        <v>2020-1</v>
      </c>
      <c r="O69" s="1211" t="str">
        <f t="shared" si="18"/>
        <v>2019-4</v>
      </c>
      <c r="P69" s="2677"/>
      <c r="Q69" s="2677"/>
      <c r="R69" s="2677"/>
      <c r="S69" s="2677"/>
      <c r="T69" s="2677"/>
      <c r="U69" s="2677"/>
      <c r="V69" s="2677"/>
      <c r="W69" s="2677"/>
      <c r="X69" s="2677"/>
      <c r="Y69" s="2677"/>
      <c r="Z69" s="2677"/>
      <c r="AA69" s="2677"/>
      <c r="AB69" s="2677"/>
      <c r="AC69" s="2677"/>
    </row>
    <row r="70" spans="1:29" s="107" customFormat="1" ht="30" customHeight="1">
      <c r="A70" s="1967" t="s">
        <v>2361</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4"/>
      <c r="R70" s="2604"/>
      <c r="S70" s="2604"/>
      <c r="T70" s="2604"/>
      <c r="U70" s="2604"/>
      <c r="V70" s="2604"/>
      <c r="W70" s="2604"/>
      <c r="X70" s="2604"/>
      <c r="Y70" s="2604"/>
      <c r="Z70" s="2604"/>
      <c r="AA70" s="2604"/>
      <c r="AB70" s="2604"/>
      <c r="AC70" s="2604"/>
    </row>
    <row r="71" spans="1:29" s="107" customFormat="1" ht="15.75" thickBot="1">
      <c r="A71" s="457" t="s">
        <v>2164</v>
      </c>
      <c r="B71" s="458"/>
      <c r="C71" s="459"/>
      <c r="D71" s="460"/>
      <c r="E71" s="460"/>
      <c r="F71" s="460"/>
      <c r="G71" s="460"/>
      <c r="H71" s="460"/>
      <c r="I71" s="460"/>
      <c r="J71" s="460"/>
      <c r="K71" s="460"/>
      <c r="L71" s="460"/>
      <c r="M71" s="461"/>
      <c r="N71" s="460"/>
      <c r="O71" s="996"/>
      <c r="P71" s="2675"/>
      <c r="Q71" s="2675"/>
      <c r="R71" s="2604"/>
      <c r="S71" s="2604"/>
      <c r="T71" s="2604"/>
      <c r="U71" s="2604"/>
      <c r="V71" s="2604"/>
      <c r="W71" s="2604"/>
      <c r="X71" s="2604"/>
      <c r="Y71" s="2604"/>
      <c r="Z71" s="2604"/>
      <c r="AA71" s="2604"/>
      <c r="AB71" s="2604"/>
      <c r="AC71" s="2604"/>
    </row>
    <row r="72" spans="1:29" s="107" customFormat="1" ht="15">
      <c r="A72" s="463" t="s">
        <v>2129</v>
      </c>
      <c r="B72" s="452"/>
      <c r="C72" s="464" t="s">
        <v>2231</v>
      </c>
      <c r="D72" s="34"/>
      <c r="E72" s="34"/>
      <c r="F72" s="34"/>
      <c r="G72" s="34"/>
      <c r="H72" s="34"/>
      <c r="I72" s="34"/>
      <c r="J72" s="34"/>
      <c r="K72" s="34"/>
      <c r="L72" s="465"/>
      <c r="M72" s="466"/>
      <c r="N72" s="2687"/>
      <c r="O72" s="2687"/>
      <c r="P72" s="2711"/>
      <c r="Q72" s="2675"/>
      <c r="R72" s="2604"/>
      <c r="S72" s="2604"/>
      <c r="T72" s="2604"/>
      <c r="U72" s="2604"/>
      <c r="V72" s="2604"/>
      <c r="W72" s="2604"/>
      <c r="X72" s="2604"/>
      <c r="Y72" s="2604"/>
      <c r="Z72" s="2604"/>
      <c r="AA72" s="2604"/>
      <c r="AB72" s="2604"/>
      <c r="AC72" s="2604"/>
    </row>
    <row r="73" spans="1:29" s="107" customFormat="1" ht="15.75" thickBot="1">
      <c r="A73" s="463"/>
      <c r="B73" s="452"/>
      <c r="C73" s="571">
        <v>100</v>
      </c>
      <c r="D73" s="454"/>
      <c r="E73" s="454"/>
      <c r="F73" s="454"/>
      <c r="G73" s="454"/>
      <c r="H73" s="454"/>
      <c r="I73" s="454"/>
      <c r="J73" s="454"/>
      <c r="K73" s="454"/>
      <c r="L73" s="454"/>
      <c r="M73" s="456"/>
      <c r="N73" s="2687"/>
      <c r="O73" s="2687"/>
      <c r="P73" s="2675"/>
      <c r="Q73" s="2675"/>
      <c r="R73" s="2604"/>
      <c r="S73" s="2604"/>
      <c r="T73" s="2604"/>
      <c r="U73" s="2604"/>
      <c r="V73" s="2604"/>
      <c r="W73" s="2604"/>
      <c r="X73" s="2604"/>
      <c r="Y73" s="2604"/>
      <c r="Z73" s="2604"/>
      <c r="AA73" s="2604"/>
      <c r="AB73" s="2604"/>
      <c r="AC73" s="2604"/>
    </row>
    <row r="74" spans="1:29">
      <c r="A74" s="387" t="s">
        <v>2167</v>
      </c>
      <c r="B74" s="468" t="s">
        <v>2133</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5.7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7.75" thickTop="1">
      <c r="A76" s="375"/>
      <c r="B76" s="477" t="s">
        <v>2136</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5.7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5.75" thickTop="1">
      <c r="A78" s="375"/>
      <c r="B78" s="485" t="s">
        <v>2137</v>
      </c>
      <c r="C78" s="486" t="str">
        <f>C79&amp;"（含）"&amp;"-"&amp;D79</f>
        <v>（含）-</v>
      </c>
      <c r="D78" s="486" t="str">
        <f t="shared" ref="D78:L78" si="19">D79&amp;"（含）"&amp;"-"&amp;E79</f>
        <v>（含）-</v>
      </c>
      <c r="E78" s="486" t="str">
        <f t="shared" si="19"/>
        <v>（含）-</v>
      </c>
      <c r="F78" s="486" t="str">
        <f t="shared" si="19"/>
        <v>（含）-</v>
      </c>
      <c r="G78" s="486" t="str">
        <f t="shared" si="19"/>
        <v>（含）-</v>
      </c>
      <c r="H78" s="486" t="str">
        <f t="shared" si="19"/>
        <v>（含）-</v>
      </c>
      <c r="I78" s="486" t="str">
        <f t="shared" si="19"/>
        <v>（含）-</v>
      </c>
      <c r="J78" s="486" t="str">
        <f t="shared" si="19"/>
        <v>（含）-</v>
      </c>
      <c r="K78" s="486" t="str">
        <f t="shared" si="19"/>
        <v>（含）-</v>
      </c>
      <c r="L78" s="486" t="str">
        <f t="shared" si="19"/>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ht="15">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5.75" thickBot="1">
      <c r="A80" s="375"/>
      <c r="B80" s="474"/>
      <c r="C80" s="483">
        <v>100</v>
      </c>
      <c r="D80" s="483">
        <f t="shared" ref="D80:M80" si="20">IF($B$46="单位面积地价",C80+$K11,C80-$K11)</f>
        <v>100</v>
      </c>
      <c r="E80" s="483">
        <f t="shared" si="20"/>
        <v>100</v>
      </c>
      <c r="F80" s="483">
        <f t="shared" si="20"/>
        <v>100</v>
      </c>
      <c r="G80" s="483">
        <f t="shared" si="20"/>
        <v>100</v>
      </c>
      <c r="H80" s="483">
        <f t="shared" si="20"/>
        <v>100</v>
      </c>
      <c r="I80" s="483">
        <f t="shared" si="20"/>
        <v>100</v>
      </c>
      <c r="J80" s="483">
        <f t="shared" si="20"/>
        <v>100</v>
      </c>
      <c r="K80" s="483">
        <f t="shared" si="20"/>
        <v>100</v>
      </c>
      <c r="L80" s="483">
        <f t="shared" si="20"/>
        <v>100</v>
      </c>
      <c r="M80" s="483">
        <f t="shared" si="20"/>
        <v>100</v>
      </c>
      <c r="N80" s="2689"/>
      <c r="O80" s="2689"/>
      <c r="P80" s="2687"/>
      <c r="Q80" s="2675"/>
      <c r="R80" s="2654"/>
      <c r="S80" s="2654"/>
      <c r="T80" s="2654"/>
      <c r="U80" s="2654"/>
      <c r="V80" s="2654"/>
      <c r="W80" s="2654"/>
      <c r="X80" s="2654"/>
      <c r="Y80" s="2654"/>
      <c r="Z80" s="2654"/>
      <c r="AA80" s="2654"/>
      <c r="AB80" s="2654"/>
      <c r="AC80" s="2654"/>
    </row>
    <row r="81" spans="1:29" s="416" customFormat="1" ht="15.7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5.7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5.7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5.7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5.7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5.7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2138</v>
      </c>
      <c r="B87" s="468" t="s">
        <v>2175</v>
      </c>
      <c r="C87" s="512" t="s">
        <v>2176</v>
      </c>
      <c r="D87" s="512" t="s">
        <v>2177</v>
      </c>
      <c r="E87" s="512" t="s">
        <v>2178</v>
      </c>
      <c r="F87" s="512" t="s">
        <v>2179</v>
      </c>
      <c r="G87" s="512" t="s">
        <v>2180</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5.75" thickTop="1">
      <c r="A89" s="375"/>
      <c r="B89" s="477" t="s">
        <v>2362</v>
      </c>
      <c r="C89" s="517" t="s">
        <v>2176</v>
      </c>
      <c r="D89" s="517" t="s">
        <v>2177</v>
      </c>
      <c r="E89" s="517" t="s">
        <v>2178</v>
      </c>
      <c r="F89" s="517" t="s">
        <v>2179</v>
      </c>
      <c r="G89" s="517" t="s">
        <v>2180</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5.75" thickTop="1">
      <c r="A91" s="375"/>
      <c r="B91" s="477" t="s">
        <v>2276</v>
      </c>
      <c r="C91" s="517" t="s">
        <v>2176</v>
      </c>
      <c r="D91" s="517" t="s">
        <v>2177</v>
      </c>
      <c r="E91" s="517" t="s">
        <v>2178</v>
      </c>
      <c r="F91" s="517" t="s">
        <v>2179</v>
      </c>
      <c r="G91" s="517" t="s">
        <v>2180</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5.75" thickTop="1">
      <c r="A93" s="375"/>
      <c r="B93" s="477" t="s">
        <v>2181</v>
      </c>
      <c r="C93" s="517" t="s">
        <v>2176</v>
      </c>
      <c r="D93" s="517" t="s">
        <v>2177</v>
      </c>
      <c r="E93" s="517" t="s">
        <v>2178</v>
      </c>
      <c r="F93" s="517" t="s">
        <v>2179</v>
      </c>
      <c r="G93" s="517" t="s">
        <v>2180</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15.75" thickTop="1">
      <c r="A95" s="378"/>
      <c r="B95" s="477" t="s">
        <v>2363</v>
      </c>
      <c r="C95" s="517" t="s">
        <v>2176</v>
      </c>
      <c r="D95" s="517" t="s">
        <v>2177</v>
      </c>
      <c r="E95" s="517" t="s">
        <v>2178</v>
      </c>
      <c r="F95" s="517" t="s">
        <v>2179</v>
      </c>
      <c r="G95" s="517" t="s">
        <v>2180</v>
      </c>
      <c r="H95" s="517"/>
      <c r="I95" s="517"/>
      <c r="J95" s="517"/>
      <c r="K95" s="517"/>
      <c r="L95" s="626"/>
      <c r="M95" s="555"/>
      <c r="N95" s="2687"/>
      <c r="O95" s="2687"/>
      <c r="P95" s="2687"/>
      <c r="Q95" s="2675"/>
      <c r="R95" s="2604"/>
      <c r="S95" s="2604"/>
      <c r="T95" s="2604"/>
      <c r="U95" s="2604"/>
      <c r="V95" s="2604"/>
      <c r="W95" s="2604"/>
      <c r="X95" s="2604"/>
      <c r="Y95" s="2604"/>
      <c r="Z95" s="2604"/>
      <c r="AA95" s="2604"/>
      <c r="AB95" s="2604"/>
      <c r="AC95" s="2604"/>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4"/>
      <c r="S96" s="2604"/>
      <c r="T96" s="2604"/>
      <c r="U96" s="2604"/>
      <c r="V96" s="2604"/>
      <c r="W96" s="2604"/>
      <c r="X96" s="2604"/>
      <c r="Y96" s="2604"/>
      <c r="Z96" s="2604"/>
      <c r="AA96" s="2604"/>
      <c r="AB96" s="2604"/>
      <c r="AC96" s="2604"/>
    </row>
    <row r="97" spans="1:29" s="107" customFormat="1" ht="27.75" thickTop="1">
      <c r="A97" s="378"/>
      <c r="B97" s="477" t="s">
        <v>2364</v>
      </c>
      <c r="C97" s="512" t="s">
        <v>2176</v>
      </c>
      <c r="D97" s="512" t="s">
        <v>2177</v>
      </c>
      <c r="E97" s="512" t="s">
        <v>2178</v>
      </c>
      <c r="F97" s="512" t="s">
        <v>2179</v>
      </c>
      <c r="G97" s="512" t="s">
        <v>2180</v>
      </c>
      <c r="H97" s="517"/>
      <c r="I97" s="517"/>
      <c r="J97" s="517"/>
      <c r="K97" s="517"/>
      <c r="L97" s="517"/>
      <c r="M97" s="555"/>
      <c r="N97" s="2687"/>
      <c r="O97" s="2687"/>
      <c r="P97" s="2687"/>
      <c r="Q97" s="2675"/>
      <c r="R97" s="2604"/>
      <c r="S97" s="2604"/>
      <c r="T97" s="2604"/>
      <c r="U97" s="2604"/>
      <c r="V97" s="2604"/>
      <c r="W97" s="2604"/>
      <c r="X97" s="2604"/>
      <c r="Y97" s="2604"/>
      <c r="Z97" s="2604"/>
      <c r="AA97" s="2604"/>
      <c r="AB97" s="2604"/>
      <c r="AC97" s="2604"/>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4"/>
      <c r="S98" s="2604"/>
      <c r="T98" s="2604"/>
      <c r="U98" s="2604"/>
      <c r="V98" s="2604"/>
      <c r="W98" s="2604"/>
      <c r="X98" s="2604"/>
      <c r="Y98" s="2604"/>
      <c r="Z98" s="2604"/>
      <c r="AA98" s="2604"/>
      <c r="AB98" s="2604"/>
      <c r="AC98" s="2604"/>
    </row>
    <row r="99" spans="1:29" s="416" customFormat="1" ht="15.75" thickTop="1">
      <c r="A99" s="492"/>
      <c r="B99" s="477" t="s">
        <v>2233</v>
      </c>
      <c r="C99" s="512" t="s">
        <v>2176</v>
      </c>
      <c r="D99" s="512" t="s">
        <v>2177</v>
      </c>
      <c r="E99" s="512" t="s">
        <v>2178</v>
      </c>
      <c r="F99" s="512" t="s">
        <v>2179</v>
      </c>
      <c r="G99" s="512" t="s">
        <v>2180</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5.75" thickTop="1">
      <c r="A101" s="492"/>
      <c r="B101" s="485" t="s">
        <v>2234</v>
      </c>
      <c r="C101" s="589" t="s">
        <v>2254</v>
      </c>
      <c r="D101" s="589" t="s">
        <v>2255</v>
      </c>
      <c r="E101" s="589" t="s">
        <v>2256</v>
      </c>
      <c r="F101" s="589" t="s">
        <v>2257</v>
      </c>
      <c r="G101" s="589" t="s">
        <v>2258</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5.75" thickTop="1">
      <c r="A103" s="375"/>
      <c r="B103" s="477" t="str">
        <f>B31</f>
        <v>临街状况</v>
      </c>
      <c r="C103" s="478" t="s">
        <v>2365</v>
      </c>
      <c r="D103" s="478" t="s">
        <v>2366</v>
      </c>
      <c r="E103" s="478" t="s">
        <v>2367</v>
      </c>
      <c r="F103" s="478" t="s">
        <v>2368</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5.75" thickBot="1">
      <c r="A104" s="375"/>
      <c r="B104" s="482"/>
      <c r="C104" s="483">
        <v>100</v>
      </c>
      <c r="D104" s="483">
        <f t="shared" ref="D104:M104" si="21">C104-$K31</f>
        <v>100</v>
      </c>
      <c r="E104" s="483">
        <f t="shared" si="21"/>
        <v>100</v>
      </c>
      <c r="F104" s="483">
        <f t="shared" si="21"/>
        <v>100</v>
      </c>
      <c r="G104" s="483">
        <f t="shared" si="21"/>
        <v>100</v>
      </c>
      <c r="H104" s="483">
        <f t="shared" si="21"/>
        <v>100</v>
      </c>
      <c r="I104" s="483">
        <f t="shared" si="21"/>
        <v>100</v>
      </c>
      <c r="J104" s="483">
        <f t="shared" si="21"/>
        <v>100</v>
      </c>
      <c r="K104" s="483">
        <f t="shared" si="21"/>
        <v>100</v>
      </c>
      <c r="L104" s="483">
        <f t="shared" si="21"/>
        <v>100</v>
      </c>
      <c r="M104" s="483">
        <f t="shared" si="21"/>
        <v>100</v>
      </c>
      <c r="N104" s="2689"/>
      <c r="O104" s="2689"/>
      <c r="P104" s="2687"/>
      <c r="Q104" s="2675"/>
      <c r="R104" s="2654"/>
      <c r="S104" s="2654"/>
      <c r="T104" s="2654"/>
      <c r="U104" s="2654"/>
      <c r="V104" s="2654"/>
      <c r="W104" s="2654"/>
      <c r="X104" s="2654"/>
      <c r="Y104" s="2654"/>
      <c r="Z104" s="2654"/>
      <c r="AA104" s="2654"/>
      <c r="AB104" s="2654"/>
      <c r="AC104" s="2654"/>
    </row>
    <row r="105" spans="1:29" ht="27.75" thickTop="1">
      <c r="A105" s="375"/>
      <c r="B105" s="477" t="s">
        <v>2270</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2">C106-$K32</f>
        <v>100</v>
      </c>
      <c r="E106" s="483">
        <f t="shared" si="22"/>
        <v>100</v>
      </c>
      <c r="F106" s="483">
        <f t="shared" si="22"/>
        <v>100</v>
      </c>
      <c r="G106" s="483">
        <f t="shared" si="22"/>
        <v>100</v>
      </c>
      <c r="H106" s="483">
        <f t="shared" si="22"/>
        <v>100</v>
      </c>
      <c r="I106" s="483">
        <f t="shared" si="22"/>
        <v>100</v>
      </c>
      <c r="J106" s="483">
        <f t="shared" si="22"/>
        <v>100</v>
      </c>
      <c r="K106" s="483">
        <f t="shared" si="22"/>
        <v>100</v>
      </c>
      <c r="L106" s="483">
        <f t="shared" si="22"/>
        <v>100</v>
      </c>
      <c r="M106" s="483">
        <f t="shared" si="22"/>
        <v>100</v>
      </c>
      <c r="N106" s="2689"/>
      <c r="O106" s="2689"/>
      <c r="P106" s="2687"/>
      <c r="Q106" s="2675"/>
      <c r="R106" s="2654"/>
      <c r="S106" s="2654"/>
      <c r="T106" s="2654"/>
      <c r="U106" s="2654"/>
      <c r="V106" s="2654"/>
      <c r="W106" s="2654"/>
      <c r="X106" s="2654"/>
      <c r="Y106" s="2654"/>
      <c r="Z106" s="2654"/>
      <c r="AA106" s="2654"/>
      <c r="AB106" s="2654"/>
      <c r="AC106" s="2654"/>
    </row>
    <row r="107" spans="1:29" ht="15.75" thickTop="1">
      <c r="A107" s="375"/>
      <c r="B107" s="477" t="s">
        <v>2329</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3">C108-$K34</f>
        <v>100</v>
      </c>
      <c r="E108" s="483">
        <f t="shared" si="23"/>
        <v>100</v>
      </c>
      <c r="F108" s="483">
        <f t="shared" si="23"/>
        <v>100</v>
      </c>
      <c r="G108" s="483">
        <f t="shared" si="23"/>
        <v>100</v>
      </c>
      <c r="H108" s="483">
        <f t="shared" si="23"/>
        <v>100</v>
      </c>
      <c r="I108" s="483">
        <f t="shared" si="23"/>
        <v>100</v>
      </c>
      <c r="J108" s="483">
        <f t="shared" si="23"/>
        <v>100</v>
      </c>
      <c r="K108" s="483">
        <f t="shared" si="23"/>
        <v>100</v>
      </c>
      <c r="L108" s="483">
        <f t="shared" si="23"/>
        <v>100</v>
      </c>
      <c r="M108" s="483">
        <f t="shared" si="23"/>
        <v>100</v>
      </c>
      <c r="N108" s="2689"/>
      <c r="O108" s="2689"/>
      <c r="P108" s="2687"/>
      <c r="Q108" s="2675"/>
      <c r="R108" s="2654"/>
      <c r="S108" s="2654"/>
      <c r="T108" s="2654"/>
      <c r="U108" s="2654"/>
      <c r="V108" s="2654"/>
      <c r="W108" s="2654"/>
      <c r="X108" s="2654"/>
      <c r="Y108" s="2654"/>
      <c r="Z108" s="2654"/>
      <c r="AA108" s="2654"/>
      <c r="AB108" s="2654"/>
      <c r="AC108" s="2654"/>
    </row>
    <row r="109" spans="1:29" ht="15.7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5.7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5.7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5.7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2142</v>
      </c>
      <c r="B115" s="468" t="s">
        <v>2369</v>
      </c>
      <c r="C115" s="469" t="str">
        <f>C116&amp;"(含)"&amp;"-"&amp;D116</f>
        <v>(含)-</v>
      </c>
      <c r="D115" s="469" t="str">
        <f t="shared" ref="D115:M115" si="24">D116&amp;"(含)"&amp;"-"&amp;E116</f>
        <v>(含)-</v>
      </c>
      <c r="E115" s="469" t="str">
        <f t="shared" si="24"/>
        <v>(含)-</v>
      </c>
      <c r="F115" s="469" t="str">
        <f t="shared" si="24"/>
        <v>(含)-</v>
      </c>
      <c r="G115" s="469" t="str">
        <f t="shared" si="24"/>
        <v>(含)-</v>
      </c>
      <c r="H115" s="469" t="str">
        <f t="shared" si="24"/>
        <v>(含)-</v>
      </c>
      <c r="I115" s="469" t="str">
        <f t="shared" si="24"/>
        <v>(含)-</v>
      </c>
      <c r="J115" s="469" t="str">
        <f t="shared" si="24"/>
        <v>(含)-</v>
      </c>
      <c r="K115" s="469" t="str">
        <f t="shared" si="24"/>
        <v>(含)-</v>
      </c>
      <c r="L115" s="469" t="str">
        <f t="shared" si="24"/>
        <v>(含)-</v>
      </c>
      <c r="M115" s="469" t="str">
        <f t="shared" si="24"/>
        <v>(含)-</v>
      </c>
      <c r="N115" s="2688"/>
      <c r="O115" s="2688"/>
      <c r="P115" s="2687"/>
      <c r="Q115" s="2675"/>
      <c r="R115" s="2654"/>
      <c r="S115" s="2654"/>
      <c r="T115" s="2654"/>
      <c r="U115" s="2654"/>
      <c r="V115" s="2654"/>
      <c r="W115" s="2654"/>
      <c r="X115" s="2654"/>
      <c r="Y115" s="2654"/>
      <c r="Z115" s="2654"/>
      <c r="AA115" s="2654"/>
      <c r="AB115" s="2654"/>
      <c r="AC115" s="2654"/>
    </row>
    <row r="116" spans="1:29" ht="15">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5.7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5" thickTop="1">
      <c r="A118" s="417"/>
      <c r="B118" s="477" t="s">
        <v>2370</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5.75" thickBot="1">
      <c r="A119" s="375"/>
      <c r="B119" s="482"/>
      <c r="C119" s="483">
        <v>100</v>
      </c>
      <c r="D119" s="483">
        <f t="shared" ref="D119:M119" si="25">C119-$K39</f>
        <v>100</v>
      </c>
      <c r="E119" s="483">
        <f t="shared" si="25"/>
        <v>100</v>
      </c>
      <c r="F119" s="483">
        <f t="shared" si="25"/>
        <v>100</v>
      </c>
      <c r="G119" s="483">
        <f t="shared" si="25"/>
        <v>100</v>
      </c>
      <c r="H119" s="483">
        <f t="shared" si="25"/>
        <v>100</v>
      </c>
      <c r="I119" s="483">
        <f t="shared" si="25"/>
        <v>100</v>
      </c>
      <c r="J119" s="483">
        <f t="shared" si="25"/>
        <v>100</v>
      </c>
      <c r="K119" s="483">
        <f t="shared" si="25"/>
        <v>100</v>
      </c>
      <c r="L119" s="483">
        <f t="shared" si="25"/>
        <v>100</v>
      </c>
      <c r="M119" s="484">
        <f t="shared" si="25"/>
        <v>100</v>
      </c>
      <c r="N119" s="2689"/>
      <c r="O119" s="2689"/>
      <c r="P119" s="2687"/>
      <c r="Q119" s="2675"/>
      <c r="R119" s="2654"/>
      <c r="S119" s="2654"/>
      <c r="T119" s="2654"/>
      <c r="U119" s="2654"/>
      <c r="V119" s="2654"/>
      <c r="W119" s="2654"/>
      <c r="X119" s="2654"/>
      <c r="Y119" s="2654"/>
      <c r="Z119" s="2654"/>
      <c r="AA119" s="2654"/>
      <c r="AB119" s="2654"/>
      <c r="AC119" s="2654"/>
    </row>
    <row r="120" spans="1:29" ht="15" thickTop="1">
      <c r="A120" s="417"/>
      <c r="B120" s="477" t="s">
        <v>2371</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5.75" thickBot="1">
      <c r="A121" s="375"/>
      <c r="B121" s="482"/>
      <c r="C121" s="483">
        <v>100</v>
      </c>
      <c r="D121" s="483">
        <f t="shared" ref="D121:M121" si="26">C121-$K40</f>
        <v>100</v>
      </c>
      <c r="E121" s="483">
        <f t="shared" si="26"/>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5" thickTop="1">
      <c r="A122" s="414"/>
      <c r="B122" s="477" t="s">
        <v>2372</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5.75" thickBot="1">
      <c r="A123" s="492"/>
      <c r="B123" s="482"/>
      <c r="C123" s="483">
        <v>100</v>
      </c>
      <c r="D123" s="483">
        <f t="shared" ref="D123:M123" si="27">C123-$K41</f>
        <v>100</v>
      </c>
      <c r="E123" s="483">
        <f t="shared" si="27"/>
        <v>100</v>
      </c>
      <c r="F123" s="483">
        <f t="shared" si="27"/>
        <v>100</v>
      </c>
      <c r="G123" s="483">
        <f t="shared" si="27"/>
        <v>100</v>
      </c>
      <c r="H123" s="483">
        <f t="shared" si="27"/>
        <v>100</v>
      </c>
      <c r="I123" s="483">
        <f t="shared" si="27"/>
        <v>100</v>
      </c>
      <c r="J123" s="483">
        <f t="shared" si="27"/>
        <v>100</v>
      </c>
      <c r="K123" s="483">
        <f t="shared" si="27"/>
        <v>100</v>
      </c>
      <c r="L123" s="483">
        <f t="shared" si="27"/>
        <v>100</v>
      </c>
      <c r="M123" s="484">
        <f t="shared" si="27"/>
        <v>100</v>
      </c>
      <c r="N123" s="2690"/>
      <c r="O123" s="2690"/>
      <c r="P123" s="2690"/>
      <c r="Q123" s="2682"/>
      <c r="R123" s="2660"/>
      <c r="S123" s="2660"/>
      <c r="T123" s="2660"/>
      <c r="U123" s="2660"/>
      <c r="V123" s="2660"/>
      <c r="W123" s="2660"/>
      <c r="X123" s="2660"/>
      <c r="Y123" s="2660"/>
      <c r="Z123" s="2660"/>
      <c r="AA123" s="2660"/>
      <c r="AB123" s="2660"/>
      <c r="AC123" s="2660"/>
    </row>
    <row r="124" spans="1:29" ht="15" thickTop="1">
      <c r="A124" s="417"/>
      <c r="B124" s="477" t="s">
        <v>2373</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 t="shared" ref="D125:M125" si="28">C125-$K42</f>
        <v>100</v>
      </c>
      <c r="E125" s="483">
        <f t="shared" si="28"/>
        <v>100</v>
      </c>
      <c r="F125" s="483">
        <f t="shared" si="28"/>
        <v>100</v>
      </c>
      <c r="G125" s="483">
        <f t="shared" si="28"/>
        <v>100</v>
      </c>
      <c r="H125" s="483">
        <f t="shared" si="28"/>
        <v>100</v>
      </c>
      <c r="I125" s="483">
        <f t="shared" si="28"/>
        <v>100</v>
      </c>
      <c r="J125" s="483">
        <f t="shared" si="28"/>
        <v>100</v>
      </c>
      <c r="K125" s="483">
        <f t="shared" si="28"/>
        <v>100</v>
      </c>
      <c r="L125" s="483">
        <f t="shared" si="28"/>
        <v>100</v>
      </c>
      <c r="M125" s="484">
        <f t="shared" si="28"/>
        <v>100</v>
      </c>
      <c r="N125" s="2689"/>
      <c r="O125" s="2689"/>
      <c r="P125" s="2687"/>
      <c r="Q125" s="2675"/>
      <c r="R125" s="2654"/>
      <c r="S125" s="2654"/>
      <c r="T125" s="2654"/>
      <c r="U125" s="2654"/>
      <c r="V125" s="2654"/>
      <c r="W125" s="2654"/>
      <c r="X125" s="2654"/>
      <c r="Y125" s="2654"/>
      <c r="Z125" s="2654"/>
      <c r="AA125" s="2654"/>
      <c r="AB125" s="2654"/>
      <c r="AC125" s="2654"/>
    </row>
    <row r="126" spans="1:29" ht="1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5.7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5.7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5.7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1" xr:uid="{00000000-0002-0000-2700-000013000000}">
      <formula1>"商业,办公,住宅,工业"</formula1>
    </dataValidation>
    <dataValidation type="list" allowBlank="1" showInputMessage="1" showErrorMessage="1" sqref="G62" xr:uid="{00000000-0002-0000-2700-000014000000}">
      <formula1>"住宅,工业"</formula1>
    </dataValidation>
    <dataValidation type="list" allowBlank="1" showInputMessage="1" showErrorMessage="1" sqref="C30 E30 G30 I30" xr:uid="{00000000-0002-0000-2700-000015000000}">
      <formula1>基础设施水平</formula1>
    </dataValidation>
    <dataValidation type="list" allowBlank="1" showInputMessage="1" showErrorMessage="1" sqref="A70" xr:uid="{00000000-0002-0000-2700-000016000000}">
      <formula1>"综合,商业,办公,住宅"</formula1>
    </dataValidation>
    <dataValidation type="list" allowBlank="1" showInputMessage="1" showErrorMessage="1" sqref="D47" xr:uid="{00000000-0002-0000-2700-000017000000}">
      <formula1>"简单平均,加权平均"</formula1>
    </dataValidation>
    <dataValidation type="list" allowBlank="1" showInputMessage="1" showErrorMessage="1" sqref="D57:D64" xr:uid="{00000000-0002-0000-27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2374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26" t="s">
        <v>2225</v>
      </c>
      <c r="D4" s="3227"/>
      <c r="E4" s="3228" t="s">
        <v>2226</v>
      </c>
      <c r="F4" s="3229"/>
      <c r="G4" s="3226" t="s">
        <v>2227</v>
      </c>
      <c r="H4" s="3227"/>
      <c r="I4" s="3226" t="s">
        <v>2228</v>
      </c>
      <c r="J4" s="3227"/>
      <c r="K4" s="545" t="s">
        <v>2229</v>
      </c>
      <c r="L4" s="2653"/>
      <c r="M4" s="2654"/>
      <c r="N4" s="2654"/>
      <c r="O4" s="2654"/>
      <c r="P4" s="3230" t="s">
        <v>2230</v>
      </c>
      <c r="Q4" s="3231"/>
      <c r="R4" s="3236" t="s">
        <v>2226</v>
      </c>
      <c r="S4" s="3237"/>
      <c r="T4" s="3236" t="s">
        <v>2227</v>
      </c>
      <c r="U4" s="3237"/>
      <c r="V4" s="3252" t="s">
        <v>2228</v>
      </c>
      <c r="W4" s="3252"/>
      <c r="X4" s="1394"/>
      <c r="Y4" s="3236" t="s">
        <v>2230</v>
      </c>
      <c r="Z4" s="3237"/>
      <c r="AA4" s="3223" t="s">
        <v>2226</v>
      </c>
      <c r="AB4" s="3224" t="s">
        <v>2227</v>
      </c>
      <c r="AC4" s="3223" t="s">
        <v>2228</v>
      </c>
    </row>
    <row r="5" spans="1:29" ht="15">
      <c r="A5" s="354"/>
      <c r="B5" s="355"/>
      <c r="C5" s="3240" t="s">
        <v>2121</v>
      </c>
      <c r="D5" s="3241"/>
      <c r="E5" s="3301" t="s">
        <v>2122</v>
      </c>
      <c r="F5" s="3243"/>
      <c r="G5" s="3240" t="s">
        <v>2123</v>
      </c>
      <c r="H5" s="3241"/>
      <c r="I5" s="3240" t="s">
        <v>2124</v>
      </c>
      <c r="J5" s="3241"/>
      <c r="K5" s="545"/>
      <c r="L5" s="2653"/>
      <c r="M5" s="2654"/>
      <c r="N5" s="2654"/>
      <c r="O5" s="2654"/>
      <c r="P5" s="3232"/>
      <c r="Q5" s="3233"/>
      <c r="R5" s="3238"/>
      <c r="S5" s="3239"/>
      <c r="T5" s="3238"/>
      <c r="U5" s="3239"/>
      <c r="V5" s="3252"/>
      <c r="W5" s="3252"/>
      <c r="X5" s="1394"/>
      <c r="Y5" s="3238"/>
      <c r="Z5" s="3239"/>
      <c r="AA5" s="3224"/>
      <c r="AB5" s="3224"/>
      <c r="AC5" s="3224"/>
    </row>
    <row r="6" spans="1:29" ht="15.75" thickBot="1">
      <c r="A6" s="356"/>
      <c r="B6" s="357"/>
      <c r="C6" s="3322" t="s">
        <v>2375</v>
      </c>
      <c r="D6" s="3323"/>
      <c r="E6" s="3324" t="s">
        <v>2375</v>
      </c>
      <c r="F6" s="3325"/>
      <c r="G6" s="3322" t="s">
        <v>2375</v>
      </c>
      <c r="H6" s="3323"/>
      <c r="I6" s="3322" t="s">
        <v>2375</v>
      </c>
      <c r="J6" s="3323"/>
      <c r="K6" s="545" t="s">
        <v>2126</v>
      </c>
      <c r="L6" s="2653"/>
      <c r="M6" s="2654"/>
      <c r="N6" s="2654"/>
      <c r="O6" s="2654"/>
      <c r="P6" s="3234"/>
      <c r="Q6" s="3235"/>
      <c r="R6" s="3238"/>
      <c r="S6" s="3239"/>
      <c r="T6" s="3250"/>
      <c r="U6" s="3251"/>
      <c r="V6" s="3252"/>
      <c r="W6" s="3252"/>
      <c r="X6" s="1394"/>
      <c r="Y6" s="3250"/>
      <c r="Z6" s="3251"/>
      <c r="AA6" s="3225"/>
      <c r="AB6" s="3225"/>
      <c r="AC6" s="3225"/>
    </row>
    <row r="7" spans="1:29" s="107" customFormat="1" ht="15.75" thickBot="1">
      <c r="A7" s="358" t="s">
        <v>2127</v>
      </c>
      <c r="B7" s="359"/>
      <c r="C7" s="360">
        <f>'数据-取费表'!B2</f>
        <v>44914</v>
      </c>
      <c r="D7" s="361">
        <v>100</v>
      </c>
      <c r="E7" s="362"/>
      <c r="F7" s="363">
        <f>SUMIF(65:65,YEAR(E7)&amp;"-"&amp;INT((MONTH(E7)+2)/3),66:66)</f>
        <v>0</v>
      </c>
      <c r="G7" s="1952"/>
      <c r="H7" s="361">
        <f>SUMIF(65:65,YEAR(G7)&amp;"-"&amp;INT((MONTH(G7)+2)/3),66:66)</f>
        <v>0</v>
      </c>
      <c r="I7" s="1952"/>
      <c r="J7" s="361">
        <f>SUMIF(65:65,YEAR(I7)&amp;"-"&amp;INT((MONTH(I7)+2)/3),66:66)</f>
        <v>0</v>
      </c>
      <c r="K7" s="41"/>
      <c r="L7" s="2655"/>
      <c r="M7" s="2604"/>
      <c r="N7" s="2604"/>
      <c r="O7" s="2604"/>
      <c r="P7" s="3253" t="s">
        <v>2128</v>
      </c>
      <c r="Q7" s="3254"/>
      <c r="R7" s="673" t="s">
        <v>17</v>
      </c>
      <c r="S7" s="674">
        <f t="shared" ref="S7:S15" si="0">F7</f>
        <v>0</v>
      </c>
      <c r="T7" s="673" t="s">
        <v>17</v>
      </c>
      <c r="U7" s="674">
        <f t="shared" ref="U7:U15" si="1">H7</f>
        <v>0</v>
      </c>
      <c r="V7" s="673" t="s">
        <v>17</v>
      </c>
      <c r="W7" s="674">
        <f t="shared" ref="W7:W15" si="2">J7</f>
        <v>0</v>
      </c>
      <c r="X7" s="675"/>
      <c r="Y7" s="3253" t="s">
        <v>2128</v>
      </c>
      <c r="Z7" s="3255"/>
      <c r="AA7" s="53" t="e">
        <f>D7/F7</f>
        <v>#DIV/0!</v>
      </c>
      <c r="AB7" s="53" t="e">
        <f>D7/H7</f>
        <v>#DIV/0!</v>
      </c>
      <c r="AC7" s="53" t="e">
        <f>D7/J7</f>
        <v>#DIV/0!</v>
      </c>
    </row>
    <row r="8" spans="1:29" s="107" customFormat="1" ht="15.75" thickBot="1">
      <c r="A8" s="358" t="s">
        <v>2129</v>
      </c>
      <c r="B8" s="359"/>
      <c r="C8" s="364" t="s">
        <v>2130</v>
      </c>
      <c r="D8" s="361">
        <v>100</v>
      </c>
      <c r="E8" s="364"/>
      <c r="F8" s="363">
        <f>SUMIF(68:68,E8,69:69)-SUMIF(68:68,C8,69:69)+100</f>
        <v>0</v>
      </c>
      <c r="G8" s="364"/>
      <c r="H8" s="361">
        <f>SUMIF(68:68,G8,69:69)-SUMIF(68:68,C8,69:69)+100</f>
        <v>0</v>
      </c>
      <c r="I8" s="364"/>
      <c r="J8" s="361">
        <f>SUMIF(68:68,I8,69:69)-SUMIF(68:68,C8,69:69)+100</f>
        <v>0</v>
      </c>
      <c r="K8" s="41"/>
      <c r="L8" s="2655"/>
      <c r="M8" s="2604"/>
      <c r="N8" s="2604"/>
      <c r="O8" s="2604"/>
      <c r="P8" s="3253" t="s">
        <v>2131</v>
      </c>
      <c r="Q8" s="3255"/>
      <c r="R8" s="673" t="s">
        <v>17</v>
      </c>
      <c r="S8" s="674">
        <f t="shared" si="0"/>
        <v>0</v>
      </c>
      <c r="T8" s="673" t="s">
        <v>17</v>
      </c>
      <c r="U8" s="674">
        <f t="shared" si="1"/>
        <v>0</v>
      </c>
      <c r="V8" s="673" t="s">
        <v>17</v>
      </c>
      <c r="W8" s="674">
        <f t="shared" si="2"/>
        <v>0</v>
      </c>
      <c r="X8" s="675"/>
      <c r="Y8" s="3253" t="s">
        <v>2131</v>
      </c>
      <c r="Z8" s="3255"/>
      <c r="AA8" s="53" t="e">
        <f t="shared" ref="AA8:AA40" si="3">D8/F8</f>
        <v>#DIV/0!</v>
      </c>
      <c r="AB8" s="53" t="e">
        <f t="shared" ref="AB8:AB40" si="4">D8/H8</f>
        <v>#DIV/0!</v>
      </c>
      <c r="AC8" s="53" t="e">
        <f t="shared" ref="AC8:AC40" si="5">D8/J8</f>
        <v>#DIV/0!</v>
      </c>
    </row>
    <row r="9" spans="1:29" s="107" customFormat="1">
      <c r="A9" s="365" t="s">
        <v>2132</v>
      </c>
      <c r="B9" s="64" t="s">
        <v>2133</v>
      </c>
      <c r="C9" s="1955"/>
      <c r="D9" s="63">
        <v>100</v>
      </c>
      <c r="E9" s="1955"/>
      <c r="F9" s="63">
        <f>SUMIF(70:70,E9,71:71)-SUMIF(70:70,C9,71:71)+100</f>
        <v>100</v>
      </c>
      <c r="G9" s="1955"/>
      <c r="H9" s="63">
        <f>SUMIF(70:70,G9,71:71)-SUMIF(70:70,C9,71:71)+100</f>
        <v>100</v>
      </c>
      <c r="I9" s="1955"/>
      <c r="J9" s="63">
        <f>SUMIF(70:70,I9,71:71)-SUMIF(70:70,C9,71:71)+100</f>
        <v>100</v>
      </c>
      <c r="K9" s="41"/>
      <c r="L9" s="2655"/>
      <c r="M9" s="2604"/>
      <c r="N9" s="2604"/>
      <c r="O9" s="2707"/>
      <c r="P9" s="3266" t="s">
        <v>2134</v>
      </c>
      <c r="Q9" s="538" t="str">
        <f t="shared" ref="Q9:Q15" si="6">B9</f>
        <v>用途</v>
      </c>
      <c r="R9" s="673" t="s">
        <v>17</v>
      </c>
      <c r="S9" s="674">
        <f t="shared" si="0"/>
        <v>100</v>
      </c>
      <c r="T9" s="673" t="s">
        <v>17</v>
      </c>
      <c r="U9" s="674">
        <f t="shared" si="1"/>
        <v>100</v>
      </c>
      <c r="V9" s="673" t="s">
        <v>17</v>
      </c>
      <c r="W9" s="674">
        <f t="shared" si="2"/>
        <v>100</v>
      </c>
      <c r="X9" s="675"/>
      <c r="Y9" s="3191" t="s">
        <v>2135</v>
      </c>
      <c r="Z9" s="53" t="str">
        <f t="shared" ref="Z9:Z15" si="7">Q9</f>
        <v>用途</v>
      </c>
      <c r="AA9" s="53">
        <f t="shared" si="3"/>
        <v>1</v>
      </c>
      <c r="AB9" s="53">
        <f t="shared" si="4"/>
        <v>1</v>
      </c>
      <c r="AC9" s="53">
        <f t="shared" si="5"/>
        <v>1</v>
      </c>
    </row>
    <row r="10" spans="1:29" s="374" customFormat="1" ht="27">
      <c r="A10" s="369"/>
      <c r="B10" s="370" t="s">
        <v>2136</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66"/>
      <c r="Q10" s="538" t="str">
        <f t="shared" si="6"/>
        <v>土地使用年限（年）</v>
      </c>
      <c r="R10" s="673" t="s">
        <v>17</v>
      </c>
      <c r="S10" s="674" t="e">
        <f t="shared" si="0"/>
        <v>#DIV/0!</v>
      </c>
      <c r="T10" s="673" t="s">
        <v>17</v>
      </c>
      <c r="U10" s="674" t="e">
        <f t="shared" si="1"/>
        <v>#DIV/0!</v>
      </c>
      <c r="V10" s="673" t="s">
        <v>17</v>
      </c>
      <c r="W10" s="674" t="e">
        <f t="shared" si="2"/>
        <v>#DIV/0!</v>
      </c>
      <c r="X10" s="675"/>
      <c r="Y10" s="3191"/>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66"/>
      <c r="Q11" s="538" t="str">
        <f t="shared" si="6"/>
        <v>容积率</v>
      </c>
      <c r="R11" s="673" t="s">
        <v>17</v>
      </c>
      <c r="S11" s="674" t="e">
        <f t="shared" si="0"/>
        <v>#N/A</v>
      </c>
      <c r="T11" s="673" t="s">
        <v>17</v>
      </c>
      <c r="U11" s="674" t="e">
        <f t="shared" si="1"/>
        <v>#N/A</v>
      </c>
      <c r="V11" s="673" t="s">
        <v>17</v>
      </c>
      <c r="W11" s="674" t="e">
        <f t="shared" si="2"/>
        <v>#N/A</v>
      </c>
      <c r="X11" s="675"/>
      <c r="Y11" s="3191"/>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4"/>
      <c r="N12" s="2604"/>
      <c r="O12" s="2707"/>
      <c r="P12" s="3266"/>
      <c r="Q12" s="538">
        <f t="shared" si="6"/>
        <v>111</v>
      </c>
      <c r="R12" s="673" t="s">
        <v>17</v>
      </c>
      <c r="S12" s="674">
        <f t="shared" si="0"/>
        <v>100</v>
      </c>
      <c r="T12" s="673" t="s">
        <v>17</v>
      </c>
      <c r="U12" s="674">
        <f t="shared" si="1"/>
        <v>100</v>
      </c>
      <c r="V12" s="673" t="s">
        <v>17</v>
      </c>
      <c r="W12" s="674">
        <f t="shared" si="2"/>
        <v>100</v>
      </c>
      <c r="X12" s="675"/>
      <c r="Y12" s="3191"/>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66"/>
      <c r="Q13" s="538">
        <f t="shared" si="6"/>
        <v>111</v>
      </c>
      <c r="R13" s="673" t="s">
        <v>17</v>
      </c>
      <c r="S13" s="674">
        <f t="shared" si="0"/>
        <v>100</v>
      </c>
      <c r="T13" s="673" t="s">
        <v>17</v>
      </c>
      <c r="U13" s="674">
        <f t="shared" si="1"/>
        <v>100</v>
      </c>
      <c r="V13" s="673" t="s">
        <v>17</v>
      </c>
      <c r="W13" s="674">
        <f t="shared" si="2"/>
        <v>100</v>
      </c>
      <c r="X13" s="675"/>
      <c r="Y13" s="3191"/>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66"/>
      <c r="Q14" s="538">
        <f t="shared" si="6"/>
        <v>111</v>
      </c>
      <c r="R14" s="673" t="s">
        <v>17</v>
      </c>
      <c r="S14" s="674">
        <f t="shared" si="0"/>
        <v>100</v>
      </c>
      <c r="T14" s="673" t="s">
        <v>17</v>
      </c>
      <c r="U14" s="674">
        <f t="shared" si="1"/>
        <v>100</v>
      </c>
      <c r="V14" s="673" t="s">
        <v>17</v>
      </c>
      <c r="W14" s="674">
        <f t="shared" si="2"/>
        <v>100</v>
      </c>
      <c r="X14" s="675"/>
      <c r="Y14" s="3191"/>
      <c r="Z14" s="53">
        <f t="shared" si="7"/>
        <v>111</v>
      </c>
      <c r="AA14" s="53">
        <f t="shared" si="3"/>
        <v>1</v>
      </c>
      <c r="AB14" s="53">
        <f t="shared" si="4"/>
        <v>1</v>
      </c>
      <c r="AC14" s="53">
        <f t="shared" si="5"/>
        <v>1</v>
      </c>
    </row>
    <row r="15" spans="1:29" ht="57">
      <c r="A15" s="387" t="s">
        <v>2138</v>
      </c>
      <c r="B15" s="562" t="s">
        <v>2376</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59" t="s">
        <v>2139</v>
      </c>
      <c r="Q15" s="1392" t="str">
        <f t="shared" si="6"/>
        <v>产业集聚程度</v>
      </c>
      <c r="R15" s="676" t="s">
        <v>17</v>
      </c>
      <c r="S15" s="677">
        <f t="shared" si="0"/>
        <v>100</v>
      </c>
      <c r="T15" s="676" t="s">
        <v>17</v>
      </c>
      <c r="U15" s="677">
        <f t="shared" si="1"/>
        <v>100</v>
      </c>
      <c r="V15" s="676" t="s">
        <v>17</v>
      </c>
      <c r="W15" s="677">
        <f t="shared" si="2"/>
        <v>100</v>
      </c>
      <c r="X15" s="1394"/>
      <c r="Y15" s="3259" t="s">
        <v>2139</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9"/>
      <c r="M16" s="2654"/>
      <c r="N16" s="2654"/>
      <c r="O16" s="2709"/>
      <c r="P16" s="3260"/>
      <c r="Q16" s="1392"/>
      <c r="R16" s="676"/>
      <c r="S16" s="677"/>
      <c r="T16" s="676"/>
      <c r="U16" s="677"/>
      <c r="V16" s="676"/>
      <c r="W16" s="677"/>
      <c r="X16" s="1394"/>
      <c r="Y16" s="3260"/>
      <c r="Z16" s="1393"/>
      <c r="AA16" s="1393">
        <v>1</v>
      </c>
      <c r="AB16" s="1393">
        <v>1</v>
      </c>
      <c r="AC16" s="1393">
        <v>1</v>
      </c>
    </row>
    <row r="17" spans="1:29" ht="85.5">
      <c r="A17" s="375"/>
      <c r="B17" s="564" t="s">
        <v>2288</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60"/>
      <c r="Q17" s="1392" t="str">
        <f>B17</f>
        <v>交通便捷度</v>
      </c>
      <c r="R17" s="676" t="s">
        <v>17</v>
      </c>
      <c r="S17" s="677">
        <f>F17</f>
        <v>100</v>
      </c>
      <c r="T17" s="676" t="s">
        <v>17</v>
      </c>
      <c r="U17" s="677">
        <f>H17</f>
        <v>100</v>
      </c>
      <c r="V17" s="676" t="s">
        <v>17</v>
      </c>
      <c r="W17" s="677">
        <f>J17</f>
        <v>100</v>
      </c>
      <c r="X17" s="1394"/>
      <c r="Y17" s="3260"/>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9"/>
      <c r="M18" s="2654"/>
      <c r="N18" s="2654"/>
      <c r="O18" s="2709"/>
      <c r="P18" s="3260"/>
      <c r="Q18" s="1392"/>
      <c r="R18" s="676"/>
      <c r="S18" s="677"/>
      <c r="T18" s="676"/>
      <c r="U18" s="677"/>
      <c r="V18" s="676"/>
      <c r="W18" s="677"/>
      <c r="X18" s="1394"/>
      <c r="Y18" s="3260"/>
      <c r="Z18" s="1393"/>
      <c r="AA18" s="1393">
        <v>1</v>
      </c>
      <c r="AB18" s="1393">
        <v>1</v>
      </c>
      <c r="AC18" s="1393">
        <v>1</v>
      </c>
    </row>
    <row r="19" spans="1:29" ht="15">
      <c r="A19" s="375"/>
      <c r="B19" s="564" t="s">
        <v>2327</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60"/>
      <c r="Q19" s="1392" t="str">
        <f t="shared" ref="Q19:Q33" si="8">B19</f>
        <v>区域土地利用方向</v>
      </c>
      <c r="R19" s="676" t="s">
        <v>17</v>
      </c>
      <c r="S19" s="677">
        <f>F19</f>
        <v>100</v>
      </c>
      <c r="T19" s="676" t="s">
        <v>17</v>
      </c>
      <c r="U19" s="677">
        <f>H19</f>
        <v>100</v>
      </c>
      <c r="V19" s="676" t="s">
        <v>17</v>
      </c>
      <c r="W19" s="677">
        <f>J19</f>
        <v>100</v>
      </c>
      <c r="X19" s="1394"/>
      <c r="Y19" s="3260"/>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9"/>
      <c r="M20" s="2654"/>
      <c r="N20" s="2654"/>
      <c r="O20" s="2709"/>
      <c r="P20" s="3260"/>
      <c r="Q20" s="1392"/>
      <c r="R20" s="676"/>
      <c r="S20" s="677"/>
      <c r="T20" s="676"/>
      <c r="U20" s="677"/>
      <c r="V20" s="676"/>
      <c r="W20" s="677"/>
      <c r="X20" s="1394"/>
      <c r="Y20" s="3260"/>
      <c r="Z20" s="1393"/>
      <c r="AA20" s="1393"/>
      <c r="AB20" s="1393"/>
      <c r="AC20" s="1393"/>
    </row>
    <row r="21" spans="1:29" ht="71.25">
      <c r="A21" s="354"/>
      <c r="B21" s="564" t="s">
        <v>2377</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60"/>
      <c r="Q21" s="1392" t="str">
        <f t="shared" si="8"/>
        <v>环境状况</v>
      </c>
      <c r="R21" s="676" t="s">
        <v>17</v>
      </c>
      <c r="S21" s="677">
        <f>F21</f>
        <v>100</v>
      </c>
      <c r="T21" s="676" t="s">
        <v>17</v>
      </c>
      <c r="U21" s="677">
        <f>H21</f>
        <v>100</v>
      </c>
      <c r="V21" s="676" t="s">
        <v>17</v>
      </c>
      <c r="W21" s="677">
        <f>J21</f>
        <v>100</v>
      </c>
      <c r="X21" s="1394"/>
      <c r="Y21" s="3260"/>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9"/>
      <c r="M22" s="2654"/>
      <c r="N22" s="2654"/>
      <c r="O22" s="2709"/>
      <c r="P22" s="3260"/>
      <c r="Q22" s="1392"/>
      <c r="R22" s="676"/>
      <c r="S22" s="677"/>
      <c r="T22" s="676"/>
      <c r="U22" s="677"/>
      <c r="V22" s="676"/>
      <c r="W22" s="677"/>
      <c r="X22" s="1394"/>
      <c r="Y22" s="3260"/>
      <c r="Z22" s="1393"/>
      <c r="AA22" s="1393">
        <v>1</v>
      </c>
      <c r="AB22" s="1393">
        <v>1</v>
      </c>
      <c r="AC22" s="1393">
        <v>1</v>
      </c>
    </row>
    <row r="23" spans="1:29" s="107" customFormat="1" ht="42.75">
      <c r="A23" s="451"/>
      <c r="B23" s="565" t="s">
        <v>2233</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4"/>
      <c r="N23" s="2604"/>
      <c r="O23" s="2707"/>
      <c r="P23" s="3260"/>
      <c r="Q23" s="538" t="str">
        <f t="shared" si="8"/>
        <v>公共配套设施</v>
      </c>
      <c r="R23" s="673" t="s">
        <v>17</v>
      </c>
      <c r="S23" s="674">
        <f>F23</f>
        <v>100</v>
      </c>
      <c r="T23" s="673" t="s">
        <v>17</v>
      </c>
      <c r="U23" s="674">
        <f>H23</f>
        <v>100</v>
      </c>
      <c r="V23" s="673" t="s">
        <v>17</v>
      </c>
      <c r="W23" s="674">
        <f>J23</f>
        <v>100</v>
      </c>
      <c r="X23" s="675"/>
      <c r="Y23" s="3260"/>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5"/>
      <c r="M24" s="2604"/>
      <c r="N24" s="2604"/>
      <c r="O24" s="2707"/>
      <c r="P24" s="3260"/>
      <c r="Q24" s="538"/>
      <c r="R24" s="673"/>
      <c r="S24" s="674"/>
      <c r="T24" s="673"/>
      <c r="U24" s="674"/>
      <c r="V24" s="673"/>
      <c r="W24" s="674"/>
      <c r="X24" s="675"/>
      <c r="Y24" s="3260"/>
      <c r="Z24" s="53"/>
      <c r="AA24" s="53">
        <v>1</v>
      </c>
      <c r="AB24" s="53">
        <v>1</v>
      </c>
      <c r="AC24" s="53">
        <v>1</v>
      </c>
    </row>
    <row r="25" spans="1:29" s="107" customFormat="1" ht="28.5">
      <c r="A25" s="451"/>
      <c r="B25" s="565" t="s">
        <v>2234</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4"/>
      <c r="N25" s="2604"/>
      <c r="O25" s="2707"/>
      <c r="P25" s="3260"/>
      <c r="Q25" s="538" t="str">
        <f>B25</f>
        <v>基础设施水平</v>
      </c>
      <c r="R25" s="673" t="s">
        <v>17</v>
      </c>
      <c r="S25" s="674">
        <f>F25</f>
        <v>100</v>
      </c>
      <c r="T25" s="673" t="s">
        <v>17</v>
      </c>
      <c r="U25" s="674">
        <f>H25</f>
        <v>100</v>
      </c>
      <c r="V25" s="673" t="s">
        <v>17</v>
      </c>
      <c r="W25" s="674">
        <f>J25</f>
        <v>100</v>
      </c>
      <c r="X25" s="675"/>
      <c r="Y25" s="3260"/>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5"/>
      <c r="M26" s="2604"/>
      <c r="N26" s="2604"/>
      <c r="O26" s="2707"/>
      <c r="P26" s="3260"/>
      <c r="Q26" s="538"/>
      <c r="R26" s="673"/>
      <c r="S26" s="674"/>
      <c r="T26" s="673"/>
      <c r="U26" s="674"/>
      <c r="V26" s="673"/>
      <c r="W26" s="674"/>
      <c r="X26" s="675"/>
      <c r="Y26" s="3260"/>
      <c r="Z26" s="53"/>
      <c r="AA26" s="53">
        <v>1</v>
      </c>
      <c r="AB26" s="53">
        <v>1</v>
      </c>
      <c r="AC26" s="53">
        <v>1</v>
      </c>
    </row>
    <row r="27" spans="1:29" ht="15">
      <c r="A27" s="375"/>
      <c r="B27" s="409" t="s">
        <v>2235</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60"/>
      <c r="Q27" s="1392" t="str">
        <f t="shared" si="8"/>
        <v>临街状况</v>
      </c>
      <c r="R27" s="676" t="s">
        <v>17</v>
      </c>
      <c r="S27" s="677">
        <f t="shared" ref="S27:S40" si="9">F27</f>
        <v>100</v>
      </c>
      <c r="T27" s="676" t="s">
        <v>17</v>
      </c>
      <c r="U27" s="677">
        <f t="shared" ref="U27:U40" si="10">H27</f>
        <v>100</v>
      </c>
      <c r="V27" s="676" t="s">
        <v>17</v>
      </c>
      <c r="W27" s="677">
        <f t="shared" ref="W27:W40" si="11">J27</f>
        <v>100</v>
      </c>
      <c r="X27" s="1394"/>
      <c r="Y27" s="3260"/>
      <c r="Z27" s="1393" t="str">
        <f t="shared" ref="Z27:Z40" si="12">Q27</f>
        <v>临街状况</v>
      </c>
      <c r="AA27" s="1393">
        <f t="shared" si="3"/>
        <v>1</v>
      </c>
      <c r="AB27" s="1393">
        <f t="shared" si="4"/>
        <v>1</v>
      </c>
      <c r="AC27" s="1393">
        <f t="shared" si="5"/>
        <v>1</v>
      </c>
    </row>
    <row r="28" spans="1:29" ht="27">
      <c r="A28" s="375"/>
      <c r="B28" s="565" t="s">
        <v>2270</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60"/>
      <c r="Q28" s="1392" t="str">
        <f t="shared" si="8"/>
        <v>毗邻道路的类型与等级</v>
      </c>
      <c r="R28" s="676" t="s">
        <v>17</v>
      </c>
      <c r="S28" s="677">
        <f t="shared" si="9"/>
        <v>100</v>
      </c>
      <c r="T28" s="676" t="s">
        <v>17</v>
      </c>
      <c r="U28" s="677">
        <f t="shared" si="10"/>
        <v>100</v>
      </c>
      <c r="V28" s="676" t="s">
        <v>17</v>
      </c>
      <c r="W28" s="677">
        <f t="shared" si="11"/>
        <v>100</v>
      </c>
      <c r="X28" s="1394"/>
      <c r="Y28" s="3260"/>
      <c r="Z28" s="1393" t="str">
        <f t="shared" si="12"/>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9"/>
      <c r="M29" s="2654"/>
      <c r="N29" s="2654"/>
      <c r="O29" s="2709"/>
      <c r="P29" s="3260"/>
      <c r="Q29" s="1392"/>
      <c r="R29" s="676"/>
      <c r="S29" s="677"/>
      <c r="T29" s="676"/>
      <c r="U29" s="677"/>
      <c r="V29" s="676"/>
      <c r="W29" s="677"/>
      <c r="X29" s="1394"/>
      <c r="Y29" s="3260"/>
      <c r="Z29" s="1393"/>
      <c r="AA29" s="1393">
        <v>1</v>
      </c>
      <c r="AB29" s="1393">
        <v>1</v>
      </c>
      <c r="AC29" s="1393">
        <v>1</v>
      </c>
    </row>
    <row r="30" spans="1:29" ht="15">
      <c r="A30" s="375"/>
      <c r="B30" s="124" t="s">
        <v>2329</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60"/>
      <c r="Q30" s="1392" t="str">
        <f t="shared" si="8"/>
        <v>土地级别</v>
      </c>
      <c r="R30" s="676" t="s">
        <v>17</v>
      </c>
      <c r="S30" s="677">
        <f t="shared" si="9"/>
        <v>100</v>
      </c>
      <c r="T30" s="676" t="s">
        <v>17</v>
      </c>
      <c r="U30" s="677">
        <f t="shared" si="10"/>
        <v>100</v>
      </c>
      <c r="V30" s="676" t="s">
        <v>17</v>
      </c>
      <c r="W30" s="677">
        <f t="shared" si="11"/>
        <v>100</v>
      </c>
      <c r="X30" s="1394"/>
      <c r="Y30" s="3260"/>
      <c r="Z30" s="1393" t="str">
        <f t="shared" si="12"/>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60"/>
      <c r="Q31" s="1392">
        <f t="shared" si="8"/>
        <v>111</v>
      </c>
      <c r="R31" s="676" t="s">
        <v>17</v>
      </c>
      <c r="S31" s="677">
        <f t="shared" si="9"/>
        <v>100</v>
      </c>
      <c r="T31" s="676" t="s">
        <v>17</v>
      </c>
      <c r="U31" s="677">
        <f t="shared" si="10"/>
        <v>100</v>
      </c>
      <c r="V31" s="676" t="s">
        <v>17</v>
      </c>
      <c r="W31" s="677">
        <f t="shared" si="11"/>
        <v>100</v>
      </c>
      <c r="X31" s="1394"/>
      <c r="Y31" s="3260"/>
      <c r="Z31" s="1393">
        <f t="shared" si="12"/>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317" t="s">
        <v>2144</v>
      </c>
      <c r="Q32" s="1392">
        <f t="shared" si="8"/>
        <v>111</v>
      </c>
      <c r="R32" s="676" t="s">
        <v>17</v>
      </c>
      <c r="S32" s="677">
        <f t="shared" si="9"/>
        <v>100</v>
      </c>
      <c r="T32" s="676" t="s">
        <v>17</v>
      </c>
      <c r="U32" s="677">
        <f t="shared" si="10"/>
        <v>100</v>
      </c>
      <c r="V32" s="676" t="s">
        <v>17</v>
      </c>
      <c r="W32" s="677">
        <f t="shared" si="11"/>
        <v>100</v>
      </c>
      <c r="X32" s="1394"/>
      <c r="Y32" s="3264" t="s">
        <v>2144</v>
      </c>
      <c r="Z32" s="1393">
        <f t="shared" si="12"/>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64"/>
      <c r="Q33" s="1392">
        <f t="shared" si="8"/>
        <v>111</v>
      </c>
      <c r="R33" s="678" t="s">
        <v>17</v>
      </c>
      <c r="S33" s="679">
        <f t="shared" si="9"/>
        <v>100</v>
      </c>
      <c r="T33" s="678" t="s">
        <v>17</v>
      </c>
      <c r="U33" s="679">
        <f t="shared" si="10"/>
        <v>100</v>
      </c>
      <c r="V33" s="678" t="s">
        <v>17</v>
      </c>
      <c r="W33" s="679">
        <f t="shared" si="11"/>
        <v>100</v>
      </c>
      <c r="X33" s="680"/>
      <c r="Y33" s="3264"/>
      <c r="Z33" s="681">
        <f t="shared" si="12"/>
        <v>111</v>
      </c>
      <c r="AA33" s="1393">
        <f t="shared" si="3"/>
        <v>1</v>
      </c>
      <c r="AB33" s="1393">
        <f t="shared" si="4"/>
        <v>1</v>
      </c>
      <c r="AC33" s="1393">
        <f t="shared" si="5"/>
        <v>1</v>
      </c>
    </row>
    <row r="34" spans="1:31" ht="15">
      <c r="A34" s="387" t="s">
        <v>2142</v>
      </c>
      <c r="B34" s="403" t="s">
        <v>2330</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64"/>
      <c r="Q34" s="1392" t="str">
        <f>B34</f>
        <v>宗地面积</v>
      </c>
      <c r="R34" s="676" t="s">
        <v>17</v>
      </c>
      <c r="S34" s="677" t="e">
        <f t="shared" si="9"/>
        <v>#N/A</v>
      </c>
      <c r="T34" s="676" t="s">
        <v>17</v>
      </c>
      <c r="U34" s="677" t="e">
        <f t="shared" si="10"/>
        <v>#N/A</v>
      </c>
      <c r="V34" s="676" t="s">
        <v>17</v>
      </c>
      <c r="W34" s="677" t="e">
        <f t="shared" si="11"/>
        <v>#N/A</v>
      </c>
      <c r="X34" s="1394"/>
      <c r="Y34" s="3264"/>
      <c r="Z34" s="1393" t="str">
        <f t="shared" si="12"/>
        <v>宗地面积</v>
      </c>
      <c r="AA34" s="1393" t="e">
        <f t="shared" si="3"/>
        <v>#N/A</v>
      </c>
      <c r="AB34" s="1393" t="e">
        <f t="shared" si="4"/>
        <v>#N/A</v>
      </c>
      <c r="AC34" s="1393" t="e">
        <f t="shared" si="5"/>
        <v>#N/A</v>
      </c>
    </row>
    <row r="35" spans="1:31" ht="15">
      <c r="A35" s="417"/>
      <c r="B35" s="370" t="s">
        <v>2331</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64"/>
      <c r="Q35" s="1392" t="str">
        <f t="shared" ref="Q35:Q40" si="13">B35</f>
        <v>宗地形状</v>
      </c>
      <c r="R35" s="676" t="s">
        <v>17</v>
      </c>
      <c r="S35" s="677">
        <f t="shared" si="9"/>
        <v>100</v>
      </c>
      <c r="T35" s="676" t="s">
        <v>17</v>
      </c>
      <c r="U35" s="677">
        <f t="shared" si="10"/>
        <v>100</v>
      </c>
      <c r="V35" s="676" t="s">
        <v>17</v>
      </c>
      <c r="W35" s="677">
        <f t="shared" si="11"/>
        <v>100</v>
      </c>
      <c r="X35" s="1394"/>
      <c r="Y35" s="3264"/>
      <c r="Z35" s="1393" t="str">
        <f t="shared" si="12"/>
        <v>宗地形状</v>
      </c>
      <c r="AA35" s="1393">
        <f t="shared" si="3"/>
        <v>1</v>
      </c>
      <c r="AB35" s="1393">
        <f t="shared" si="4"/>
        <v>1</v>
      </c>
      <c r="AC35" s="1393">
        <f t="shared" si="5"/>
        <v>1</v>
      </c>
    </row>
    <row r="36" spans="1:31" s="107" customFormat="1" ht="15">
      <c r="A36" s="418"/>
      <c r="B36" s="370" t="s">
        <v>2333</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4"/>
      <c r="N36" s="2604"/>
      <c r="O36" s="2707"/>
      <c r="P36" s="3264"/>
      <c r="Q36" s="1392" t="str">
        <f t="shared" si="13"/>
        <v>宗地开发程度</v>
      </c>
      <c r="R36" s="673" t="s">
        <v>17</v>
      </c>
      <c r="S36" s="674">
        <f t="shared" si="9"/>
        <v>100</v>
      </c>
      <c r="T36" s="673" t="s">
        <v>17</v>
      </c>
      <c r="U36" s="674">
        <f t="shared" si="10"/>
        <v>100</v>
      </c>
      <c r="V36" s="673" t="s">
        <v>17</v>
      </c>
      <c r="W36" s="674">
        <f t="shared" si="11"/>
        <v>100</v>
      </c>
      <c r="X36" s="675"/>
      <c r="Y36" s="3264"/>
      <c r="Z36" s="53" t="str">
        <f t="shared" si="12"/>
        <v>宗地开发程度</v>
      </c>
      <c r="AA36" s="53">
        <f t="shared" si="3"/>
        <v>1</v>
      </c>
      <c r="AB36" s="53">
        <f t="shared" si="4"/>
        <v>1</v>
      </c>
      <c r="AC36" s="53">
        <f t="shared" si="5"/>
        <v>1</v>
      </c>
    </row>
    <row r="37" spans="1:31" ht="15">
      <c r="A37" s="417"/>
      <c r="B37" s="370" t="s">
        <v>2334</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64" t="s">
        <v>2144</v>
      </c>
      <c r="Q37" s="1392" t="str">
        <f t="shared" si="13"/>
        <v>工程地质条件</v>
      </c>
      <c r="R37" s="676" t="s">
        <v>17</v>
      </c>
      <c r="S37" s="677">
        <f t="shared" si="9"/>
        <v>100</v>
      </c>
      <c r="T37" s="676" t="s">
        <v>17</v>
      </c>
      <c r="U37" s="677">
        <f t="shared" si="10"/>
        <v>100</v>
      </c>
      <c r="V37" s="676" t="s">
        <v>17</v>
      </c>
      <c r="W37" s="677">
        <f t="shared" si="11"/>
        <v>100</v>
      </c>
      <c r="X37" s="1394"/>
      <c r="Y37" s="3264" t="s">
        <v>2144</v>
      </c>
      <c r="Z37" s="1393" t="str">
        <f t="shared" si="12"/>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64"/>
      <c r="Q38" s="1392">
        <f t="shared" si="13"/>
        <v>111</v>
      </c>
      <c r="R38" s="676" t="s">
        <v>17</v>
      </c>
      <c r="S38" s="677">
        <f t="shared" si="9"/>
        <v>100</v>
      </c>
      <c r="T38" s="676" t="s">
        <v>17</v>
      </c>
      <c r="U38" s="677">
        <f t="shared" si="10"/>
        <v>100</v>
      </c>
      <c r="V38" s="676" t="s">
        <v>17</v>
      </c>
      <c r="W38" s="677">
        <f t="shared" si="11"/>
        <v>100</v>
      </c>
      <c r="X38" s="1394"/>
      <c r="Y38" s="3264"/>
      <c r="Z38" s="1393">
        <f t="shared" si="12"/>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64"/>
      <c r="Q39" s="1392">
        <f t="shared" si="13"/>
        <v>111</v>
      </c>
      <c r="R39" s="676" t="s">
        <v>17</v>
      </c>
      <c r="S39" s="677">
        <f t="shared" si="9"/>
        <v>100</v>
      </c>
      <c r="T39" s="676" t="s">
        <v>17</v>
      </c>
      <c r="U39" s="677">
        <f t="shared" si="10"/>
        <v>100</v>
      </c>
      <c r="V39" s="676" t="s">
        <v>17</v>
      </c>
      <c r="W39" s="677">
        <f t="shared" si="11"/>
        <v>100</v>
      </c>
      <c r="X39" s="1394"/>
      <c r="Y39" s="3264"/>
      <c r="Z39" s="1393">
        <f t="shared" si="12"/>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64"/>
      <c r="Q40" s="1392">
        <f t="shared" si="13"/>
        <v>111</v>
      </c>
      <c r="R40" s="678" t="s">
        <v>17</v>
      </c>
      <c r="S40" s="679">
        <f t="shared" si="9"/>
        <v>100</v>
      </c>
      <c r="T40" s="678" t="s">
        <v>17</v>
      </c>
      <c r="U40" s="679">
        <f t="shared" si="10"/>
        <v>100</v>
      </c>
      <c r="V40" s="678" t="s">
        <v>17</v>
      </c>
      <c r="W40" s="679">
        <f t="shared" si="11"/>
        <v>100</v>
      </c>
      <c r="X40" s="680"/>
      <c r="Y40" s="3264"/>
      <c r="Z40" s="681">
        <f t="shared" si="12"/>
        <v>111</v>
      </c>
      <c r="AA40" s="1393">
        <f t="shared" si="3"/>
        <v>1</v>
      </c>
      <c r="AB40" s="1393">
        <f t="shared" si="4"/>
        <v>1</v>
      </c>
      <c r="AC40" s="1393">
        <f t="shared" si="5"/>
        <v>1</v>
      </c>
    </row>
    <row r="41" spans="1:31" ht="15">
      <c r="A41" s="424" t="s">
        <v>2299</v>
      </c>
      <c r="B41" s="1960" t="s">
        <v>2378</v>
      </c>
      <c r="C41" s="610" t="s">
        <v>1</v>
      </c>
      <c r="D41" s="426"/>
      <c r="E41" s="427"/>
      <c r="F41" s="428"/>
      <c r="G41" s="429"/>
      <c r="H41" s="430"/>
      <c r="I41" s="427"/>
      <c r="J41" s="430"/>
      <c r="K41" s="683"/>
      <c r="L41" s="2661"/>
      <c r="M41" s="2654"/>
      <c r="N41" s="2654"/>
      <c r="O41" s="2654"/>
      <c r="P41" s="3266" t="str">
        <f>A41</f>
        <v>成交单价</v>
      </c>
      <c r="Q41" s="3266"/>
      <c r="R41" s="3252">
        <f>E41</f>
        <v>0</v>
      </c>
      <c r="S41" s="3252"/>
      <c r="T41" s="3252">
        <f>G41</f>
        <v>0</v>
      </c>
      <c r="U41" s="3252"/>
      <c r="V41" s="3252">
        <f>I41</f>
        <v>0</v>
      </c>
      <c r="W41" s="3252"/>
      <c r="X41" s="393"/>
      <c r="Y41" s="682"/>
      <c r="Z41" s="393"/>
      <c r="AA41" s="393"/>
      <c r="AB41" s="393"/>
      <c r="AC41" s="393"/>
    </row>
    <row r="42" spans="1:31" ht="15.75" thickBot="1">
      <c r="A42" s="431" t="s">
        <v>2248</v>
      </c>
      <c r="B42" s="611"/>
      <c r="C42" s="434" t="e">
        <f>R43</f>
        <v>#DIV/0!</v>
      </c>
      <c r="D42" s="2301" t="s">
        <v>2638</v>
      </c>
      <c r="E42" s="434" t="e">
        <f>R42</f>
        <v>#DIV/0!</v>
      </c>
      <c r="F42" s="2302"/>
      <c r="G42" s="433" t="e">
        <f>T42</f>
        <v>#DIV/0!</v>
      </c>
      <c r="H42" s="2302"/>
      <c r="I42" s="434" t="e">
        <f>V42</f>
        <v>#DIV/0!</v>
      </c>
      <c r="J42" s="2302"/>
      <c r="K42" s="2304">
        <f>F42+H42+J42</f>
        <v>0</v>
      </c>
      <c r="L42" s="2661"/>
      <c r="M42" s="2654"/>
      <c r="N42" s="2654"/>
      <c r="O42" s="2654"/>
      <c r="P42" s="3266" t="str">
        <f>A42</f>
        <v>比较价值（元/平方米）</v>
      </c>
      <c r="Q42" s="3266"/>
      <c r="R42" s="3319" t="e">
        <f>ROUND(PRODUCT(R41,AA7:AA40),0)</f>
        <v>#DIV/0!</v>
      </c>
      <c r="S42" s="3319"/>
      <c r="T42" s="3319" t="e">
        <f>ROUND(PRODUCT(T41,AB7:AB40),0)</f>
        <v>#DIV/0!</v>
      </c>
      <c r="U42" s="3319"/>
      <c r="V42" s="3319" t="e">
        <f>ROUND(PRODUCT(V41,AC7:AC40),0)</f>
        <v>#DIV/0!</v>
      </c>
      <c r="W42" s="3319"/>
      <c r="X42" s="393"/>
      <c r="Y42" s="393"/>
      <c r="Z42" s="393"/>
      <c r="AA42" s="393"/>
      <c r="AB42" s="393"/>
      <c r="AC42" s="393"/>
    </row>
    <row r="43" spans="1:31" ht="15.75" thickBot="1">
      <c r="A43" s="435" t="s">
        <v>2249</v>
      </c>
      <c r="B43" s="436"/>
      <c r="C43" s="437" t="e">
        <f>R43</f>
        <v>#DIV/0!</v>
      </c>
      <c r="D43" s="437"/>
      <c r="E43" s="437"/>
      <c r="F43" s="437"/>
      <c r="G43" s="437"/>
      <c r="H43" s="437"/>
      <c r="I43" s="437"/>
      <c r="J43" s="437"/>
      <c r="K43" s="684"/>
      <c r="L43" s="2661"/>
      <c r="M43" s="2654"/>
      <c r="N43" s="2654"/>
      <c r="O43" s="2654"/>
      <c r="P43" s="3267" t="str">
        <f>A43</f>
        <v>估价对象XX用房的比较价值（楼面单价，元/平方米）</v>
      </c>
      <c r="Q43" s="3268"/>
      <c r="R43" s="3320" t="e">
        <f>ROUND(IF(D42="简单平均",AVERAGE(R42:W42),R42*F42+T42*H42+V42*J42),0)</f>
        <v>#DIV/0!</v>
      </c>
      <c r="S43" s="3320"/>
      <c r="T43" s="3320"/>
      <c r="U43" s="3320"/>
      <c r="V43" s="3320"/>
      <c r="W43" s="3320"/>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7">
      <c r="A50" s="612" t="s">
        <v>2337</v>
      </c>
      <c r="B50" s="613" t="s">
        <v>2338</v>
      </c>
      <c r="C50" s="1961" t="s">
        <v>2339</v>
      </c>
      <c r="D50" s="1962" t="s">
        <v>2340</v>
      </c>
      <c r="E50" s="614" t="s">
        <v>2341</v>
      </c>
      <c r="F50" s="615" t="s">
        <v>2342</v>
      </c>
      <c r="G50" s="3226" t="s">
        <v>2343</v>
      </c>
      <c r="H50" s="3321"/>
      <c r="I50" s="1393" t="s">
        <v>2379</v>
      </c>
      <c r="J50" s="1393">
        <f>项目基本情况!F35</f>
        <v>0</v>
      </c>
      <c r="K50" s="1964" t="s">
        <v>2345</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2346</v>
      </c>
      <c r="B51" s="617" t="e">
        <f>C43</f>
        <v>#DIV/0!</v>
      </c>
      <c r="C51" s="618">
        <v>1</v>
      </c>
      <c r="D51" s="997">
        <v>1</v>
      </c>
      <c r="E51" s="618">
        <f>'数据-汇总表'!E8+'数据-汇总表'!E9</f>
        <v>1018</v>
      </c>
      <c r="F51" s="619" t="e">
        <f t="shared" ref="F51:F60" si="14">ROUND(B51*E51/10000,0)</f>
        <v>#DIV/0!</v>
      </c>
      <c r="G51" s="3256"/>
      <c r="H51" s="3266"/>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2347</v>
      </c>
      <c r="B52" s="216" t="e">
        <f>ROUND($C$43*C52*D52,0)</f>
        <v>#DIV/0!</v>
      </c>
      <c r="C52" s="168">
        <f t="shared" ref="C52:C60" si="15">IF($C$50="北京市系数",I52,J52)</f>
        <v>0.7</v>
      </c>
      <c r="D52" s="998">
        <v>0.25</v>
      </c>
      <c r="E52" s="622"/>
      <c r="F52" s="619" t="e">
        <f t="shared" si="14"/>
        <v>#DIV/0!</v>
      </c>
      <c r="G52" s="2958" t="s">
        <v>2348</v>
      </c>
      <c r="H52" s="941" t="str">
        <f>项目基本情况!B37</f>
        <v>二级</v>
      </c>
      <c r="I52" s="809">
        <f>SUMIF(修正!A57:A68,H52,修正!B57:B68)</f>
        <v>0.7</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2349</v>
      </c>
      <c r="B53" s="216" t="e">
        <f t="shared" ref="B53:B60" si="16">ROUND($C$43*C53*D53,0)</f>
        <v>#DIV/0!</v>
      </c>
      <c r="C53" s="168">
        <f t="shared" si="15"/>
        <v>0.4</v>
      </c>
      <c r="D53" s="998">
        <v>0.25</v>
      </c>
      <c r="E53" s="622"/>
      <c r="F53" s="619" t="e">
        <f t="shared" si="14"/>
        <v>#DIV/0!</v>
      </c>
      <c r="G53" s="2959"/>
      <c r="H53" s="941" t="str">
        <f>项目基本情况!B37</f>
        <v>二级</v>
      </c>
      <c r="I53" s="809">
        <f>SUMIF(修正!A57:A68,H53,修正!C57:C68)</f>
        <v>0.4</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2350</v>
      </c>
      <c r="B54" s="216" t="e">
        <f t="shared" si="16"/>
        <v>#DIV/0!</v>
      </c>
      <c r="C54" s="168">
        <f t="shared" si="15"/>
        <v>0.3</v>
      </c>
      <c r="D54" s="998">
        <v>0.25</v>
      </c>
      <c r="E54" s="622"/>
      <c r="F54" s="619" t="e">
        <f t="shared" si="14"/>
        <v>#DIV/0!</v>
      </c>
      <c r="G54" s="2959"/>
      <c r="H54" s="941" t="str">
        <f>项目基本情况!B37</f>
        <v>二级</v>
      </c>
      <c r="I54" s="809">
        <f>SUMIF(修正!A57:A68,H54,修正!D57:D68)</f>
        <v>0.3</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0"/>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2351</v>
      </c>
      <c r="B56" s="216" t="e">
        <f t="shared" si="16"/>
        <v>#DIV/0!</v>
      </c>
      <c r="C56" s="168">
        <f t="shared" si="15"/>
        <v>0</v>
      </c>
      <c r="D56" s="998">
        <v>0.25</v>
      </c>
      <c r="E56" s="215">
        <f>'数据-汇总表'!E11</f>
        <v>0</v>
      </c>
      <c r="F56" s="619" t="e">
        <f t="shared" si="14"/>
        <v>#DIV/0!</v>
      </c>
      <c r="G56" s="1965" t="s">
        <v>2352</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2353</v>
      </c>
      <c r="B57" s="216" t="e">
        <f t="shared" si="16"/>
        <v>#DIV/0!</v>
      </c>
      <c r="C57" s="168">
        <f t="shared" si="15"/>
        <v>0</v>
      </c>
      <c r="D57" s="998">
        <v>0.25</v>
      </c>
      <c r="E57" s="215">
        <f>'数据-汇总表'!E12</f>
        <v>0</v>
      </c>
      <c r="F57" s="619" t="e">
        <f t="shared" si="14"/>
        <v>#DIV/0!</v>
      </c>
      <c r="G57" s="946" t="s">
        <v>2354</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2355</v>
      </c>
      <c r="B58" s="216" t="e">
        <f t="shared" si="16"/>
        <v>#DIV/0!</v>
      </c>
      <c r="C58" s="168">
        <f t="shared" si="15"/>
        <v>0</v>
      </c>
      <c r="D58" s="998">
        <v>0.25</v>
      </c>
      <c r="E58" s="215">
        <f>'数据-汇总表'!E13</f>
        <v>0</v>
      </c>
      <c r="F58" s="619" t="e">
        <f t="shared" si="14"/>
        <v>#DIV/0!</v>
      </c>
      <c r="G58" s="946" t="s">
        <v>2356</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2357</v>
      </c>
      <c r="B59" s="216" t="e">
        <f t="shared" si="16"/>
        <v>#DIV/0!</v>
      </c>
      <c r="C59" s="168">
        <f t="shared" si="15"/>
        <v>0.2</v>
      </c>
      <c r="D59" s="998">
        <v>0.25</v>
      </c>
      <c r="E59" s="215">
        <f>'数据-汇总表'!E14</f>
        <v>0</v>
      </c>
      <c r="F59" s="619" t="e">
        <f t="shared" si="14"/>
        <v>#DIV/0!</v>
      </c>
      <c r="G59" s="1965" t="s">
        <v>2348</v>
      </c>
      <c r="H59" s="941" t="str">
        <f>项目基本情况!B37</f>
        <v>二级</v>
      </c>
      <c r="I59" s="809">
        <f>SUMIF(修正!A57:A68,H59,修正!G57:G68)</f>
        <v>0.2</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5" thickBot="1">
      <c r="A60" s="621" t="s">
        <v>2358</v>
      </c>
      <c r="B60" s="216" t="e">
        <f t="shared" si="16"/>
        <v>#DIV/0!</v>
      </c>
      <c r="C60" s="168">
        <f t="shared" si="15"/>
        <v>0</v>
      </c>
      <c r="D60" s="998">
        <v>0.25</v>
      </c>
      <c r="E60" s="215">
        <f>'数据-汇总表'!E15</f>
        <v>0</v>
      </c>
      <c r="F60" s="619" t="e">
        <f t="shared" si="14"/>
        <v>#DIV/0!</v>
      </c>
      <c r="G60" s="1966" t="s">
        <v>2352</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5" thickBot="1">
      <c r="A61" s="623" t="s">
        <v>2359</v>
      </c>
      <c r="B61" s="624" t="s">
        <v>28</v>
      </c>
      <c r="C61" s="624" t="s">
        <v>29</v>
      </c>
      <c r="D61" s="624" t="s">
        <v>816</v>
      </c>
      <c r="E61" s="624">
        <f>IF(B41="楼面地价",SUM(E51:E60),'数据-汇总表'!D3)</f>
        <v>1</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2022-12-1</v>
      </c>
      <c r="D63" s="665">
        <f>EDATE(C63,-3)</f>
        <v>44805</v>
      </c>
      <c r="E63" s="665">
        <f>EDATE(D63,-3)</f>
        <v>44713</v>
      </c>
      <c r="F63" s="665">
        <f t="shared" ref="F63:O63" si="17">EDATE(E63,-3)</f>
        <v>44621</v>
      </c>
      <c r="G63" s="665">
        <f t="shared" si="17"/>
        <v>44531</v>
      </c>
      <c r="H63" s="665">
        <f t="shared" si="17"/>
        <v>44440</v>
      </c>
      <c r="I63" s="665">
        <f t="shared" si="17"/>
        <v>44348</v>
      </c>
      <c r="J63" s="665">
        <f t="shared" si="17"/>
        <v>44256</v>
      </c>
      <c r="K63" s="665">
        <f t="shared" si="17"/>
        <v>44166</v>
      </c>
      <c r="L63" s="665">
        <f t="shared" si="17"/>
        <v>44075</v>
      </c>
      <c r="M63" s="665">
        <f t="shared" si="17"/>
        <v>43983</v>
      </c>
      <c r="N63" s="665">
        <f t="shared" si="17"/>
        <v>43891</v>
      </c>
      <c r="O63" s="665">
        <f t="shared" si="17"/>
        <v>43800</v>
      </c>
      <c r="P63" s="2654"/>
      <c r="Q63" s="2654"/>
      <c r="R63" s="2654"/>
      <c r="S63" s="2654"/>
      <c r="T63" s="2654"/>
      <c r="U63" s="2654"/>
      <c r="V63" s="2654"/>
      <c r="W63" s="2654"/>
      <c r="X63" s="2654"/>
      <c r="Y63" s="2654"/>
      <c r="Z63" s="2654"/>
      <c r="AA63" s="2654"/>
      <c r="AB63" s="2654"/>
      <c r="AC63" s="2654"/>
      <c r="AD63" s="2654"/>
      <c r="AE63" s="2654"/>
    </row>
    <row r="64" spans="1:31" ht="21.75" thickBot="1">
      <c r="A64" s="667" t="s">
        <v>2253</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ht="15">
      <c r="A65" s="1760" t="s">
        <v>2360</v>
      </c>
      <c r="B65" s="1154"/>
      <c r="C65" s="1211" t="str">
        <f>YEAR(C63)&amp;"-"&amp;ROUNDUP(MONTH(C63)/3,0)</f>
        <v>2022-4</v>
      </c>
      <c r="D65" s="1211" t="str">
        <f t="shared" ref="D65:O65" si="18">YEAR(D63)&amp;"-"&amp;ROUNDUP(MONTH(D63)/3,0)</f>
        <v>2022-3</v>
      </c>
      <c r="E65" s="1211" t="str">
        <f t="shared" si="18"/>
        <v>2022-2</v>
      </c>
      <c r="F65" s="1211" t="str">
        <f t="shared" si="18"/>
        <v>2022-1</v>
      </c>
      <c r="G65" s="1211" t="str">
        <f t="shared" si="18"/>
        <v>2021-4</v>
      </c>
      <c r="H65" s="1211" t="str">
        <f t="shared" si="18"/>
        <v>2021-3</v>
      </c>
      <c r="I65" s="1211" t="str">
        <f t="shared" si="18"/>
        <v>2021-2</v>
      </c>
      <c r="J65" s="1211" t="str">
        <f t="shared" si="18"/>
        <v>2021-1</v>
      </c>
      <c r="K65" s="1211" t="str">
        <f t="shared" si="18"/>
        <v>2020-4</v>
      </c>
      <c r="L65" s="1211" t="str">
        <f t="shared" si="18"/>
        <v>2020-3</v>
      </c>
      <c r="M65" s="1211" t="str">
        <f t="shared" si="18"/>
        <v>2020-2</v>
      </c>
      <c r="N65" s="1211" t="str">
        <f t="shared" si="18"/>
        <v>2020-1</v>
      </c>
      <c r="O65" s="1211" t="str">
        <f t="shared" si="18"/>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2380</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4"/>
      <c r="R66" s="2604"/>
      <c r="S66" s="2604"/>
      <c r="T66" s="2604"/>
      <c r="U66" s="2604"/>
      <c r="V66" s="2604"/>
      <c r="W66" s="2604"/>
      <c r="X66" s="2604"/>
      <c r="Y66" s="2604"/>
      <c r="Z66" s="2604"/>
      <c r="AA66" s="2604"/>
      <c r="AB66" s="2604"/>
      <c r="AC66" s="2604"/>
      <c r="AD66" s="2604"/>
      <c r="AE66" s="2604"/>
    </row>
    <row r="67" spans="1:31" s="107" customFormat="1" ht="15.75" thickBot="1">
      <c r="A67" s="457" t="s">
        <v>2164</v>
      </c>
      <c r="B67" s="458"/>
      <c r="C67" s="459"/>
      <c r="D67" s="460"/>
      <c r="E67" s="460"/>
      <c r="F67" s="460"/>
      <c r="G67" s="460"/>
      <c r="H67" s="460"/>
      <c r="I67" s="460"/>
      <c r="J67" s="460"/>
      <c r="K67" s="460"/>
      <c r="L67" s="460"/>
      <c r="M67" s="461"/>
      <c r="N67" s="461"/>
      <c r="O67" s="462"/>
      <c r="P67" s="2675"/>
      <c r="Q67" s="2675"/>
      <c r="R67" s="2604"/>
      <c r="S67" s="2604"/>
      <c r="T67" s="2604"/>
      <c r="U67" s="2604"/>
      <c r="V67" s="2604"/>
      <c r="W67" s="2604"/>
      <c r="X67" s="2604"/>
      <c r="Y67" s="2604"/>
      <c r="Z67" s="2604"/>
      <c r="AA67" s="2604"/>
      <c r="AB67" s="2604"/>
      <c r="AC67" s="2604"/>
      <c r="AD67" s="2604"/>
      <c r="AE67" s="2604"/>
    </row>
    <row r="68" spans="1:31" s="107" customFormat="1" ht="15">
      <c r="A68" s="463" t="s">
        <v>2129</v>
      </c>
      <c r="B68" s="452"/>
      <c r="C68" s="464" t="s">
        <v>2231</v>
      </c>
      <c r="D68" s="34"/>
      <c r="E68" s="34"/>
      <c r="F68" s="34"/>
      <c r="G68" s="34"/>
      <c r="H68" s="34"/>
      <c r="I68" s="34"/>
      <c r="J68" s="34"/>
      <c r="K68" s="34"/>
      <c r="L68" s="465"/>
      <c r="M68" s="466"/>
      <c r="N68" s="2687"/>
      <c r="O68" s="2687"/>
      <c r="P68" s="2711"/>
      <c r="Q68" s="2675"/>
      <c r="R68" s="2604"/>
      <c r="S68" s="2604"/>
      <c r="T68" s="2604"/>
      <c r="U68" s="2604"/>
      <c r="V68" s="2604"/>
      <c r="W68" s="2604"/>
      <c r="X68" s="2604"/>
      <c r="Y68" s="2604"/>
      <c r="Z68" s="2604"/>
      <c r="AA68" s="2604"/>
      <c r="AB68" s="2604"/>
      <c r="AC68" s="2604"/>
      <c r="AD68" s="2604"/>
      <c r="AE68" s="2604"/>
    </row>
    <row r="69" spans="1:31" s="107" customFormat="1" ht="15.75" thickBot="1">
      <c r="A69" s="463"/>
      <c r="B69" s="452"/>
      <c r="C69" s="571">
        <v>100</v>
      </c>
      <c r="D69" s="454"/>
      <c r="E69" s="454"/>
      <c r="F69" s="454"/>
      <c r="G69" s="454"/>
      <c r="H69" s="454"/>
      <c r="I69" s="454"/>
      <c r="J69" s="454"/>
      <c r="K69" s="454"/>
      <c r="L69" s="454"/>
      <c r="M69" s="456"/>
      <c r="N69" s="2687"/>
      <c r="O69" s="2687"/>
      <c r="P69" s="2675"/>
      <c r="Q69" s="2675"/>
      <c r="R69" s="2604"/>
      <c r="S69" s="2604"/>
      <c r="T69" s="2604"/>
      <c r="U69" s="2604"/>
      <c r="V69" s="2604"/>
      <c r="W69" s="2604"/>
      <c r="X69" s="2604"/>
      <c r="Y69" s="2604"/>
      <c r="Z69" s="2604"/>
      <c r="AA69" s="2604"/>
      <c r="AB69" s="2604"/>
      <c r="AC69" s="2604"/>
      <c r="AD69" s="2604"/>
      <c r="AE69" s="2604"/>
    </row>
    <row r="70" spans="1:31">
      <c r="A70" s="387" t="s">
        <v>2167</v>
      </c>
      <c r="B70" s="468" t="s">
        <v>2133</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5.7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7.75" thickTop="1">
      <c r="A72" s="375"/>
      <c r="B72" s="477" t="s">
        <v>2136</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5.7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5.75" thickTop="1">
      <c r="A74" s="375"/>
      <c r="B74" s="485" t="s">
        <v>2137</v>
      </c>
      <c r="C74" s="486" t="str">
        <f>C75&amp;"（含）"&amp;"-"&amp;D75</f>
        <v>（含）-</v>
      </c>
      <c r="D74" s="486" t="str">
        <f t="shared" ref="D74:L74" si="19">D75&amp;"（含）"&amp;"-"&amp;E75</f>
        <v>（含）-</v>
      </c>
      <c r="E74" s="486" t="str">
        <f t="shared" si="19"/>
        <v>（含）-</v>
      </c>
      <c r="F74" s="486" t="str">
        <f t="shared" si="19"/>
        <v>（含）-</v>
      </c>
      <c r="G74" s="486" t="str">
        <f t="shared" si="19"/>
        <v>（含）-</v>
      </c>
      <c r="H74" s="486" t="str">
        <f t="shared" si="19"/>
        <v>（含）-</v>
      </c>
      <c r="I74" s="486" t="str">
        <f t="shared" si="19"/>
        <v>（含）-</v>
      </c>
      <c r="J74" s="486" t="str">
        <f t="shared" si="19"/>
        <v>（含）-</v>
      </c>
      <c r="K74" s="486" t="str">
        <f t="shared" si="19"/>
        <v>（含）-</v>
      </c>
      <c r="L74" s="486" t="str">
        <f t="shared" si="19"/>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ht="15">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5.75" thickBot="1">
      <c r="A76" s="375"/>
      <c r="B76" s="474"/>
      <c r="C76" s="483">
        <v>100</v>
      </c>
      <c r="D76" s="483">
        <f>IF($B$41="单位面积地价",C76+$K11,C76-$K11)</f>
        <v>100</v>
      </c>
      <c r="E76" s="483">
        <f t="shared" ref="E76:M76" si="20">IF($B$41="单位面积地价",D76+$K11,D76-$K11)</f>
        <v>100</v>
      </c>
      <c r="F76" s="483">
        <f t="shared" si="20"/>
        <v>100</v>
      </c>
      <c r="G76" s="483">
        <f t="shared" si="20"/>
        <v>100</v>
      </c>
      <c r="H76" s="483">
        <f t="shared" si="20"/>
        <v>100</v>
      </c>
      <c r="I76" s="483">
        <f t="shared" si="20"/>
        <v>100</v>
      </c>
      <c r="J76" s="483">
        <f t="shared" si="20"/>
        <v>100</v>
      </c>
      <c r="K76" s="483">
        <f t="shared" si="20"/>
        <v>100</v>
      </c>
      <c r="L76" s="483">
        <f t="shared" si="20"/>
        <v>100</v>
      </c>
      <c r="M76" s="483">
        <f t="shared" si="20"/>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5.7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5.7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5.7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5.7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5.7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5.7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2138</v>
      </c>
      <c r="B83" s="468" t="s">
        <v>2284</v>
      </c>
      <c r="C83" s="512" t="s">
        <v>2176</v>
      </c>
      <c r="D83" s="512" t="s">
        <v>2177</v>
      </c>
      <c r="E83" s="512" t="s">
        <v>2178</v>
      </c>
      <c r="F83" s="512" t="s">
        <v>2179</v>
      </c>
      <c r="G83" s="512" t="s">
        <v>2180</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5.75" thickTop="1">
      <c r="A85" s="375"/>
      <c r="B85" s="477" t="s">
        <v>2181</v>
      </c>
      <c r="C85" s="517" t="s">
        <v>2176</v>
      </c>
      <c r="D85" s="517" t="s">
        <v>2177</v>
      </c>
      <c r="E85" s="517" t="s">
        <v>2178</v>
      </c>
      <c r="F85" s="517" t="s">
        <v>2179</v>
      </c>
      <c r="G85" s="517" t="s">
        <v>2180</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15.75" thickTop="1">
      <c r="A87" s="378"/>
      <c r="B87" s="477" t="s">
        <v>2363</v>
      </c>
      <c r="C87" s="512" t="s">
        <v>2176</v>
      </c>
      <c r="D87" s="512" t="s">
        <v>2177</v>
      </c>
      <c r="E87" s="512" t="s">
        <v>2178</v>
      </c>
      <c r="F87" s="512" t="s">
        <v>2179</v>
      </c>
      <c r="G87" s="512" t="s">
        <v>2180</v>
      </c>
      <c r="H87" s="517"/>
      <c r="I87" s="517"/>
      <c r="J87" s="517"/>
      <c r="K87" s="517"/>
      <c r="L87" s="626"/>
      <c r="M87" s="555"/>
      <c r="N87" s="2687"/>
      <c r="O87" s="2687"/>
      <c r="P87" s="2687"/>
      <c r="Q87" s="2675"/>
      <c r="R87" s="2604"/>
      <c r="S87" s="2604"/>
      <c r="T87" s="2604"/>
      <c r="U87" s="2604"/>
      <c r="V87" s="2604"/>
      <c r="W87" s="2604"/>
      <c r="X87" s="2604"/>
      <c r="Y87" s="2604"/>
      <c r="Z87" s="2604"/>
      <c r="AA87" s="2604"/>
      <c r="AB87" s="2604"/>
      <c r="AC87" s="2604"/>
      <c r="AD87" s="2604"/>
      <c r="AE87" s="2604"/>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4"/>
      <c r="S88" s="2604"/>
      <c r="T88" s="2604"/>
      <c r="U88" s="2604"/>
      <c r="V88" s="2604"/>
      <c r="W88" s="2604"/>
      <c r="X88" s="2604"/>
      <c r="Y88" s="2604"/>
      <c r="Z88" s="2604"/>
      <c r="AA88" s="2604"/>
      <c r="AB88" s="2604"/>
      <c r="AC88" s="2604"/>
      <c r="AD88" s="2604"/>
      <c r="AE88" s="2604"/>
    </row>
    <row r="89" spans="1:31" s="107" customFormat="1" ht="27.75" thickTop="1">
      <c r="A89" s="378"/>
      <c r="B89" s="477" t="s">
        <v>2364</v>
      </c>
      <c r="C89" s="512" t="s">
        <v>2176</v>
      </c>
      <c r="D89" s="512" t="s">
        <v>2177</v>
      </c>
      <c r="E89" s="512" t="s">
        <v>2178</v>
      </c>
      <c r="F89" s="512" t="s">
        <v>2179</v>
      </c>
      <c r="G89" s="512" t="s">
        <v>2180</v>
      </c>
      <c r="H89" s="517"/>
      <c r="I89" s="517"/>
      <c r="J89" s="517"/>
      <c r="K89" s="517"/>
      <c r="L89" s="517"/>
      <c r="M89" s="555"/>
      <c r="N89" s="2687"/>
      <c r="O89" s="2687"/>
      <c r="P89" s="2687"/>
      <c r="Q89" s="2675"/>
      <c r="R89" s="2604"/>
      <c r="S89" s="2604"/>
      <c r="T89" s="2604"/>
      <c r="U89" s="2604"/>
      <c r="V89" s="2604"/>
      <c r="W89" s="2604"/>
      <c r="X89" s="2604"/>
      <c r="Y89" s="2604"/>
      <c r="Z89" s="2604"/>
      <c r="AA89" s="2604"/>
      <c r="AB89" s="2604"/>
      <c r="AC89" s="2604"/>
      <c r="AD89" s="2604"/>
      <c r="AE89" s="2604"/>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4"/>
      <c r="S90" s="2604"/>
      <c r="T90" s="2604"/>
      <c r="U90" s="2604"/>
      <c r="V90" s="2604"/>
      <c r="W90" s="2604"/>
      <c r="X90" s="2604"/>
      <c r="Y90" s="2604"/>
      <c r="Z90" s="2604"/>
      <c r="AA90" s="2604"/>
      <c r="AB90" s="2604"/>
      <c r="AC90" s="2604"/>
      <c r="AD90" s="2604"/>
      <c r="AE90" s="2604"/>
    </row>
    <row r="91" spans="1:31" s="416" customFormat="1" ht="15.75" thickTop="1">
      <c r="A91" s="492"/>
      <c r="B91" s="477" t="s">
        <v>2233</v>
      </c>
      <c r="C91" s="512" t="s">
        <v>2176</v>
      </c>
      <c r="D91" s="512" t="s">
        <v>2177</v>
      </c>
      <c r="E91" s="512" t="s">
        <v>2178</v>
      </c>
      <c r="F91" s="512" t="s">
        <v>2179</v>
      </c>
      <c r="G91" s="512" t="s">
        <v>2180</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5.75" thickTop="1">
      <c r="A93" s="492"/>
      <c r="B93" s="485" t="s">
        <v>2381</v>
      </c>
      <c r="C93" s="589" t="s">
        <v>2254</v>
      </c>
      <c r="D93" s="589" t="s">
        <v>2255</v>
      </c>
      <c r="E93" s="589" t="s">
        <v>2256</v>
      </c>
      <c r="F93" s="589" t="s">
        <v>2257</v>
      </c>
      <c r="G93" s="589" t="s">
        <v>2258</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5.75" thickTop="1">
      <c r="A95" s="375"/>
      <c r="B95" s="477" t="str">
        <f>B27</f>
        <v>临街状况</v>
      </c>
      <c r="C95" s="478" t="s">
        <v>2365</v>
      </c>
      <c r="D95" s="478" t="s">
        <v>2366</v>
      </c>
      <c r="E95" s="478" t="s">
        <v>2367</v>
      </c>
      <c r="F95" s="478" t="s">
        <v>2368</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5.75" thickBot="1">
      <c r="A96" s="375"/>
      <c r="B96" s="482"/>
      <c r="C96" s="483">
        <v>100</v>
      </c>
      <c r="D96" s="483">
        <f t="shared" ref="D96:M96" si="21">C96-$K27</f>
        <v>100</v>
      </c>
      <c r="E96" s="483">
        <f t="shared" si="21"/>
        <v>100</v>
      </c>
      <c r="F96" s="483">
        <f t="shared" si="21"/>
        <v>100</v>
      </c>
      <c r="G96" s="483">
        <f t="shared" si="21"/>
        <v>100</v>
      </c>
      <c r="H96" s="483">
        <f t="shared" si="21"/>
        <v>100</v>
      </c>
      <c r="I96" s="483">
        <f t="shared" si="21"/>
        <v>100</v>
      </c>
      <c r="J96" s="483">
        <f t="shared" si="21"/>
        <v>100</v>
      </c>
      <c r="K96" s="483">
        <f t="shared" si="21"/>
        <v>100</v>
      </c>
      <c r="L96" s="483">
        <f t="shared" si="21"/>
        <v>100</v>
      </c>
      <c r="M96" s="483">
        <f t="shared" si="21"/>
        <v>100</v>
      </c>
      <c r="N96" s="2689"/>
      <c r="O96" s="2689"/>
      <c r="P96" s="2687"/>
      <c r="Q96" s="2675"/>
      <c r="R96" s="2654"/>
      <c r="S96" s="2654"/>
      <c r="T96" s="2654"/>
      <c r="U96" s="2654"/>
      <c r="V96" s="2654"/>
      <c r="W96" s="2654"/>
      <c r="X96" s="2654"/>
      <c r="Y96" s="2654"/>
      <c r="Z96" s="2654"/>
      <c r="AA96" s="2654"/>
      <c r="AB96" s="2654"/>
      <c r="AC96" s="2654"/>
      <c r="AD96" s="2654"/>
      <c r="AE96" s="2654"/>
    </row>
    <row r="97" spans="1:31" ht="27.75" thickTop="1">
      <c r="A97" s="375"/>
      <c r="B97" s="477" t="s">
        <v>2270</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5.75" thickBot="1">
      <c r="A98" s="375"/>
      <c r="B98" s="482"/>
      <c r="C98" s="483">
        <v>100</v>
      </c>
      <c r="D98" s="483">
        <f t="shared" ref="D98:M98" si="22">C98-$K28</f>
        <v>100</v>
      </c>
      <c r="E98" s="483">
        <f t="shared" si="22"/>
        <v>100</v>
      </c>
      <c r="F98" s="483">
        <f t="shared" si="22"/>
        <v>100</v>
      </c>
      <c r="G98" s="483">
        <f t="shared" si="22"/>
        <v>100</v>
      </c>
      <c r="H98" s="483">
        <f t="shared" si="22"/>
        <v>100</v>
      </c>
      <c r="I98" s="483">
        <f t="shared" si="22"/>
        <v>100</v>
      </c>
      <c r="J98" s="483">
        <f t="shared" si="22"/>
        <v>100</v>
      </c>
      <c r="K98" s="483">
        <f t="shared" si="22"/>
        <v>100</v>
      </c>
      <c r="L98" s="483">
        <f t="shared" si="22"/>
        <v>100</v>
      </c>
      <c r="M98" s="483">
        <f t="shared" si="22"/>
        <v>100</v>
      </c>
      <c r="N98" s="2689"/>
      <c r="O98" s="2689"/>
      <c r="P98" s="2687"/>
      <c r="Q98" s="2675"/>
      <c r="R98" s="2654"/>
      <c r="S98" s="2654"/>
      <c r="T98" s="2654"/>
      <c r="U98" s="2654"/>
      <c r="V98" s="2654"/>
      <c r="W98" s="2654"/>
      <c r="X98" s="2654"/>
      <c r="Y98" s="2654"/>
      <c r="Z98" s="2654"/>
      <c r="AA98" s="2654"/>
      <c r="AB98" s="2654"/>
      <c r="AC98" s="2654"/>
      <c r="AD98" s="2654"/>
      <c r="AE98" s="2654"/>
    </row>
    <row r="99" spans="1:31" ht="15.75" thickTop="1">
      <c r="A99" s="375"/>
      <c r="B99" s="477" t="s">
        <v>2329</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5.75" thickBot="1">
      <c r="A100" s="375"/>
      <c r="B100" s="482"/>
      <c r="C100" s="483">
        <v>100</v>
      </c>
      <c r="D100" s="483">
        <f t="shared" ref="D100:M100" si="23">C100-$K30</f>
        <v>100</v>
      </c>
      <c r="E100" s="483">
        <f t="shared" si="23"/>
        <v>100</v>
      </c>
      <c r="F100" s="483">
        <f t="shared" si="23"/>
        <v>100</v>
      </c>
      <c r="G100" s="483">
        <f t="shared" si="23"/>
        <v>100</v>
      </c>
      <c r="H100" s="483">
        <f t="shared" si="23"/>
        <v>100</v>
      </c>
      <c r="I100" s="483">
        <f t="shared" si="23"/>
        <v>100</v>
      </c>
      <c r="J100" s="483">
        <f t="shared" si="23"/>
        <v>100</v>
      </c>
      <c r="K100" s="483">
        <f t="shared" si="23"/>
        <v>100</v>
      </c>
      <c r="L100" s="483">
        <f t="shared" si="23"/>
        <v>100</v>
      </c>
      <c r="M100" s="483">
        <f t="shared" si="23"/>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5.7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5.7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5.7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5.7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2142</v>
      </c>
      <c r="B107" s="468" t="s">
        <v>2369</v>
      </c>
      <c r="C107" s="469" t="str">
        <f t="shared" ref="C107:L107" si="24">C108&amp;"(含)"&amp;"-"&amp;D108</f>
        <v>(含)-</v>
      </c>
      <c r="D107" s="469" t="str">
        <f t="shared" si="24"/>
        <v>(含)-</v>
      </c>
      <c r="E107" s="469" t="str">
        <f t="shared" si="24"/>
        <v>(含)-</v>
      </c>
      <c r="F107" s="469" t="str">
        <f t="shared" si="24"/>
        <v>(含)-</v>
      </c>
      <c r="G107" s="469" t="str">
        <f t="shared" si="24"/>
        <v>(含)-</v>
      </c>
      <c r="H107" s="469" t="str">
        <f t="shared" si="24"/>
        <v>(含)-</v>
      </c>
      <c r="I107" s="469" t="str">
        <f t="shared" si="24"/>
        <v>(含)-</v>
      </c>
      <c r="J107" s="469" t="str">
        <f t="shared" si="24"/>
        <v>(含)-</v>
      </c>
      <c r="K107" s="1361" t="str">
        <f t="shared" si="24"/>
        <v>(含)-</v>
      </c>
      <c r="L107" s="1361" t="str">
        <f t="shared" si="24"/>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ht="15">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5.7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5" thickTop="1">
      <c r="A110" s="417"/>
      <c r="B110" s="477" t="s">
        <v>2370</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5.75" thickBot="1">
      <c r="A111" s="375"/>
      <c r="B111" s="482"/>
      <c r="C111" s="483">
        <v>100</v>
      </c>
      <c r="D111" s="483">
        <f t="shared" ref="D111:M111" si="25">C111-$K35</f>
        <v>100</v>
      </c>
      <c r="E111" s="483">
        <f t="shared" si="25"/>
        <v>100</v>
      </c>
      <c r="F111" s="483">
        <f t="shared" si="25"/>
        <v>100</v>
      </c>
      <c r="G111" s="483">
        <f t="shared" si="25"/>
        <v>100</v>
      </c>
      <c r="H111" s="483">
        <f t="shared" si="25"/>
        <v>100</v>
      </c>
      <c r="I111" s="483">
        <f t="shared" si="25"/>
        <v>100</v>
      </c>
      <c r="J111" s="483">
        <f t="shared" si="25"/>
        <v>100</v>
      </c>
      <c r="K111" s="483">
        <f t="shared" si="25"/>
        <v>100</v>
      </c>
      <c r="L111" s="483">
        <f t="shared" si="25"/>
        <v>100</v>
      </c>
      <c r="M111" s="484">
        <f t="shared" si="25"/>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5" thickTop="1">
      <c r="A112" s="414"/>
      <c r="B112" s="477" t="s">
        <v>2372</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5.75" thickBot="1">
      <c r="A113" s="492"/>
      <c r="B113" s="482"/>
      <c r="C113" s="483">
        <v>100</v>
      </c>
      <c r="D113" s="483">
        <f t="shared" ref="D113:M113" si="26">C113-$K36</f>
        <v>100</v>
      </c>
      <c r="E113" s="483">
        <f t="shared" si="26"/>
        <v>100</v>
      </c>
      <c r="F113" s="483">
        <f t="shared" si="26"/>
        <v>100</v>
      </c>
      <c r="G113" s="483">
        <f t="shared" si="26"/>
        <v>100</v>
      </c>
      <c r="H113" s="483">
        <f t="shared" si="26"/>
        <v>100</v>
      </c>
      <c r="I113" s="483">
        <f t="shared" si="26"/>
        <v>100</v>
      </c>
      <c r="J113" s="483">
        <f t="shared" si="26"/>
        <v>100</v>
      </c>
      <c r="K113" s="483">
        <f t="shared" si="26"/>
        <v>100</v>
      </c>
      <c r="L113" s="483">
        <f t="shared" si="26"/>
        <v>100</v>
      </c>
      <c r="M113" s="484">
        <f t="shared" si="26"/>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5" thickTop="1">
      <c r="A114" s="417"/>
      <c r="B114" s="477" t="s">
        <v>2373</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5.75" thickBot="1">
      <c r="A115" s="375"/>
      <c r="B115" s="482"/>
      <c r="C115" s="483">
        <v>100</v>
      </c>
      <c r="D115" s="483">
        <f t="shared" ref="D115:M115" si="27">C115-$K37</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4">
        <f t="shared" si="27"/>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5.7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5.7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5.7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4" customWidth="1"/>
    <col min="2" max="2" width="19.25" style="2132" customWidth="1"/>
    <col min="3" max="4" width="12" style="1975"/>
    <col min="5" max="5" width="14.625" style="1975" customWidth="1"/>
    <col min="6" max="8" width="12" style="1975"/>
    <col min="9" max="9" width="12.25" style="1975" bestFit="1" customWidth="1"/>
    <col min="10" max="10" width="12" style="1975"/>
    <col min="11" max="11" width="8.125" style="2029" customWidth="1"/>
    <col min="12" max="12" width="12" style="1975"/>
    <col min="13" max="13" width="8.5" style="1975" customWidth="1"/>
    <col min="14" max="14" width="9.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2382</v>
      </c>
      <c r="B1" s="195"/>
      <c r="C1" s="199" t="s">
        <v>2383</v>
      </c>
      <c r="D1" s="339">
        <f>SUM(D29:D30,D33:D39)</f>
        <v>0</v>
      </c>
      <c r="E1" s="1972"/>
      <c r="F1" s="1972"/>
      <c r="G1" s="1972"/>
      <c r="H1" s="1972"/>
      <c r="I1" s="1972"/>
      <c r="J1" s="1972"/>
      <c r="K1" s="1165"/>
      <c r="L1" s="1973" t="s">
        <v>2384</v>
      </c>
      <c r="M1" s="917">
        <f>SUMPRODUCT((区片价!B5:B9=I2)*(区片价!C3:F3=E2)*(区片价!C5:F9))</f>
        <v>0</v>
      </c>
      <c r="N1" s="920">
        <f>SUMPRODUCT((因素修正幅度!B5:B9=I2)*(因素修正幅度!C3:F3=E2)*(因素修正幅度!C5:F9))</f>
        <v>0</v>
      </c>
      <c r="O1" s="1974"/>
      <c r="P1" s="1974"/>
      <c r="Q1" s="1165"/>
      <c r="R1" s="1239" t="s">
        <v>2385</v>
      </c>
      <c r="S1" s="1239" t="s">
        <v>2386</v>
      </c>
      <c r="T1" s="1239" t="s">
        <v>2387</v>
      </c>
      <c r="U1" s="1239" t="s">
        <v>2388</v>
      </c>
      <c r="V1" s="1239" t="s">
        <v>2389</v>
      </c>
      <c r="W1" s="1243"/>
      <c r="X1" s="1243"/>
      <c r="Y1" s="1243"/>
      <c r="Z1" s="1243"/>
      <c r="AA1" s="1243"/>
      <c r="AB1" s="1243"/>
      <c r="AC1" s="1244"/>
      <c r="AD1" s="1245"/>
      <c r="AE1" s="1245"/>
      <c r="AF1" s="1245"/>
      <c r="AG1" s="1245"/>
      <c r="AH1" s="1245"/>
      <c r="AI1" s="1245"/>
      <c r="AJ1" s="1246"/>
    </row>
    <row r="2" spans="1:36" ht="15.75">
      <c r="A2" s="199" t="s">
        <v>2390</v>
      </c>
      <c r="B2" s="202" t="e">
        <f>C26</f>
        <v>#DIV/0!</v>
      </c>
      <c r="C2" s="1976" t="s">
        <v>2391</v>
      </c>
      <c r="D2" s="167" t="s">
        <v>2392</v>
      </c>
      <c r="E2" s="1977"/>
      <c r="F2" s="167" t="s">
        <v>2393</v>
      </c>
      <c r="G2" s="168">
        <f>IF(E2="商业",项目基本情况!B37,IF(E2="办公",项目基本情况!C37,IF(E2="住宅",项目基本情况!D37,项目基本情况!E37)))</f>
        <v>0</v>
      </c>
      <c r="H2" s="167" t="s">
        <v>2394</v>
      </c>
      <c r="I2" s="168">
        <f>IF(E2="商业",项目基本情况!B38,IF(E2="办公",项目基本情况!C38,IF(E2="住宅",项目基本情况!D38,项目基本情况!E38)))</f>
        <v>0</v>
      </c>
      <c r="J2" s="1972"/>
      <c r="K2" s="1165"/>
      <c r="L2" s="1978" t="s">
        <v>2395</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2396</v>
      </c>
      <c r="B3" s="202" t="e">
        <f>ROUND(B2*10000/D1,0)</f>
        <v>#DIV/0!</v>
      </c>
      <c r="C3" s="1976" t="s">
        <v>2397</v>
      </c>
      <c r="D3" s="167" t="s">
        <v>2398</v>
      </c>
      <c r="E3" s="1979"/>
      <c r="F3" s="1980" t="s">
        <v>2399</v>
      </c>
      <c r="G3" s="789">
        <f>IF(F3="宗地容积率",'数据-汇总表'!I4,IF(F3="估价对象容积率",'数据-汇总表'!I6,'数据-汇总表'!I7))</f>
        <v>1018</v>
      </c>
      <c r="H3" s="167" t="s">
        <v>2400</v>
      </c>
      <c r="I3" s="811"/>
      <c r="J3" s="1972" t="s">
        <v>2401</v>
      </c>
      <c r="K3" s="1165"/>
      <c r="L3" s="1978" t="s">
        <v>2402</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345"/>
      <c r="B4" s="3346"/>
      <c r="C4" s="3346"/>
      <c r="D4" s="3347"/>
      <c r="E4" s="3347"/>
      <c r="F4" s="3347"/>
      <c r="G4" s="3347"/>
      <c r="H4" s="3347"/>
      <c r="I4" s="3347"/>
      <c r="J4" s="3348"/>
      <c r="K4" s="1165"/>
      <c r="L4" s="1978" t="s">
        <v>2403</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2404</v>
      </c>
      <c r="C5" s="790" t="e">
        <f>ROUND(IF(E2="商业",C6*C7+C16,(IF(E2="住宅",C6*C12+C16,C6+C16))),0)</f>
        <v>#DIV/0!</v>
      </c>
      <c r="D5" s="1381" t="e">
        <f>ROUND(C6+C16,0)</f>
        <v>#DIV/0!</v>
      </c>
      <c r="E5" s="1381"/>
      <c r="F5" s="1983"/>
      <c r="G5" s="1984"/>
      <c r="H5" s="1984"/>
      <c r="I5" s="1984"/>
      <c r="J5" s="1985"/>
      <c r="K5" s="1986"/>
      <c r="L5" s="1978" t="s">
        <v>2405</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2406</v>
      </c>
      <c r="B6" s="1992" t="s">
        <v>2407</v>
      </c>
      <c r="C6" s="791">
        <f>SUMIF(L1:L12,G2,M1:M12)</f>
        <v>0</v>
      </c>
      <c r="D6" s="1993" t="s">
        <v>2408</v>
      </c>
      <c r="E6" s="1994"/>
      <c r="F6" s="1994"/>
      <c r="G6" s="1995"/>
      <c r="H6" s="1995"/>
      <c r="I6" s="1995"/>
      <c r="J6" s="1996"/>
      <c r="K6" s="1421"/>
      <c r="L6" s="1978" t="s">
        <v>2409</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326" t="str">
        <f>IF(E2="商业",IF(C8="不临58条商业街","",2),"")</f>
        <v/>
      </c>
      <c r="B7" s="1997" t="s">
        <v>2410</v>
      </c>
      <c r="C7" s="792" t="e">
        <f>IF(C8="不临58条商业街",1,ROUND(1+(1.6*E8+1.2*E9+0.8*E10+0.4*E11)*C9,4))</f>
        <v>#DIV/0!</v>
      </c>
      <c r="D7" s="1998" t="s">
        <v>2411</v>
      </c>
      <c r="E7" s="812"/>
      <c r="F7" s="1999"/>
      <c r="G7" s="2000"/>
      <c r="H7" s="2000"/>
      <c r="I7" s="2000"/>
      <c r="J7" s="2001"/>
      <c r="K7" s="1421"/>
      <c r="L7" s="1978" t="s">
        <v>2412</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2413</v>
      </c>
      <c r="X7" s="1241">
        <f>G2</f>
        <v>0</v>
      </c>
      <c r="Y7" s="1241" t="s">
        <v>2414</v>
      </c>
      <c r="Z7" s="1242">
        <f>G3</f>
        <v>1018</v>
      </c>
      <c r="AA7" s="1243"/>
      <c r="AB7" s="1243"/>
      <c r="AC7" s="1244"/>
      <c r="AD7" s="1245"/>
      <c r="AE7" s="1245"/>
      <c r="AF7" s="1245"/>
      <c r="AG7" s="1245"/>
      <c r="AH7" s="1245"/>
      <c r="AI7" s="1245"/>
      <c r="AJ7" s="1246"/>
    </row>
    <row r="8" spans="1:36" ht="15">
      <c r="A8" s="3349"/>
      <c r="B8" s="167" t="s">
        <v>2415</v>
      </c>
      <c r="C8" s="1977"/>
      <c r="D8" s="793" t="s">
        <v>139</v>
      </c>
      <c r="E8" s="794" t="e">
        <f>ROUND(C11/E7,4)</f>
        <v>#DIV/0!</v>
      </c>
      <c r="F8" s="2002" t="s">
        <v>2416</v>
      </c>
      <c r="G8" s="2003"/>
      <c r="H8" s="2003"/>
      <c r="I8" s="2003"/>
      <c r="J8" s="2004"/>
      <c r="K8" s="1165"/>
      <c r="L8" s="1978" t="s">
        <v>2417</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42" t="s">
        <v>2418</v>
      </c>
      <c r="X8" s="3343"/>
      <c r="Y8" s="1247" t="s">
        <v>2419</v>
      </c>
      <c r="Z8" s="1247" t="s">
        <v>2420</v>
      </c>
      <c r="AA8" s="1247" t="s">
        <v>2421</v>
      </c>
      <c r="AB8" s="1247" t="s">
        <v>2422</v>
      </c>
      <c r="AC8" s="1247" t="s">
        <v>2423</v>
      </c>
      <c r="AD8" s="1247" t="s">
        <v>2424</v>
      </c>
      <c r="AE8" s="1247" t="s">
        <v>2425</v>
      </c>
      <c r="AF8" s="1247" t="s">
        <v>2426</v>
      </c>
      <c r="AG8" s="1247" t="s">
        <v>2427</v>
      </c>
      <c r="AH8" s="1247" t="s">
        <v>2428</v>
      </c>
      <c r="AI8" s="1247" t="s">
        <v>2429</v>
      </c>
      <c r="AJ8" s="1247" t="s">
        <v>2430</v>
      </c>
    </row>
    <row r="9" spans="1:36" ht="15">
      <c r="A9" s="3349"/>
      <c r="B9" s="167" t="s">
        <v>2431</v>
      </c>
      <c r="C9" s="795">
        <f>SUMIF(修正!C71:C138,C8,修正!E71:E138)</f>
        <v>0</v>
      </c>
      <c r="D9" s="168" t="s">
        <v>140</v>
      </c>
      <c r="E9" s="168" t="e">
        <f>ROUND(C11/E7,4)</f>
        <v>#DIV/0!</v>
      </c>
      <c r="F9" s="2002" t="s">
        <v>2432</v>
      </c>
      <c r="G9" s="2003"/>
      <c r="H9" s="2003"/>
      <c r="I9" s="2003"/>
      <c r="J9" s="2004"/>
      <c r="K9" s="1165"/>
      <c r="L9" s="1978" t="s">
        <v>2433</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44" t="s">
        <v>2434</v>
      </c>
      <c r="X9" s="1248" t="s">
        <v>2435</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349"/>
      <c r="B10" s="167" t="s">
        <v>2436</v>
      </c>
      <c r="C10" s="168">
        <f>SUMIF(修正!C71:C138,C8,修正!F71:F138)</f>
        <v>0</v>
      </c>
      <c r="D10" s="168" t="s">
        <v>141</v>
      </c>
      <c r="E10" s="168" t="e">
        <f>ROUND(C11/E7,4)</f>
        <v>#DIV/0!</v>
      </c>
      <c r="F10" s="2002" t="s">
        <v>2437</v>
      </c>
      <c r="G10" s="2003"/>
      <c r="H10" s="2003"/>
      <c r="I10" s="2003"/>
      <c r="J10" s="2004"/>
      <c r="K10" s="1165"/>
      <c r="L10" s="1978" t="s">
        <v>2438</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44"/>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349"/>
      <c r="B11" s="2005" t="s">
        <v>2439</v>
      </c>
      <c r="C11" s="796">
        <f>C10/4</f>
        <v>0</v>
      </c>
      <c r="D11" s="796" t="s">
        <v>142</v>
      </c>
      <c r="E11" s="796" t="e">
        <f>ROUND(C11/E7,4)</f>
        <v>#DIV/0!</v>
      </c>
      <c r="F11" s="2006" t="s">
        <v>2440</v>
      </c>
      <c r="G11" s="2007"/>
      <c r="H11" s="2007"/>
      <c r="I11" s="2007"/>
      <c r="J11" s="2008"/>
      <c r="K11" s="1165"/>
      <c r="L11" s="1978" t="s">
        <v>2441</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44" t="s">
        <v>2442</v>
      </c>
      <c r="X11" s="1251" t="s">
        <v>2443</v>
      </c>
      <c r="Y11" s="1251">
        <f>$G$3</f>
        <v>1018</v>
      </c>
      <c r="Z11" s="1251">
        <f t="shared" ref="Z11:AJ11" si="3">$G$3</f>
        <v>1018</v>
      </c>
      <c r="AA11" s="1251">
        <f t="shared" si="3"/>
        <v>1018</v>
      </c>
      <c r="AB11" s="1251">
        <f t="shared" si="3"/>
        <v>1018</v>
      </c>
      <c r="AC11" s="1251">
        <f t="shared" si="3"/>
        <v>1018</v>
      </c>
      <c r="AD11" s="1251">
        <f t="shared" si="3"/>
        <v>1018</v>
      </c>
      <c r="AE11" s="1251">
        <f t="shared" si="3"/>
        <v>1018</v>
      </c>
      <c r="AF11" s="1251">
        <f t="shared" si="3"/>
        <v>1018</v>
      </c>
      <c r="AG11" s="1251">
        <f t="shared" si="3"/>
        <v>1018</v>
      </c>
      <c r="AH11" s="1251">
        <f t="shared" si="3"/>
        <v>1018</v>
      </c>
      <c r="AI11" s="1251">
        <f t="shared" si="3"/>
        <v>1018</v>
      </c>
      <c r="AJ11" s="1251">
        <f t="shared" si="3"/>
        <v>1018</v>
      </c>
    </row>
    <row r="12" spans="1:36" ht="25.5" thickBot="1">
      <c r="A12" s="3326" t="s">
        <v>2444</v>
      </c>
      <c r="B12" s="2009" t="s">
        <v>2445</v>
      </c>
      <c r="C12" s="792">
        <f>ROUND(C15*D15*E15*F15*G15*H15*I15*J15,4)</f>
        <v>1</v>
      </c>
      <c r="D12" s="2010" t="s">
        <v>2446</v>
      </c>
      <c r="E12" s="2011"/>
      <c r="F12" s="2011"/>
      <c r="G12" s="2012"/>
      <c r="H12" s="2012"/>
      <c r="I12" s="2012"/>
      <c r="J12" s="2013"/>
      <c r="K12" s="1165"/>
      <c r="L12" s="1926" t="s">
        <v>2447</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44"/>
      <c r="X12" s="1252" t="s">
        <v>2448</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350"/>
      <c r="B13" s="2014" t="s">
        <v>2449</v>
      </c>
      <c r="C13" s="2015" t="s">
        <v>2450</v>
      </c>
      <c r="D13" s="1390" t="s">
        <v>2451</v>
      </c>
      <c r="E13" s="1390" t="s">
        <v>2452</v>
      </c>
      <c r="F13" s="30" t="s">
        <v>2453</v>
      </c>
      <c r="G13" s="2016" t="s">
        <v>2454</v>
      </c>
      <c r="H13" s="2016" t="s">
        <v>2454</v>
      </c>
      <c r="I13" s="2016" t="s">
        <v>2454</v>
      </c>
      <c r="J13" s="2017" t="s">
        <v>2454</v>
      </c>
      <c r="K13" s="1165"/>
      <c r="L13" s="1165"/>
      <c r="M13" s="1165"/>
      <c r="N13" s="1165"/>
      <c r="O13" s="1165"/>
      <c r="P13" s="1165"/>
      <c r="Q13" s="1165"/>
      <c r="R13" s="1239">
        <v>12</v>
      </c>
      <c r="S13" s="1240"/>
      <c r="T13" s="1239" t="e">
        <f t="shared" si="0"/>
        <v>#DIV/0!</v>
      </c>
      <c r="U13" s="1240"/>
      <c r="V13" s="1239" t="e">
        <f t="shared" si="1"/>
        <v>#DIV/0!</v>
      </c>
      <c r="W13" s="3344"/>
      <c r="X13" s="1252"/>
      <c r="Y13" s="1250">
        <f>(-0.163*(Y12^2)-0.59*Y12+7617)*(10^(-4))/Y11</f>
        <v>7.4823182711198429E-4</v>
      </c>
      <c r="Z13" s="1250">
        <f t="shared" ref="Z13:AJ13" si="5">(-0.163*(Z12^2)-0.59*Z12+7617)*(10^(-4))/Z11</f>
        <v>7.4823182711198429E-4</v>
      </c>
      <c r="AA13" s="1250">
        <f t="shared" si="5"/>
        <v>7.4823182711198429E-4</v>
      </c>
      <c r="AB13" s="1250">
        <f t="shared" si="5"/>
        <v>7.4823182711198429E-4</v>
      </c>
      <c r="AC13" s="1250">
        <f t="shared" si="5"/>
        <v>7.4823182711198429E-4</v>
      </c>
      <c r="AD13" s="1250">
        <f t="shared" si="5"/>
        <v>7.4823182711198429E-4</v>
      </c>
      <c r="AE13" s="1250">
        <f t="shared" si="5"/>
        <v>7.4823182711198429E-4</v>
      </c>
      <c r="AF13" s="1250">
        <f t="shared" si="5"/>
        <v>7.4823182711198429E-4</v>
      </c>
      <c r="AG13" s="1250">
        <f t="shared" si="5"/>
        <v>7.4823182711198429E-4</v>
      </c>
      <c r="AH13" s="1250">
        <f t="shared" si="5"/>
        <v>7.4823182711198429E-4</v>
      </c>
      <c r="AI13" s="1250">
        <f t="shared" si="5"/>
        <v>7.4823182711198429E-4</v>
      </c>
      <c r="AJ13" s="1250">
        <f t="shared" si="5"/>
        <v>7.4823182711198429E-4</v>
      </c>
    </row>
    <row r="14" spans="1:36" ht="15">
      <c r="A14" s="3350"/>
      <c r="B14" s="2018"/>
      <c r="C14" s="2019"/>
      <c r="D14" s="2020"/>
      <c r="E14" s="2020"/>
      <c r="F14" s="2021"/>
      <c r="G14" s="2022" t="s">
        <v>2455</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5.75" thickBot="1">
      <c r="A15" s="3351"/>
      <c r="B15" s="2025" t="s">
        <v>2456</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 customHeight="1">
      <c r="A16" s="3326" t="s">
        <v>2461</v>
      </c>
      <c r="B16" s="1997" t="s">
        <v>2462</v>
      </c>
      <c r="C16" s="2148" t="e">
        <f>ROUND(IF(F17="与级别开发程度一致",0,(G17-E17)/C17),0)</f>
        <v>#DIV/0!</v>
      </c>
      <c r="D16" s="3339" t="s">
        <v>2466</v>
      </c>
      <c r="E16" s="3340"/>
      <c r="F16" s="3339" t="s">
        <v>2463</v>
      </c>
      <c r="G16" s="3340"/>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327"/>
      <c r="B17" s="2159" t="s">
        <v>2465</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2468</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7.75" thickBot="1">
      <c r="A19" s="2030" t="s">
        <v>628</v>
      </c>
      <c r="B19" s="2031" t="s">
        <v>2469</v>
      </c>
      <c r="C19" s="797" t="e">
        <f>ROUND(IF(H19="按公示增长率计算",SUMPRODUCT((地价!A3:A37=YEAR(G19)&amp;"-"&amp;ROUNDUP(MONTH(G19)/3,0))*(地价!X2:AB2=E2)*(地价!X3:AB37)),IF(H19="地价指数",M20/M19,(1+I19)^O19)),4)</f>
        <v>#VALUE!</v>
      </c>
      <c r="D19" s="2035" t="s">
        <v>2470</v>
      </c>
      <c r="E19" s="798">
        <v>41640</v>
      </c>
      <c r="F19" s="2035" t="s">
        <v>2471</v>
      </c>
      <c r="G19" s="799">
        <f>'数据-取费表'!B2</f>
        <v>44914</v>
      </c>
      <c r="H19" s="2036"/>
      <c r="I19" s="800" t="str">
        <f>IF(H19="季度增幅（自定义）",SUMIF(N21:N24,E2,O21:O24),"")</f>
        <v/>
      </c>
      <c r="J19" s="2033"/>
      <c r="K19" s="1171"/>
      <c r="L19" s="2037" t="s">
        <v>2472</v>
      </c>
      <c r="M19" s="1356">
        <f>ROUND(SUMIF(地价!B2:F2,E2,地价!B37:F37),0)</f>
        <v>0</v>
      </c>
      <c r="N19" s="2038" t="s">
        <v>2473</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7.75" thickBot="1">
      <c r="A20" s="2040" t="s">
        <v>629</v>
      </c>
      <c r="B20" s="2041" t="s">
        <v>2474</v>
      </c>
      <c r="C20" s="802" t="e">
        <f>ROUND(POWER(1+G20,J20-I20)*(POWER(1+G20,I20)-1)/(POWER(1+G20,J20)-1),4)</f>
        <v>#DIV/0!</v>
      </c>
      <c r="D20" s="778" t="s">
        <v>2475</v>
      </c>
      <c r="E20" s="1363">
        <f>存贷款利率!E22/100</f>
        <v>4.3499999999999997E-2</v>
      </c>
      <c r="F20" s="778" t="s">
        <v>2467</v>
      </c>
      <c r="G20" s="806">
        <f>SUMIF(M26:P26,E2,M28:P28)</f>
        <v>0</v>
      </c>
      <c r="H20" s="778" t="s">
        <v>2476</v>
      </c>
      <c r="I20" s="807" t="e">
        <f>SUMIF('数据-取费表'!C6:C15,E2,'数据-取费表'!F6:F15)/COUNTIF('数据-取费表'!C6:C15,E2)</f>
        <v>#DIV/0!</v>
      </c>
      <c r="J20" s="808">
        <f>IF(E2="住宅",70,IF(E2="商业",40,50))</f>
        <v>50</v>
      </c>
      <c r="K20" s="1171"/>
      <c r="L20" s="2042" t="s">
        <v>2477</v>
      </c>
      <c r="M20" s="1357">
        <f>ROUND(SUMPRODUCT((地价!A4:A37=YEAR(G19)&amp;"-"&amp;ROUNDUP(MONTH(G19)/3,0))*(地价!B2:F2=E2)*(地价!B4:F37)),0)</f>
        <v>0</v>
      </c>
      <c r="N20" s="2043" t="s">
        <v>2478</v>
      </c>
      <c r="O20" s="2044" t="s">
        <v>2479</v>
      </c>
      <c r="P20" s="2045" t="s">
        <v>2480</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5">
      <c r="A21" s="2046" t="s">
        <v>630</v>
      </c>
      <c r="B21" s="2047" t="s">
        <v>2481</v>
      </c>
      <c r="C21" s="469">
        <f>IF(B21="容积率修正",IF(G3&lt;=10,D22,J22),C23)</f>
        <v>0</v>
      </c>
      <c r="D21" s="2048"/>
      <c r="E21" s="2048"/>
      <c r="F21" s="2048"/>
      <c r="G21" s="2048"/>
      <c r="H21" s="2048"/>
      <c r="I21" s="2048"/>
      <c r="J21" s="2049"/>
      <c r="K21" s="1171"/>
      <c r="L21" s="2721"/>
      <c r="M21" s="2721"/>
      <c r="N21" s="2050" t="s">
        <v>2482</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25">
      <c r="A22" s="1936" t="s">
        <v>2483</v>
      </c>
      <c r="B22" s="2051" t="s">
        <v>2484</v>
      </c>
      <c r="C22" s="1392" t="s">
        <v>2485</v>
      </c>
      <c r="D22" s="1392" t="str">
        <f>IF(E22=G22,F22,IF(G3&lt;=10,ROUND(F22+(H22-F22)*(G3-E22)/(G22-E22),4),"——"))</f>
        <v>——</v>
      </c>
      <c r="E22" s="789">
        <f>ROUNDDOWN(G3,1)</f>
        <v>1018</v>
      </c>
      <c r="F22" s="139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789">
        <f>ROUNDUP(G3,1)</f>
        <v>1018</v>
      </c>
      <c r="H22" s="139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392" t="s">
        <v>155</v>
      </c>
      <c r="J22" s="382">
        <f>IF(G3&gt;10,D113,"——")</f>
        <v>0</v>
      </c>
      <c r="K22" s="1171"/>
      <c r="L22" s="2721"/>
      <c r="M22" s="2721"/>
      <c r="N22" s="2050" t="s">
        <v>2486</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7.75" thickBot="1">
      <c r="A23" s="1936" t="s">
        <v>2487</v>
      </c>
      <c r="B23" s="2052" t="s">
        <v>2488</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2489</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2490</v>
      </c>
      <c r="C24" s="797">
        <f>SUMIF(A45:A88,E2,B45:B88)</f>
        <v>0</v>
      </c>
      <c r="D24" s="2032"/>
      <c r="E24" s="2058"/>
      <c r="F24" s="2058"/>
      <c r="G24" s="2058"/>
      <c r="H24" s="2058"/>
      <c r="I24" s="2058"/>
      <c r="J24" s="2059"/>
      <c r="K24" s="1171"/>
      <c r="L24" s="2721"/>
      <c r="M24" s="2721"/>
      <c r="N24" s="2060" t="s">
        <v>2491</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5.75" thickBot="1">
      <c r="A25" s="2040" t="s">
        <v>632</v>
      </c>
      <c r="B25" s="2061" t="s">
        <v>2492</v>
      </c>
      <c r="C25" s="803"/>
      <c r="D25" s="2000"/>
      <c r="E25" s="2000"/>
      <c r="F25" s="2062"/>
      <c r="G25" s="2000"/>
      <c r="H25" s="2000"/>
      <c r="I25" s="2000"/>
      <c r="J25" s="2001"/>
      <c r="K25" s="1165"/>
      <c r="L25" s="1974"/>
      <c r="M25" s="1974"/>
      <c r="N25" s="2716" t="s">
        <v>2493</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2494</v>
      </c>
      <c r="C26" s="2305" t="e">
        <f>IF(B21="容积率修正",E29+SUM(E33:E39),SUM(V2:V16)+SUM(E33:E39))</f>
        <v>#DIV/0!</v>
      </c>
      <c r="D26" s="2064"/>
      <c r="E26" s="1972"/>
      <c r="F26" s="2065"/>
      <c r="G26" s="1972"/>
      <c r="H26" s="1972"/>
      <c r="I26" s="1972"/>
      <c r="J26" s="2066"/>
      <c r="K26" s="1165"/>
      <c r="L26" s="2719" t="s">
        <v>2392</v>
      </c>
      <c r="M26" s="1998" t="s">
        <v>2457</v>
      </c>
      <c r="N26" s="1998" t="s">
        <v>2458</v>
      </c>
      <c r="O26" s="1998" t="s">
        <v>2459</v>
      </c>
      <c r="P26" s="2720" t="s">
        <v>2460</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2495</v>
      </c>
      <c r="C27" s="804" t="e">
        <f>E30+SUM(I33:I39)</f>
        <v>#DIV/0!</v>
      </c>
      <c r="D27" s="2068"/>
      <c r="E27" s="2069"/>
      <c r="F27" s="2070"/>
      <c r="G27" s="2069"/>
      <c r="H27" s="2069"/>
      <c r="I27" s="2069"/>
      <c r="J27" s="2071"/>
      <c r="K27" s="1165"/>
      <c r="L27" s="782" t="s">
        <v>2464</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2496</v>
      </c>
      <c r="C28" s="2074" t="s">
        <v>2497</v>
      </c>
      <c r="D28" s="2074" t="s">
        <v>2498</v>
      </c>
      <c r="E28" s="2075" t="s">
        <v>2499</v>
      </c>
      <c r="F28" s="2076"/>
      <c r="G28" s="2012"/>
      <c r="H28" s="2012"/>
      <c r="I28" s="2012"/>
      <c r="J28" s="2013"/>
      <c r="K28" s="1165"/>
      <c r="L28" s="2028" t="s">
        <v>2467</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2500</v>
      </c>
      <c r="C29" s="172" t="e">
        <f>ROUND(C5*C18*C19*C20*C21*C24,0)</f>
        <v>#DIV/0!</v>
      </c>
      <c r="D29" s="2079"/>
      <c r="E29" s="809" t="e">
        <f>ROUND(C29*D29/10000,0)</f>
        <v>#DIV/0!</v>
      </c>
      <c r="F29" s="2080" t="s">
        <v>2501</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2502</v>
      </c>
      <c r="C30" s="185" t="e">
        <f>ROUND(IF(E2="工业",C29*M39,C29*M38),0)</f>
        <v>#DIV/0!</v>
      </c>
      <c r="D30" s="2085"/>
      <c r="E30" s="809" t="e">
        <f>ROUND(C30*D30/10000,0)</f>
        <v>#DIV/0!</v>
      </c>
      <c r="F30" s="2086" t="s">
        <v>2503</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2504</v>
      </c>
      <c r="C31" s="2091" t="s">
        <v>2505</v>
      </c>
      <c r="D31" s="2012"/>
      <c r="E31" s="2091"/>
      <c r="F31" s="2091"/>
      <c r="G31" s="2010" t="s">
        <v>2506</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2497</v>
      </c>
      <c r="D32" s="441" t="s">
        <v>2498</v>
      </c>
      <c r="E32" s="441" t="s">
        <v>2499</v>
      </c>
      <c r="F32" s="339" t="s">
        <v>2507</v>
      </c>
      <c r="G32" s="2094" t="s">
        <v>2497</v>
      </c>
      <c r="H32" s="2094" t="s">
        <v>2498</v>
      </c>
      <c r="I32" s="2094" t="s">
        <v>2499</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336"/>
      <c r="B33" s="2095" t="s">
        <v>2508</v>
      </c>
      <c r="C33" s="172" t="e">
        <f>ROUND(D5*C19*C20*C24*F33,0)</f>
        <v>#DIV/0!</v>
      </c>
      <c r="D33" s="2079"/>
      <c r="E33" s="168" t="e">
        <f>ROUND(C33*D33/10000,0)</f>
        <v>#DIV/0!</v>
      </c>
      <c r="F33" s="168">
        <f>SUMIF(修正!A57:A68,G2,修正!B57:B68)</f>
        <v>0</v>
      </c>
      <c r="G33" s="168" t="e">
        <f>ROUND(IF(E2="工业",C33*$M$39,C33*$M$38),0)</f>
        <v>#DIV/0!</v>
      </c>
      <c r="H33" s="168">
        <f>D33</f>
        <v>0</v>
      </c>
      <c r="I33" s="168" t="e">
        <f>ROUND(G33*H33/10000,0)</f>
        <v>#DIV/0!</v>
      </c>
      <c r="J33" s="3341" t="s">
        <v>2807</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337"/>
      <c r="B34" s="2015" t="s">
        <v>2509</v>
      </c>
      <c r="C34" s="172" t="e">
        <f>ROUND(D5*C19*C20*C24*F34,0)</f>
        <v>#DIV/0!</v>
      </c>
      <c r="D34" s="2079"/>
      <c r="E34" s="168" t="e">
        <f t="shared" ref="E34:E39" si="6">ROUND(C34*D34/10000,0)</f>
        <v>#DIV/0!</v>
      </c>
      <c r="F34" s="168">
        <f>SUMIF(修正!A57:A68,G2,修正!C57:C68)</f>
        <v>0</v>
      </c>
      <c r="G34" s="168" t="e">
        <f>ROUND(IF(E2="工业",C34*$M$39,C34*$M$38),0)</f>
        <v>#DIV/0!</v>
      </c>
      <c r="H34" s="168">
        <f t="shared" ref="H34:H39" si="7">D34</f>
        <v>0</v>
      </c>
      <c r="I34" s="168" t="e">
        <f t="shared" ref="I34:I39" si="8">ROUND(G34*H34/10000,0)</f>
        <v>#DIV/0!</v>
      </c>
      <c r="J34" s="3337"/>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337"/>
      <c r="B35" s="2015" t="s">
        <v>2510</v>
      </c>
      <c r="C35" s="172" t="e">
        <f>ROUND(D5*C19*C20*C24*F35,0)</f>
        <v>#DIV/0!</v>
      </c>
      <c r="D35" s="2079"/>
      <c r="E35" s="168" t="e">
        <f t="shared" si="6"/>
        <v>#DIV/0!</v>
      </c>
      <c r="F35" s="168">
        <f>SUMIF(修正!A57:A68,G2,修正!D57:D68)</f>
        <v>0</v>
      </c>
      <c r="G35" s="168" t="e">
        <f>ROUND(IF(E2="工业",C35*$M$39,C35*$M$38),0)</f>
        <v>#DIV/0!</v>
      </c>
      <c r="H35" s="168">
        <f t="shared" si="7"/>
        <v>0</v>
      </c>
      <c r="I35" s="168" t="e">
        <f t="shared" si="8"/>
        <v>#DIV/0!</v>
      </c>
      <c r="J35" s="3337"/>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338"/>
      <c r="B36" s="2015" t="s">
        <v>2511</v>
      </c>
      <c r="C36" s="172" t="e">
        <f>ROUND(D5*C19*C20*C24*F36,0)</f>
        <v>#DIV/0!</v>
      </c>
      <c r="D36" s="2079"/>
      <c r="E36" s="168" t="e">
        <f t="shared" si="6"/>
        <v>#DIV/0!</v>
      </c>
      <c r="F36" s="168" t="e">
        <f>SUMIF(修正!A57:A68,G2,修正!#REF!)</f>
        <v>#REF!</v>
      </c>
      <c r="G36" s="168" t="e">
        <f>ROUND(IF(E2="工业",C36*$M$39,C36*$M$38),0)</f>
        <v>#DIV/0!</v>
      </c>
      <c r="H36" s="168">
        <f t="shared" si="7"/>
        <v>0</v>
      </c>
      <c r="I36" s="168" t="e">
        <f t="shared" si="8"/>
        <v>#DIV/0!</v>
      </c>
      <c r="J36" s="3338"/>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2512</v>
      </c>
      <c r="C37" s="168" t="e">
        <f>ROUND(D5*C19*C20*C24*F37,0)</f>
        <v>#DIV/0!</v>
      </c>
      <c r="D37" s="2079"/>
      <c r="E37" s="168" t="e">
        <f t="shared" si="6"/>
        <v>#DIV/0!</v>
      </c>
      <c r="F37" s="172">
        <f>SUMIF(修正!A57:A68,G2,修正!E57:E68)</f>
        <v>0</v>
      </c>
      <c r="G37" s="168" t="e">
        <f>ROUND(IF(E2="工业",C37*$M$39,C37*$M$38),0)</f>
        <v>#DIV/0!</v>
      </c>
      <c r="H37" s="168">
        <f t="shared" si="7"/>
        <v>0</v>
      </c>
      <c r="I37" s="168" t="e">
        <f t="shared" si="8"/>
        <v>#DIV/0!</v>
      </c>
      <c r="J37" s="1046"/>
      <c r="K37" s="1165"/>
      <c r="L37" s="2097" t="s">
        <v>2513</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2514</v>
      </c>
      <c r="C38" s="168" t="e">
        <f>ROUND(D5*C19*C41*C24*F38,0)</f>
        <v>#DIV/0!</v>
      </c>
      <c r="D38" s="2079"/>
      <c r="E38" s="168" t="e">
        <f t="shared" si="6"/>
        <v>#DIV/0!</v>
      </c>
      <c r="F38" s="172">
        <f>SUMIF(修正!A57:A68,G2,修正!F57:F68)</f>
        <v>0</v>
      </c>
      <c r="G38" s="168" t="e">
        <f>ROUND(IF(E2="工业",C38*$M$39,C38*$M$38),0)</f>
        <v>#DIV/0!</v>
      </c>
      <c r="H38" s="168">
        <f t="shared" si="7"/>
        <v>0</v>
      </c>
      <c r="I38" s="168" t="e">
        <f t="shared" si="8"/>
        <v>#DIV/0!</v>
      </c>
      <c r="J38" s="1046"/>
      <c r="K38" s="1165"/>
      <c r="L38" s="1457" t="s">
        <v>2515</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2516</v>
      </c>
      <c r="C39" s="185" t="e">
        <f>ROUND(D5*C19*C41*C24*F39,0)</f>
        <v>#DIV/0!</v>
      </c>
      <c r="D39" s="2085"/>
      <c r="E39" s="185" t="e">
        <f t="shared" si="6"/>
        <v>#DIV/0!</v>
      </c>
      <c r="F39" s="805">
        <f>SUMIF(修正!A57:A68,G2,修正!G57:G68)</f>
        <v>0</v>
      </c>
      <c r="G39" s="185" t="e">
        <f>ROUND(IF(E2="工业",C39*$M$39,C39*$M$38),0)</f>
        <v>#DIV/0!</v>
      </c>
      <c r="H39" s="185">
        <f t="shared" si="7"/>
        <v>0</v>
      </c>
      <c r="I39" s="185" t="e">
        <f t="shared" si="8"/>
        <v>#DIV/0!</v>
      </c>
      <c r="J39" s="2101"/>
      <c r="K39" s="1165"/>
      <c r="L39" s="2102" t="s">
        <v>2460</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2621</v>
      </c>
      <c r="C41" s="339" t="e">
        <f>ROUND(POWER(1+E41,H41-G41)*(POWER(1+E41,G41)-1)/(POWER(1+E41,H41)-1),4)</f>
        <v>#DIV/0!</v>
      </c>
      <c r="D41" s="168" t="s">
        <v>2467</v>
      </c>
      <c r="E41" s="2146">
        <f>G20</f>
        <v>0</v>
      </c>
      <c r="F41" s="168" t="s">
        <v>2476</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2517</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2518</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2519</v>
      </c>
      <c r="B47" s="1391" t="s">
        <v>2520</v>
      </c>
      <c r="C47" s="1391" t="s">
        <v>2521</v>
      </c>
      <c r="D47" s="1391" t="s">
        <v>2522</v>
      </c>
      <c r="E47" s="714" t="s">
        <v>2523</v>
      </c>
      <c r="F47" s="2111" t="s">
        <v>2524</v>
      </c>
      <c r="G47" s="1391" t="s">
        <v>574</v>
      </c>
      <c r="H47" s="783" t="s">
        <v>2525</v>
      </c>
      <c r="I47" s="1391" t="s">
        <v>2526</v>
      </c>
      <c r="J47" s="538" t="s">
        <v>2176</v>
      </c>
      <c r="K47" s="538" t="s">
        <v>2177</v>
      </c>
      <c r="L47" s="538" t="s">
        <v>2178</v>
      </c>
      <c r="M47" s="538" t="s">
        <v>2179</v>
      </c>
      <c r="N47" s="538" t="s">
        <v>2180</v>
      </c>
      <c r="AA47" s="1166"/>
      <c r="AB47" s="1166"/>
      <c r="AC47" s="1166"/>
      <c r="AD47" s="1166"/>
      <c r="AE47" s="1166"/>
      <c r="AF47" s="1166"/>
      <c r="AG47" s="1166"/>
      <c r="AH47" s="1166"/>
      <c r="AI47" s="1166"/>
      <c r="AJ47" s="1166"/>
      <c r="AK47" s="1166"/>
    </row>
    <row r="48" spans="1:37" s="1165" customFormat="1" ht="89.25">
      <c r="A48" s="2110" t="s">
        <v>2527</v>
      </c>
      <c r="B48" s="2112" t="str">
        <f>估价对象房地状况!C4</f>
        <v>估价对象位于西直门商圈，周边有嘉茂购物中心、智地钻河中心、华远企业中心、阳光大厦、京煤大厦等商业项目，商业氛围较成熟，人流量较大，商业繁华度较好</v>
      </c>
      <c r="C48" s="2020"/>
      <c r="D48" s="1109">
        <f t="shared" ref="D48:D56" si="9">SUMIF($J$47:$N$47,C48,J48:N48)</f>
        <v>0</v>
      </c>
      <c r="E48" s="716">
        <f>ROUND(SUM(D48:D56),4)</f>
        <v>0</v>
      </c>
      <c r="F48" s="1805" t="str">
        <f>IF(E2="商业",SUMIF(L1:L12,G2,N1:N12),"——")</f>
        <v>——</v>
      </c>
      <c r="G48" s="1107"/>
      <c r="H48" s="1111" t="str">
        <f t="shared" ref="H48:H56" si="10">IFERROR(ROUNDDOWN($F$48*I48/2,4),"——")</f>
        <v>——</v>
      </c>
      <c r="I48" s="715">
        <v>0.33</v>
      </c>
      <c r="J48" s="1108">
        <f t="shared" ref="J48:J56" si="11">K48+$G48</f>
        <v>0</v>
      </c>
      <c r="K48" s="1108">
        <f t="shared" ref="K48:K56" si="12">$L48+$G48</f>
        <v>0</v>
      </c>
      <c r="L48" s="1108">
        <v>0</v>
      </c>
      <c r="M48" s="1108">
        <f t="shared" ref="M48:N56" si="13">L48-$G48</f>
        <v>0</v>
      </c>
      <c r="N48" s="1108">
        <f t="shared" si="13"/>
        <v>0</v>
      </c>
      <c r="AA48" s="1166"/>
      <c r="AB48" s="1166"/>
      <c r="AC48" s="1166"/>
      <c r="AD48" s="1166"/>
      <c r="AE48" s="1166"/>
      <c r="AF48" s="1166"/>
      <c r="AG48" s="1166"/>
      <c r="AH48" s="1166"/>
      <c r="AI48" s="1166"/>
      <c r="AJ48" s="1166"/>
      <c r="AK48" s="1166"/>
    </row>
    <row r="49" spans="1:37" s="1165" customFormat="1" ht="102">
      <c r="A49" s="2110" t="s">
        <v>2528</v>
      </c>
      <c r="B49" s="1391" t="str">
        <f>估价对象房地状况!C18</f>
        <v>估价对象周边有16路、26路、305路、603路、夜14路、快速直达专线35路等多条公交线路，距地铁2、4、13号线换乘站（西直门站）及京张城际铁路（北京北站）约1.2公里，综合评价交通便捷度较好</v>
      </c>
      <c r="C49" s="2020"/>
      <c r="D49" s="1109">
        <f t="shared" si="9"/>
        <v>0</v>
      </c>
      <c r="E49" s="717"/>
      <c r="F49" s="1805"/>
      <c r="G49" s="1107"/>
      <c r="H49" s="1111" t="str">
        <f t="shared" si="10"/>
        <v>——</v>
      </c>
      <c r="I49" s="715">
        <v>0.25</v>
      </c>
      <c r="J49" s="1108">
        <f t="shared" si="11"/>
        <v>0</v>
      </c>
      <c r="K49" s="1108">
        <f t="shared" si="12"/>
        <v>0</v>
      </c>
      <c r="L49" s="1108">
        <v>0</v>
      </c>
      <c r="M49" s="1108">
        <f t="shared" si="13"/>
        <v>0</v>
      </c>
      <c r="N49" s="1108">
        <f t="shared" si="13"/>
        <v>0</v>
      </c>
      <c r="AA49" s="1166"/>
      <c r="AB49" s="1166"/>
      <c r="AC49" s="1166"/>
      <c r="AD49" s="1166"/>
      <c r="AE49" s="1166"/>
      <c r="AF49" s="1166"/>
      <c r="AG49" s="1166"/>
      <c r="AH49" s="1166"/>
      <c r="AI49" s="1166"/>
      <c r="AJ49" s="1166"/>
      <c r="AK49" s="1166"/>
    </row>
    <row r="50" spans="1:37" s="1165" customFormat="1" ht="24">
      <c r="A50" s="2110" t="s">
        <v>2529</v>
      </c>
      <c r="B50" s="1391">
        <f>估价对象房地状况!C19</f>
        <v>0</v>
      </c>
      <c r="C50" s="2020"/>
      <c r="D50" s="1109">
        <f t="shared" si="9"/>
        <v>0</v>
      </c>
      <c r="E50" s="717"/>
      <c r="F50" s="1805"/>
      <c r="G50" s="1107"/>
      <c r="H50" s="1111" t="str">
        <f t="shared" si="10"/>
        <v>——</v>
      </c>
      <c r="I50" s="715">
        <v>0.05</v>
      </c>
      <c r="J50" s="1108">
        <f t="shared" si="11"/>
        <v>0</v>
      </c>
      <c r="K50" s="1108">
        <f t="shared" si="12"/>
        <v>0</v>
      </c>
      <c r="L50" s="1108">
        <v>0</v>
      </c>
      <c r="M50" s="1108">
        <f t="shared" si="13"/>
        <v>0</v>
      </c>
      <c r="N50" s="1108">
        <f t="shared" si="13"/>
        <v>0</v>
      </c>
      <c r="AA50" s="1166"/>
      <c r="AB50" s="1166"/>
      <c r="AC50" s="1166"/>
      <c r="AD50" s="1166"/>
      <c r="AE50" s="1166"/>
      <c r="AF50" s="1166"/>
      <c r="AG50" s="1166"/>
      <c r="AH50" s="1166"/>
      <c r="AI50" s="1166"/>
      <c r="AJ50" s="1166"/>
      <c r="AK50" s="1166"/>
    </row>
    <row r="51" spans="1:37" s="1165" customFormat="1" ht="36.75">
      <c r="A51" s="2110" t="s">
        <v>2530</v>
      </c>
      <c r="B51" s="2113" t="s">
        <v>2531</v>
      </c>
      <c r="C51" s="2020"/>
      <c r="D51" s="1109">
        <f t="shared" si="9"/>
        <v>0</v>
      </c>
      <c r="E51" s="717"/>
      <c r="F51" s="1805"/>
      <c r="G51" s="1107"/>
      <c r="H51" s="1111" t="str">
        <f t="shared" si="10"/>
        <v>——</v>
      </c>
      <c r="I51" s="715">
        <v>0.05</v>
      </c>
      <c r="J51" s="1108">
        <f t="shared" si="11"/>
        <v>0</v>
      </c>
      <c r="K51" s="1108">
        <f t="shared" si="12"/>
        <v>0</v>
      </c>
      <c r="L51" s="1108">
        <v>0</v>
      </c>
      <c r="M51" s="1108">
        <f t="shared" si="13"/>
        <v>0</v>
      </c>
      <c r="N51" s="1108">
        <f t="shared" si="13"/>
        <v>0</v>
      </c>
      <c r="AA51" s="1166"/>
      <c r="AB51" s="1166"/>
      <c r="AC51" s="1166"/>
      <c r="AD51" s="1166"/>
      <c r="AE51" s="1166"/>
      <c r="AF51" s="1166"/>
      <c r="AG51" s="1166"/>
      <c r="AH51" s="1166"/>
      <c r="AI51" s="1166"/>
      <c r="AJ51" s="1166"/>
      <c r="AK51" s="1166"/>
    </row>
    <row r="52" spans="1:37" s="1165" customFormat="1" ht="25.5">
      <c r="A52" s="2110" t="s">
        <v>2532</v>
      </c>
      <c r="B52" s="1391" t="str">
        <f>估价对象房地状况!C24</f>
        <v>城市次干道——高梁桥斜街</v>
      </c>
      <c r="C52" s="2020"/>
      <c r="D52" s="1109">
        <f t="shared" si="9"/>
        <v>0</v>
      </c>
      <c r="E52" s="717"/>
      <c r="F52" s="1805"/>
      <c r="G52" s="1107"/>
      <c r="H52" s="1111" t="str">
        <f t="shared" si="10"/>
        <v>——</v>
      </c>
      <c r="I52" s="715">
        <v>0.08</v>
      </c>
      <c r="J52" s="1108">
        <f t="shared" si="11"/>
        <v>0</v>
      </c>
      <c r="K52" s="1108">
        <f t="shared" si="12"/>
        <v>0</v>
      </c>
      <c r="L52" s="1108">
        <v>0</v>
      </c>
      <c r="M52" s="1108">
        <f t="shared" si="13"/>
        <v>0</v>
      </c>
      <c r="N52" s="1108">
        <f t="shared" si="13"/>
        <v>0</v>
      </c>
      <c r="AA52" s="1166"/>
      <c r="AB52" s="1166"/>
      <c r="AC52" s="1166"/>
      <c r="AD52" s="1166"/>
      <c r="AE52" s="1166"/>
      <c r="AF52" s="1166"/>
      <c r="AG52" s="1166"/>
      <c r="AH52" s="1166"/>
      <c r="AI52" s="1166"/>
      <c r="AJ52" s="1166"/>
      <c r="AK52" s="1166"/>
    </row>
    <row r="53" spans="1:37" s="1165" customFormat="1" ht="24">
      <c r="A53" s="2110" t="s">
        <v>2533</v>
      </c>
      <c r="B53" s="2114" t="s">
        <v>2534</v>
      </c>
      <c r="C53" s="2020"/>
      <c r="D53" s="1109">
        <f t="shared" si="9"/>
        <v>0</v>
      </c>
      <c r="E53" s="717"/>
      <c r="F53" s="1805"/>
      <c r="G53" s="1107"/>
      <c r="H53" s="1111" t="str">
        <f t="shared" si="10"/>
        <v>——</v>
      </c>
      <c r="I53" s="715">
        <v>0.03</v>
      </c>
      <c r="J53" s="1108">
        <f t="shared" si="11"/>
        <v>0</v>
      </c>
      <c r="K53" s="1108">
        <f t="shared" si="12"/>
        <v>0</v>
      </c>
      <c r="L53" s="1108">
        <v>0</v>
      </c>
      <c r="M53" s="1108">
        <f t="shared" si="13"/>
        <v>0</v>
      </c>
      <c r="N53" s="1108">
        <f t="shared" si="13"/>
        <v>0</v>
      </c>
      <c r="AA53" s="1166"/>
      <c r="AB53" s="1166"/>
      <c r="AC53" s="1166"/>
      <c r="AD53" s="1166"/>
      <c r="AE53" s="1166"/>
      <c r="AF53" s="1166"/>
      <c r="AG53" s="1166"/>
      <c r="AH53" s="1166"/>
      <c r="AI53" s="1166"/>
      <c r="AJ53" s="1166"/>
      <c r="AK53" s="1166"/>
    </row>
    <row r="54" spans="1:37" s="1165" customFormat="1" ht="25.5">
      <c r="A54" s="2115" t="s">
        <v>2535</v>
      </c>
      <c r="B54" s="1355" t="str">
        <f>估价对象房地状况!C21</f>
        <v>估价对象所在区域公共配套设施齐备</v>
      </c>
      <c r="C54" s="2020"/>
      <c r="D54" s="1109">
        <f t="shared" si="9"/>
        <v>0</v>
      </c>
      <c r="E54" s="717"/>
      <c r="F54" s="1805"/>
      <c r="G54" s="1107"/>
      <c r="H54" s="1111" t="str">
        <f t="shared" si="10"/>
        <v>——</v>
      </c>
      <c r="I54" s="715">
        <v>0.05</v>
      </c>
      <c r="J54" s="1108">
        <f t="shared" si="11"/>
        <v>0</v>
      </c>
      <c r="K54" s="1108">
        <f t="shared" si="12"/>
        <v>0</v>
      </c>
      <c r="L54" s="1108">
        <v>0</v>
      </c>
      <c r="M54" s="1108">
        <f t="shared" si="13"/>
        <v>0</v>
      </c>
      <c r="N54" s="1108">
        <f t="shared" si="13"/>
        <v>0</v>
      </c>
      <c r="AA54" s="1166"/>
      <c r="AB54" s="1166"/>
      <c r="AC54" s="1166"/>
      <c r="AD54" s="1166"/>
      <c r="AE54" s="1166"/>
      <c r="AF54" s="1166"/>
      <c r="AG54" s="1166"/>
      <c r="AH54" s="1166"/>
      <c r="AI54" s="1166"/>
      <c r="AJ54" s="1166"/>
      <c r="AK54" s="1166"/>
    </row>
    <row r="55" spans="1:37" s="1165" customFormat="1" ht="25.5">
      <c r="A55" s="2115" t="s">
        <v>2536</v>
      </c>
      <c r="B55" s="1391" t="str">
        <f>估价对象房地状况!C22</f>
        <v>估价对象所在区域基础设施水平达七通</v>
      </c>
      <c r="C55" s="2020"/>
      <c r="D55" s="1109">
        <f t="shared" si="9"/>
        <v>0</v>
      </c>
      <c r="E55" s="717"/>
      <c r="F55" s="1805"/>
      <c r="G55" s="1107"/>
      <c r="H55" s="1111" t="str">
        <f t="shared" si="10"/>
        <v>——</v>
      </c>
      <c r="I55" s="715">
        <v>0.1</v>
      </c>
      <c r="J55" s="1108">
        <f t="shared" si="11"/>
        <v>0</v>
      </c>
      <c r="K55" s="1108">
        <f t="shared" si="12"/>
        <v>0</v>
      </c>
      <c r="L55" s="1108">
        <v>0</v>
      </c>
      <c r="M55" s="1108">
        <f t="shared" si="13"/>
        <v>0</v>
      </c>
      <c r="N55" s="1108">
        <f t="shared" si="13"/>
        <v>0</v>
      </c>
      <c r="AA55" s="1166"/>
      <c r="AB55" s="1166"/>
      <c r="AC55" s="1166"/>
      <c r="AD55" s="1166"/>
      <c r="AE55" s="1166"/>
      <c r="AF55" s="1166"/>
      <c r="AG55" s="1166"/>
      <c r="AH55" s="1166"/>
      <c r="AI55" s="1166"/>
      <c r="AJ55" s="1166"/>
      <c r="AK55" s="1166"/>
    </row>
    <row r="56" spans="1:37" s="1165" customFormat="1" ht="77.25" thickBot="1">
      <c r="A56" s="2116" t="s">
        <v>2537</v>
      </c>
      <c r="B56" s="2117" t="str">
        <f>估价对象房地状况!C20</f>
        <v>区域自然环境：南长河、北护城河等；人文环境：北京动物园、北京海洋馆、北京展览馆、北京天文馆等；综合评价环境状况好</v>
      </c>
      <c r="C56" s="2020"/>
      <c r="D56" s="1109">
        <f t="shared" si="9"/>
        <v>0</v>
      </c>
      <c r="E56" s="720"/>
      <c r="F56" s="1805"/>
      <c r="G56" s="1107"/>
      <c r="H56" s="1111" t="str">
        <f t="shared" si="10"/>
        <v>——</v>
      </c>
      <c r="I56" s="719">
        <v>0.06</v>
      </c>
      <c r="J56" s="1108">
        <f t="shared" si="11"/>
        <v>0</v>
      </c>
      <c r="K56" s="1108">
        <f t="shared" si="12"/>
        <v>0</v>
      </c>
      <c r="L56" s="1108">
        <v>0</v>
      </c>
      <c r="M56" s="1108">
        <f t="shared" si="13"/>
        <v>0</v>
      </c>
      <c r="N56" s="1108">
        <f t="shared" si="13"/>
        <v>0</v>
      </c>
      <c r="AA56" s="1166"/>
      <c r="AB56" s="1166"/>
      <c r="AC56" s="1166"/>
      <c r="AD56" s="1166"/>
      <c r="AE56" s="1166"/>
      <c r="AF56" s="1166"/>
      <c r="AG56" s="1166"/>
      <c r="AH56" s="1166"/>
      <c r="AI56" s="1166"/>
      <c r="AJ56" s="1166"/>
      <c r="AK56" s="1166"/>
    </row>
    <row r="57" spans="1:37" s="1165" customFormat="1" ht="15">
      <c r="A57" s="2107" t="s">
        <v>2538</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2519</v>
      </c>
      <c r="B58" s="1391"/>
      <c r="C58" s="1391" t="s">
        <v>2521</v>
      </c>
      <c r="D58" s="1391" t="s">
        <v>2522</v>
      </c>
      <c r="E58" s="714" t="s">
        <v>2523</v>
      </c>
      <c r="F58" s="2111" t="s">
        <v>2539</v>
      </c>
      <c r="G58" s="1391" t="s">
        <v>574</v>
      </c>
      <c r="H58" s="783" t="s">
        <v>2525</v>
      </c>
      <c r="I58" s="1391" t="s">
        <v>2526</v>
      </c>
      <c r="J58" s="538" t="s">
        <v>2176</v>
      </c>
      <c r="K58" s="538" t="s">
        <v>2177</v>
      </c>
      <c r="L58" s="538" t="s">
        <v>2178</v>
      </c>
      <c r="M58" s="538" t="s">
        <v>2179</v>
      </c>
      <c r="N58" s="538" t="s">
        <v>2180</v>
      </c>
      <c r="AA58" s="1166"/>
      <c r="AB58" s="1166"/>
      <c r="AC58" s="1166"/>
      <c r="AD58" s="1166"/>
      <c r="AE58" s="1166"/>
      <c r="AF58" s="1166"/>
      <c r="AG58" s="1166"/>
      <c r="AH58" s="1166"/>
      <c r="AI58" s="1166"/>
      <c r="AJ58" s="1166"/>
      <c r="AK58" s="1166"/>
    </row>
    <row r="59" spans="1:37" s="1165" customFormat="1" ht="76.5">
      <c r="A59" s="2110" t="s">
        <v>2540</v>
      </c>
      <c r="B59" s="2112" t="str">
        <f>估价对象房地状况!C17</f>
        <v>估价对象位于西直门商圈，周边有智地钻河中心、华远企业中心、阳光大厦、京煤大厦等写字楼，项目较多，入驻率较高，办公集聚程度较好</v>
      </c>
      <c r="C59" s="2020"/>
      <c r="D59" s="1109">
        <f t="shared" ref="D59:D67" si="14">SUMIF($J$58:$N$58,C59,J59:N59)</f>
        <v>0</v>
      </c>
      <c r="E59" s="716">
        <f>ROUND(SUM(D59:D67),4)</f>
        <v>0</v>
      </c>
      <c r="F59" s="1805" t="str">
        <f>IF(E2="办公",SUMIF(L1:L12,G2,N1:N12),"——")</f>
        <v>——</v>
      </c>
      <c r="G59" s="1107"/>
      <c r="H59" s="1111" t="str">
        <f t="shared" ref="H59:H67" si="15">IFERROR(ROUNDDOWN($F$59*I59/2,4),"——")</f>
        <v>——</v>
      </c>
      <c r="I59" s="715">
        <v>0.24</v>
      </c>
      <c r="J59" s="1108">
        <f t="shared" ref="J59:J67" si="16">K59+$G59</f>
        <v>0</v>
      </c>
      <c r="K59" s="1108">
        <f t="shared" ref="K59:K67" si="17">$L59+$G59</f>
        <v>0</v>
      </c>
      <c r="L59" s="1108">
        <v>0</v>
      </c>
      <c r="M59" s="1108">
        <f t="shared" ref="M59:N67" si="18">L59-$G59</f>
        <v>0</v>
      </c>
      <c r="N59" s="1108">
        <f t="shared" si="18"/>
        <v>0</v>
      </c>
      <c r="AA59" s="1166"/>
      <c r="AB59" s="1166"/>
      <c r="AC59" s="1166"/>
      <c r="AD59" s="1166"/>
      <c r="AE59" s="1166"/>
      <c r="AF59" s="1166"/>
      <c r="AG59" s="1166"/>
      <c r="AH59" s="1166"/>
      <c r="AI59" s="1166"/>
      <c r="AJ59" s="1166"/>
      <c r="AK59" s="1166"/>
    </row>
    <row r="60" spans="1:37" s="1165" customFormat="1" ht="102">
      <c r="A60" s="2110" t="s">
        <v>2528</v>
      </c>
      <c r="B60" s="1391" t="str">
        <f>估价对象房地状况!C18</f>
        <v>估价对象周边有16路、26路、305路、603路、夜14路、快速直达专线35路等多条公交线路，距地铁2、4、13号线换乘站（西直门站）及京张城际铁路（北京北站）约1.2公里，综合评价交通便捷度较好</v>
      </c>
      <c r="C60" s="2020"/>
      <c r="D60" s="1109">
        <f t="shared" si="14"/>
        <v>0</v>
      </c>
      <c r="E60" s="717"/>
      <c r="F60" s="1805"/>
      <c r="G60" s="1107"/>
      <c r="H60" s="1111" t="str">
        <f t="shared" si="15"/>
        <v>——</v>
      </c>
      <c r="I60" s="715">
        <v>0.3</v>
      </c>
      <c r="J60" s="1108">
        <f t="shared" si="16"/>
        <v>0</v>
      </c>
      <c r="K60" s="1108">
        <f t="shared" si="17"/>
        <v>0</v>
      </c>
      <c r="L60" s="1108">
        <v>0</v>
      </c>
      <c r="M60" s="1108">
        <f t="shared" si="18"/>
        <v>0</v>
      </c>
      <c r="N60" s="1108">
        <f t="shared" si="18"/>
        <v>0</v>
      </c>
      <c r="AA60" s="1166"/>
      <c r="AB60" s="1166"/>
      <c r="AC60" s="1166"/>
      <c r="AD60" s="1166"/>
      <c r="AE60" s="1166"/>
      <c r="AF60" s="1166"/>
      <c r="AG60" s="1166"/>
      <c r="AH60" s="1166"/>
      <c r="AI60" s="1166"/>
      <c r="AJ60" s="1166"/>
      <c r="AK60" s="1166"/>
    </row>
    <row r="61" spans="1:37" s="1165" customFormat="1" ht="24">
      <c r="A61" s="2110" t="s">
        <v>2529</v>
      </c>
      <c r="B61" s="1391">
        <f>估价对象房地状况!C19</f>
        <v>0</v>
      </c>
      <c r="C61" s="2020"/>
      <c r="D61" s="1109">
        <f t="shared" si="14"/>
        <v>0</v>
      </c>
      <c r="E61" s="717"/>
      <c r="F61" s="1805"/>
      <c r="G61" s="1107"/>
      <c r="H61" s="1111" t="str">
        <f t="shared" si="15"/>
        <v>——</v>
      </c>
      <c r="I61" s="715">
        <v>0.08</v>
      </c>
      <c r="J61" s="1108">
        <f t="shared" si="16"/>
        <v>0</v>
      </c>
      <c r="K61" s="1108">
        <f t="shared" si="17"/>
        <v>0</v>
      </c>
      <c r="L61" s="1108">
        <v>0</v>
      </c>
      <c r="M61" s="1108">
        <f t="shared" si="18"/>
        <v>0</v>
      </c>
      <c r="N61" s="1108">
        <f t="shared" si="18"/>
        <v>0</v>
      </c>
      <c r="AA61" s="1166"/>
      <c r="AB61" s="1166"/>
      <c r="AC61" s="1166"/>
      <c r="AD61" s="1166"/>
      <c r="AE61" s="1166"/>
      <c r="AF61" s="1166"/>
      <c r="AG61" s="1166"/>
      <c r="AH61" s="1166"/>
      <c r="AI61" s="1166"/>
      <c r="AJ61" s="1166"/>
      <c r="AK61" s="1166"/>
    </row>
    <row r="62" spans="1:37" s="1165" customFormat="1" ht="36.75">
      <c r="A62" s="2110" t="s">
        <v>2530</v>
      </c>
      <c r="B62" s="2113" t="s">
        <v>2531</v>
      </c>
      <c r="C62" s="2020"/>
      <c r="D62" s="1109">
        <f t="shared" si="14"/>
        <v>0</v>
      </c>
      <c r="E62" s="717"/>
      <c r="F62" s="1805"/>
      <c r="G62" s="1107"/>
      <c r="H62" s="1111" t="str">
        <f t="shared" si="15"/>
        <v>——</v>
      </c>
      <c r="I62" s="715">
        <v>0.04</v>
      </c>
      <c r="J62" s="1108">
        <f t="shared" si="16"/>
        <v>0</v>
      </c>
      <c r="K62" s="1108">
        <f t="shared" si="17"/>
        <v>0</v>
      </c>
      <c r="L62" s="1108">
        <v>0</v>
      </c>
      <c r="M62" s="1108">
        <f t="shared" si="18"/>
        <v>0</v>
      </c>
      <c r="N62" s="1108">
        <f t="shared" si="18"/>
        <v>0</v>
      </c>
      <c r="AA62" s="1166"/>
      <c r="AB62" s="1166"/>
      <c r="AC62" s="1166"/>
      <c r="AD62" s="1166"/>
      <c r="AE62" s="1166"/>
      <c r="AF62" s="1166"/>
      <c r="AG62" s="1166"/>
      <c r="AH62" s="1166"/>
      <c r="AI62" s="1166"/>
      <c r="AJ62" s="1166"/>
      <c r="AK62" s="1166"/>
    </row>
    <row r="63" spans="1:37" s="1165" customFormat="1" ht="25.5">
      <c r="A63" s="2110" t="s">
        <v>2532</v>
      </c>
      <c r="B63" s="1391" t="str">
        <f>估价对象房地状况!C24</f>
        <v>城市次干道——高梁桥斜街</v>
      </c>
      <c r="C63" s="2020"/>
      <c r="D63" s="1109">
        <f t="shared" si="14"/>
        <v>0</v>
      </c>
      <c r="E63" s="717"/>
      <c r="F63" s="1805"/>
      <c r="G63" s="1107"/>
      <c r="H63" s="1111" t="str">
        <f t="shared" si="15"/>
        <v>——</v>
      </c>
      <c r="I63" s="715">
        <v>0.05</v>
      </c>
      <c r="J63" s="1108">
        <f t="shared" si="16"/>
        <v>0</v>
      </c>
      <c r="K63" s="1108">
        <f t="shared" si="17"/>
        <v>0</v>
      </c>
      <c r="L63" s="1108">
        <v>0</v>
      </c>
      <c r="M63" s="1108">
        <f t="shared" si="18"/>
        <v>0</v>
      </c>
      <c r="N63" s="1108">
        <f t="shared" si="18"/>
        <v>0</v>
      </c>
      <c r="AA63" s="1166"/>
      <c r="AB63" s="1166"/>
      <c r="AC63" s="1166"/>
      <c r="AD63" s="1166"/>
      <c r="AE63" s="1166"/>
      <c r="AF63" s="1166"/>
      <c r="AG63" s="1166"/>
      <c r="AH63" s="1166"/>
      <c r="AI63" s="1166"/>
      <c r="AJ63" s="1166"/>
      <c r="AK63" s="1166"/>
    </row>
    <row r="64" spans="1:37" s="1165" customFormat="1" ht="24">
      <c r="A64" s="2110" t="s">
        <v>2533</v>
      </c>
      <c r="B64" s="2114" t="s">
        <v>2534</v>
      </c>
      <c r="C64" s="2020"/>
      <c r="D64" s="1109">
        <f t="shared" si="14"/>
        <v>0</v>
      </c>
      <c r="E64" s="717"/>
      <c r="F64" s="1805"/>
      <c r="G64" s="1107"/>
      <c r="H64" s="1111" t="str">
        <f t="shared" si="15"/>
        <v>——</v>
      </c>
      <c r="I64" s="715">
        <v>0.05</v>
      </c>
      <c r="J64" s="1108">
        <f t="shared" si="16"/>
        <v>0</v>
      </c>
      <c r="K64" s="1108">
        <f t="shared" si="17"/>
        <v>0</v>
      </c>
      <c r="L64" s="1108">
        <v>0</v>
      </c>
      <c r="M64" s="1108">
        <f t="shared" si="18"/>
        <v>0</v>
      </c>
      <c r="N64" s="1108">
        <f t="shared" si="18"/>
        <v>0</v>
      </c>
      <c r="AA64" s="1166"/>
      <c r="AB64" s="1166"/>
      <c r="AC64" s="1166"/>
      <c r="AD64" s="1166"/>
      <c r="AE64" s="1166"/>
      <c r="AF64" s="1166"/>
      <c r="AG64" s="1166"/>
      <c r="AH64" s="1166"/>
      <c r="AI64" s="1166"/>
      <c r="AJ64" s="1166"/>
      <c r="AK64" s="1166"/>
    </row>
    <row r="65" spans="1:37" s="1165" customFormat="1" ht="25.5">
      <c r="A65" s="2110" t="s">
        <v>2535</v>
      </c>
      <c r="B65" s="1355" t="str">
        <f>估价对象房地状况!C21</f>
        <v>估价对象所在区域公共配套设施齐备</v>
      </c>
      <c r="C65" s="2020"/>
      <c r="D65" s="1109">
        <f t="shared" si="14"/>
        <v>0</v>
      </c>
      <c r="E65" s="717"/>
      <c r="F65" s="1805"/>
      <c r="G65" s="1107"/>
      <c r="H65" s="1111" t="str">
        <f t="shared" si="15"/>
        <v>——</v>
      </c>
      <c r="I65" s="715">
        <v>0.06</v>
      </c>
      <c r="J65" s="1108">
        <f t="shared" si="16"/>
        <v>0</v>
      </c>
      <c r="K65" s="1108">
        <f t="shared" si="17"/>
        <v>0</v>
      </c>
      <c r="L65" s="1108">
        <v>0</v>
      </c>
      <c r="M65" s="1108">
        <f t="shared" si="18"/>
        <v>0</v>
      </c>
      <c r="N65" s="1108">
        <f t="shared" si="18"/>
        <v>0</v>
      </c>
      <c r="AA65" s="1166"/>
      <c r="AB65" s="1166"/>
      <c r="AC65" s="1166"/>
      <c r="AD65" s="1166"/>
      <c r="AE65" s="1166"/>
      <c r="AF65" s="1166"/>
      <c r="AG65" s="1166"/>
      <c r="AH65" s="1166"/>
      <c r="AI65" s="1166"/>
      <c r="AJ65" s="1166"/>
      <c r="AK65" s="1166"/>
    </row>
    <row r="66" spans="1:37" s="1165" customFormat="1" ht="25.5">
      <c r="A66" s="2110" t="s">
        <v>2536</v>
      </c>
      <c r="B66" s="1355" t="str">
        <f>估价对象房地状况!C22</f>
        <v>估价对象所在区域基础设施水平达七通</v>
      </c>
      <c r="C66" s="2020"/>
      <c r="D66" s="1109">
        <f t="shared" si="14"/>
        <v>0</v>
      </c>
      <c r="E66" s="717"/>
      <c r="F66" s="1805"/>
      <c r="G66" s="1107"/>
      <c r="H66" s="1111" t="str">
        <f t="shared" si="15"/>
        <v>——</v>
      </c>
      <c r="I66" s="715">
        <v>0.12</v>
      </c>
      <c r="J66" s="1108">
        <f t="shared" si="16"/>
        <v>0</v>
      </c>
      <c r="K66" s="1108">
        <f t="shared" si="17"/>
        <v>0</v>
      </c>
      <c r="L66" s="1108">
        <v>0</v>
      </c>
      <c r="M66" s="1108">
        <f t="shared" si="18"/>
        <v>0</v>
      </c>
      <c r="N66" s="1108">
        <f t="shared" si="18"/>
        <v>0</v>
      </c>
      <c r="AA66" s="1166"/>
      <c r="AB66" s="1166"/>
      <c r="AC66" s="1166"/>
      <c r="AD66" s="1166"/>
      <c r="AE66" s="1166"/>
      <c r="AF66" s="1166"/>
      <c r="AG66" s="1166"/>
      <c r="AH66" s="1166"/>
      <c r="AI66" s="1166"/>
      <c r="AJ66" s="1166"/>
      <c r="AK66" s="1166"/>
    </row>
    <row r="67" spans="1:37" s="1165" customFormat="1" ht="77.25" thickBot="1">
      <c r="A67" s="2116" t="s">
        <v>2537</v>
      </c>
      <c r="B67" s="2118" t="str">
        <f>估价对象房地状况!C20</f>
        <v>区域自然环境：南长河、北护城河等；人文环境：北京动物园、北京海洋馆、北京展览馆、北京天文馆等；综合评价环境状况好</v>
      </c>
      <c r="C67" s="2020"/>
      <c r="D67" s="1109">
        <f t="shared" si="14"/>
        <v>0</v>
      </c>
      <c r="E67" s="720"/>
      <c r="F67" s="1805"/>
      <c r="G67" s="1107"/>
      <c r="H67" s="1111" t="str">
        <f t="shared" si="15"/>
        <v>——</v>
      </c>
      <c r="I67" s="719">
        <v>0.06</v>
      </c>
      <c r="J67" s="1108">
        <f t="shared" si="16"/>
        <v>0</v>
      </c>
      <c r="K67" s="1108">
        <f t="shared" si="17"/>
        <v>0</v>
      </c>
      <c r="L67" s="1108">
        <v>0</v>
      </c>
      <c r="M67" s="1108">
        <f t="shared" si="18"/>
        <v>0</v>
      </c>
      <c r="N67" s="1108">
        <f t="shared" si="18"/>
        <v>0</v>
      </c>
      <c r="AA67" s="1166"/>
      <c r="AB67" s="1166"/>
      <c r="AC67" s="1166"/>
      <c r="AD67" s="1166"/>
      <c r="AE67" s="1166"/>
      <c r="AF67" s="1166"/>
      <c r="AG67" s="1166"/>
      <c r="AH67" s="1166"/>
      <c r="AI67" s="1166"/>
      <c r="AJ67" s="1166"/>
      <c r="AK67" s="1166"/>
    </row>
    <row r="68" spans="1:37" s="1165" customFormat="1" ht="15">
      <c r="A68" s="2107" t="s">
        <v>2541</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2519</v>
      </c>
      <c r="B69" s="1391"/>
      <c r="C69" s="1391" t="s">
        <v>2521</v>
      </c>
      <c r="D69" s="1391" t="s">
        <v>2522</v>
      </c>
      <c r="E69" s="714" t="s">
        <v>2523</v>
      </c>
      <c r="F69" s="2111" t="s">
        <v>2539</v>
      </c>
      <c r="G69" s="1391" t="s">
        <v>574</v>
      </c>
      <c r="H69" s="783" t="s">
        <v>2525</v>
      </c>
      <c r="I69" s="1391" t="s">
        <v>2526</v>
      </c>
      <c r="J69" s="538" t="s">
        <v>2176</v>
      </c>
      <c r="K69" s="538" t="s">
        <v>2177</v>
      </c>
      <c r="L69" s="538" t="s">
        <v>2178</v>
      </c>
      <c r="M69" s="538" t="s">
        <v>2179</v>
      </c>
      <c r="N69" s="538" t="s">
        <v>2180</v>
      </c>
      <c r="AA69" s="1166"/>
      <c r="AB69" s="1166"/>
      <c r="AC69" s="1166"/>
      <c r="AD69" s="1166"/>
      <c r="AE69" s="1166"/>
      <c r="AF69" s="1166"/>
      <c r="AG69" s="1166"/>
      <c r="AH69" s="1166"/>
      <c r="AI69" s="1166"/>
      <c r="AJ69" s="1166"/>
      <c r="AK69" s="1166"/>
    </row>
    <row r="70" spans="1:37" s="1165" customFormat="1" ht="51">
      <c r="A70" s="2110" t="s">
        <v>2542</v>
      </c>
      <c r="B70" s="2112" t="str">
        <f>估价对象房地状况!C15</f>
        <v>估价对象周边居住用地比例、居住小区规模和社区发展完善程度，综合评价居住社区成熟度一般</v>
      </c>
      <c r="C70" s="2020"/>
      <c r="D70" s="1109">
        <f t="shared" ref="D70:D78" si="19">SUMIF($J$69:$N$69,C70,J70:N70)</f>
        <v>0</v>
      </c>
      <c r="E70" s="716">
        <f>ROUND(SUM(D70:D78),4)</f>
        <v>0</v>
      </c>
      <c r="F70" s="1805" t="str">
        <f>IF(E2="住宅",SUMIF(L1:L12,G2,N1:N12),"——")</f>
        <v>——</v>
      </c>
      <c r="G70" s="1107"/>
      <c r="H70" s="1111" t="str">
        <f t="shared" ref="H70:H78" si="20">IFERROR(ROUNDDOWN($F$70*I70/2,4),"——")</f>
        <v>——</v>
      </c>
      <c r="I70" s="715">
        <v>0.14000000000000001</v>
      </c>
      <c r="J70" s="1108">
        <f t="shared" ref="J70:J78" si="21">K70+$G70</f>
        <v>0</v>
      </c>
      <c r="K70" s="1108">
        <f t="shared" ref="K70:K78" si="22">$L70+$G70</f>
        <v>0</v>
      </c>
      <c r="L70" s="1108">
        <v>0</v>
      </c>
      <c r="M70" s="1108">
        <f t="shared" ref="M70:N78" si="23">L70-$G70</f>
        <v>0</v>
      </c>
      <c r="N70" s="1108">
        <f t="shared" si="23"/>
        <v>0</v>
      </c>
      <c r="AA70" s="1166"/>
      <c r="AB70" s="1166"/>
      <c r="AC70" s="1166"/>
      <c r="AD70" s="1166"/>
      <c r="AE70" s="1166"/>
      <c r="AF70" s="1166"/>
      <c r="AG70" s="1166"/>
      <c r="AH70" s="1166"/>
      <c r="AI70" s="1166"/>
      <c r="AJ70" s="1166"/>
      <c r="AK70" s="1166"/>
    </row>
    <row r="71" spans="1:37" s="1165" customFormat="1" ht="102">
      <c r="A71" s="2110" t="s">
        <v>2528</v>
      </c>
      <c r="B71" s="1391" t="str">
        <f>估价对象房地状况!C18</f>
        <v>估价对象周边有16路、26路、305路、603路、夜14路、快速直达专线35路等多条公交线路，距地铁2、4、13号线换乘站（西直门站）及京张城际铁路（北京北站）约1.2公里，综合评价交通便捷度较好</v>
      </c>
      <c r="C71" s="2020"/>
      <c r="D71" s="1109">
        <f t="shared" si="19"/>
        <v>0</v>
      </c>
      <c r="E71" s="721"/>
      <c r="F71" s="1805"/>
      <c r="G71" s="1107"/>
      <c r="H71" s="1111" t="str">
        <f t="shared" si="20"/>
        <v>——</v>
      </c>
      <c r="I71" s="715">
        <v>0.3</v>
      </c>
      <c r="J71" s="1108">
        <f t="shared" si="21"/>
        <v>0</v>
      </c>
      <c r="K71" s="1108">
        <f t="shared" si="22"/>
        <v>0</v>
      </c>
      <c r="L71" s="1108">
        <v>0</v>
      </c>
      <c r="M71" s="1108">
        <f t="shared" si="23"/>
        <v>0</v>
      </c>
      <c r="N71" s="1108">
        <f t="shared" si="23"/>
        <v>0</v>
      </c>
      <c r="AA71" s="1166"/>
      <c r="AB71" s="1166"/>
      <c r="AC71" s="1166"/>
      <c r="AD71" s="1166"/>
      <c r="AE71" s="1166"/>
      <c r="AF71" s="1166"/>
      <c r="AG71" s="1166"/>
      <c r="AH71" s="1166"/>
      <c r="AI71" s="1166"/>
      <c r="AJ71" s="1166"/>
      <c r="AK71" s="1166"/>
    </row>
    <row r="72" spans="1:37" s="1165" customFormat="1" ht="24">
      <c r="A72" s="2110" t="s">
        <v>2529</v>
      </c>
      <c r="B72" s="1391">
        <f>估价对象房地状况!C19</f>
        <v>0</v>
      </c>
      <c r="C72" s="2020"/>
      <c r="D72" s="1109">
        <f t="shared" si="19"/>
        <v>0</v>
      </c>
      <c r="E72" s="721"/>
      <c r="F72" s="1805"/>
      <c r="G72" s="1107"/>
      <c r="H72" s="1111" t="str">
        <f t="shared" si="20"/>
        <v>——</v>
      </c>
      <c r="I72" s="715">
        <v>0.08</v>
      </c>
      <c r="J72" s="1108">
        <f t="shared" si="21"/>
        <v>0</v>
      </c>
      <c r="K72" s="1108">
        <f t="shared" si="22"/>
        <v>0</v>
      </c>
      <c r="L72" s="1108">
        <v>0</v>
      </c>
      <c r="M72" s="1108">
        <f t="shared" si="23"/>
        <v>0</v>
      </c>
      <c r="N72" s="1108">
        <f t="shared" si="23"/>
        <v>0</v>
      </c>
      <c r="AA72" s="1166"/>
      <c r="AB72" s="1166"/>
      <c r="AC72" s="1166"/>
      <c r="AD72" s="1166"/>
      <c r="AE72" s="1166"/>
      <c r="AF72" s="1166"/>
      <c r="AG72" s="1166"/>
      <c r="AH72" s="1166"/>
      <c r="AI72" s="1166"/>
      <c r="AJ72" s="1166"/>
      <c r="AK72" s="1166"/>
    </row>
    <row r="73" spans="1:37" s="1165" customFormat="1" ht="25.5">
      <c r="A73" s="2110" t="s">
        <v>2543</v>
      </c>
      <c r="B73" s="1391" t="str">
        <f>估价对象房地状况!C24</f>
        <v>城市次干道——高梁桥斜街</v>
      </c>
      <c r="C73" s="2020"/>
      <c r="D73" s="1109">
        <f t="shared" si="19"/>
        <v>0</v>
      </c>
      <c r="E73" s="721"/>
      <c r="F73" s="1805"/>
      <c r="G73" s="1107"/>
      <c r="H73" s="1111" t="str">
        <f t="shared" si="20"/>
        <v>——</v>
      </c>
      <c r="I73" s="715">
        <v>0.04</v>
      </c>
      <c r="J73" s="1108">
        <f t="shared" si="21"/>
        <v>0</v>
      </c>
      <c r="K73" s="1108">
        <f t="shared" si="22"/>
        <v>0</v>
      </c>
      <c r="L73" s="1108">
        <v>0</v>
      </c>
      <c r="M73" s="1108">
        <f t="shared" si="23"/>
        <v>0</v>
      </c>
      <c r="N73" s="1108">
        <f t="shared" si="23"/>
        <v>0</v>
      </c>
      <c r="AA73" s="1166"/>
      <c r="AB73" s="1166"/>
      <c r="AC73" s="1166"/>
      <c r="AD73" s="1166"/>
      <c r="AE73" s="1166"/>
      <c r="AF73" s="1166"/>
      <c r="AG73" s="1166"/>
      <c r="AH73" s="1166"/>
      <c r="AI73" s="1166"/>
      <c r="AJ73" s="1166"/>
      <c r="AK73" s="1166"/>
    </row>
    <row r="74" spans="1:37" s="1165" customFormat="1" ht="25.5">
      <c r="A74" s="2110" t="s">
        <v>2535</v>
      </c>
      <c r="B74" s="1355" t="str">
        <f>估价对象房地状况!C21</f>
        <v>估价对象所在区域公共配套设施齐备</v>
      </c>
      <c r="C74" s="2020"/>
      <c r="D74" s="1109">
        <f t="shared" si="19"/>
        <v>0</v>
      </c>
      <c r="E74" s="721"/>
      <c r="F74" s="1805"/>
      <c r="G74" s="1107"/>
      <c r="H74" s="1111" t="str">
        <f t="shared" si="20"/>
        <v>——</v>
      </c>
      <c r="I74" s="715">
        <v>0.08</v>
      </c>
      <c r="J74" s="1108">
        <f t="shared" si="21"/>
        <v>0</v>
      </c>
      <c r="K74" s="1108">
        <f t="shared" si="22"/>
        <v>0</v>
      </c>
      <c r="L74" s="1108">
        <v>0</v>
      </c>
      <c r="M74" s="1108">
        <f t="shared" si="23"/>
        <v>0</v>
      </c>
      <c r="N74" s="1108">
        <f t="shared" si="23"/>
        <v>0</v>
      </c>
      <c r="AA74" s="1166"/>
      <c r="AB74" s="1166"/>
      <c r="AC74" s="1166"/>
      <c r="AD74" s="1166"/>
      <c r="AE74" s="1166"/>
      <c r="AF74" s="1166"/>
      <c r="AG74" s="1166"/>
      <c r="AH74" s="1166"/>
      <c r="AI74" s="1166"/>
      <c r="AJ74" s="1166"/>
      <c r="AK74" s="1166"/>
    </row>
    <row r="75" spans="1:37" s="1165" customFormat="1" ht="25.5">
      <c r="A75" s="2110" t="s">
        <v>2536</v>
      </c>
      <c r="B75" s="1355" t="str">
        <f>估价对象房地状况!C22</f>
        <v>估价对象所在区域基础设施水平达七通</v>
      </c>
      <c r="C75" s="2020"/>
      <c r="D75" s="1109">
        <f t="shared" si="19"/>
        <v>0</v>
      </c>
      <c r="E75" s="721"/>
      <c r="F75" s="1805"/>
      <c r="G75" s="1107"/>
      <c r="H75" s="1111" t="str">
        <f t="shared" si="20"/>
        <v>——</v>
      </c>
      <c r="I75" s="715">
        <v>0.12</v>
      </c>
      <c r="J75" s="1108">
        <f t="shared" si="21"/>
        <v>0</v>
      </c>
      <c r="K75" s="1108">
        <f t="shared" si="22"/>
        <v>0</v>
      </c>
      <c r="L75" s="1108">
        <v>0</v>
      </c>
      <c r="M75" s="1108">
        <f t="shared" si="23"/>
        <v>0</v>
      </c>
      <c r="N75" s="1108">
        <f t="shared" si="23"/>
        <v>0</v>
      </c>
      <c r="AA75" s="1166"/>
      <c r="AB75" s="1166"/>
      <c r="AC75" s="1166"/>
      <c r="AD75" s="1166"/>
      <c r="AE75" s="1166"/>
      <c r="AF75" s="1166"/>
      <c r="AG75" s="1166"/>
      <c r="AH75" s="1166"/>
      <c r="AI75" s="1166"/>
      <c r="AJ75" s="1166"/>
      <c r="AK75" s="1166"/>
    </row>
    <row r="76" spans="1:37" s="1974" customFormat="1" ht="24">
      <c r="A76" s="2110" t="s">
        <v>2533</v>
      </c>
      <c r="B76" s="2114" t="s">
        <v>2534</v>
      </c>
      <c r="C76" s="2020"/>
      <c r="D76" s="1109">
        <f t="shared" si="19"/>
        <v>0</v>
      </c>
      <c r="E76" s="721"/>
      <c r="F76" s="1805"/>
      <c r="G76" s="1107"/>
      <c r="H76" s="1111" t="str">
        <f t="shared" si="20"/>
        <v>——</v>
      </c>
      <c r="I76" s="715">
        <v>0.05</v>
      </c>
      <c r="J76" s="1108">
        <f t="shared" si="21"/>
        <v>0</v>
      </c>
      <c r="K76" s="1108">
        <f t="shared" si="22"/>
        <v>0</v>
      </c>
      <c r="L76" s="1108">
        <v>0</v>
      </c>
      <c r="M76" s="1108">
        <f t="shared" si="23"/>
        <v>0</v>
      </c>
      <c r="N76" s="1108">
        <f t="shared" si="23"/>
        <v>0</v>
      </c>
      <c r="AA76" s="2119"/>
      <c r="AB76" s="1166"/>
      <c r="AC76" s="1166"/>
      <c r="AD76" s="1166"/>
      <c r="AE76" s="1166"/>
      <c r="AF76" s="1166"/>
      <c r="AG76" s="1166"/>
      <c r="AH76" s="2119"/>
      <c r="AI76" s="2119"/>
      <c r="AJ76" s="2119"/>
      <c r="AK76" s="2119"/>
    </row>
    <row r="77" spans="1:37" ht="76.5">
      <c r="A77" s="2110" t="s">
        <v>2537</v>
      </c>
      <c r="B77" s="2112" t="str">
        <f>估价对象房地状况!C20</f>
        <v>区域自然环境：南长河、北护城河等；人文环境：北京动物园、北京海洋馆、北京展览馆、北京天文馆等；综合评价环境状况好</v>
      </c>
      <c r="C77" s="2020"/>
      <c r="D77" s="1109">
        <f t="shared" si="19"/>
        <v>0</v>
      </c>
      <c r="E77" s="721"/>
      <c r="F77" s="1805"/>
      <c r="G77" s="1107"/>
      <c r="H77" s="1111" t="str">
        <f t="shared" si="20"/>
        <v>——</v>
      </c>
      <c r="I77" s="715">
        <v>0.15</v>
      </c>
      <c r="J77" s="1108">
        <f t="shared" si="21"/>
        <v>0</v>
      </c>
      <c r="K77" s="1108">
        <f t="shared" si="22"/>
        <v>0</v>
      </c>
      <c r="L77" s="1108">
        <v>0</v>
      </c>
      <c r="M77" s="1108">
        <f t="shared" si="23"/>
        <v>0</v>
      </c>
      <c r="N77" s="1108">
        <f t="shared" si="23"/>
        <v>0</v>
      </c>
      <c r="Z77" s="1975"/>
      <c r="AA77" s="2034"/>
      <c r="AG77" s="1167"/>
      <c r="AK77" s="2034"/>
    </row>
    <row r="78" spans="1:37" ht="24.75" thickBot="1">
      <c r="A78" s="2116" t="s">
        <v>2544</v>
      </c>
      <c r="B78" s="2120"/>
      <c r="C78" s="2020"/>
      <c r="D78" s="1109">
        <f t="shared" si="19"/>
        <v>0</v>
      </c>
      <c r="E78" s="722"/>
      <c r="F78" s="1805"/>
      <c r="G78" s="1107"/>
      <c r="H78" s="1111" t="str">
        <f t="shared" si="20"/>
        <v>——</v>
      </c>
      <c r="I78" s="719">
        <v>0.04</v>
      </c>
      <c r="J78" s="1108">
        <f t="shared" si="21"/>
        <v>0</v>
      </c>
      <c r="K78" s="1108">
        <f t="shared" si="22"/>
        <v>0</v>
      </c>
      <c r="L78" s="1108">
        <v>0</v>
      </c>
      <c r="M78" s="1108">
        <f t="shared" si="23"/>
        <v>0</v>
      </c>
      <c r="N78" s="1108">
        <f t="shared" si="23"/>
        <v>0</v>
      </c>
      <c r="Z78" s="1975"/>
      <c r="AA78" s="2034"/>
      <c r="AG78" s="1167"/>
      <c r="AK78" s="2034"/>
    </row>
    <row r="79" spans="1:37" ht="15">
      <c r="A79" s="2107" t="s">
        <v>2545</v>
      </c>
      <c r="B79" s="2108">
        <f>1+E81</f>
        <v>1</v>
      </c>
      <c r="C79" s="710"/>
      <c r="D79" s="710"/>
      <c r="E79" s="711"/>
      <c r="F79" s="2109"/>
      <c r="G79" s="6"/>
      <c r="H79" s="6"/>
      <c r="I79" s="6"/>
      <c r="J79" s="7"/>
      <c r="K79" s="7"/>
      <c r="L79" s="7"/>
      <c r="M79" s="7"/>
      <c r="N79" s="7"/>
      <c r="Z79" s="1975"/>
      <c r="AA79" s="2034"/>
      <c r="AG79" s="1167"/>
      <c r="AK79" s="2034"/>
    </row>
    <row r="80" spans="1:37" ht="24.75">
      <c r="A80" s="2110" t="s">
        <v>2519</v>
      </c>
      <c r="B80" s="1391"/>
      <c r="C80" s="1391" t="s">
        <v>2521</v>
      </c>
      <c r="D80" s="1391" t="s">
        <v>2522</v>
      </c>
      <c r="E80" s="714" t="s">
        <v>2523</v>
      </c>
      <c r="F80" s="2111" t="s">
        <v>2539</v>
      </c>
      <c r="G80" s="1391" t="s">
        <v>574</v>
      </c>
      <c r="H80" s="783" t="s">
        <v>2525</v>
      </c>
      <c r="I80" s="1391" t="s">
        <v>2526</v>
      </c>
      <c r="J80" s="538" t="s">
        <v>2176</v>
      </c>
      <c r="K80" s="538" t="s">
        <v>2177</v>
      </c>
      <c r="L80" s="538" t="s">
        <v>2178</v>
      </c>
      <c r="M80" s="538" t="s">
        <v>2179</v>
      </c>
      <c r="N80" s="538" t="s">
        <v>2180</v>
      </c>
      <c r="Z80" s="1975"/>
      <c r="AA80" s="2034"/>
      <c r="AG80" s="1167"/>
      <c r="AK80" s="2034"/>
    </row>
    <row r="81" spans="1:37" ht="38.25">
      <c r="A81" s="2110" t="s">
        <v>2546</v>
      </c>
      <c r="B81" s="1391" t="str">
        <f>估价对象房地状况!G15</f>
        <v>估价对象位于XX开发区，园区建设成熟度XX，产业集聚程度XX</v>
      </c>
      <c r="C81" s="2020"/>
      <c r="D81" s="1109">
        <f t="shared" ref="D81:D88" si="24">SUMIF($J$80:$N$80,C81,J81:N81)</f>
        <v>0</v>
      </c>
      <c r="E81" s="716">
        <f>ROUND(SUM(D81:D88),4)</f>
        <v>0</v>
      </c>
      <c r="F81" s="1805" t="str">
        <f>IF(E2="工业",SUMIF(L1:L12,G2,N1:N12),"——")</f>
        <v>——</v>
      </c>
      <c r="G81" s="1107"/>
      <c r="H81" s="1111" t="str">
        <f t="shared" ref="H81:H88" si="25">IFERROR(ROUNDDOWN($F$81*I81/2,4),"——")</f>
        <v>——</v>
      </c>
      <c r="I81" s="715">
        <v>0.26</v>
      </c>
      <c r="J81" s="1108">
        <f t="shared" ref="J81:J88" si="26">K81+$G81</f>
        <v>0</v>
      </c>
      <c r="K81" s="1108">
        <f t="shared" ref="K81:K88" si="27">$L81+$G81</f>
        <v>0</v>
      </c>
      <c r="L81" s="1108">
        <v>0</v>
      </c>
      <c r="M81" s="1108">
        <f t="shared" ref="M81:N88" si="28">L81-$G81</f>
        <v>0</v>
      </c>
      <c r="N81" s="1108">
        <f t="shared" si="28"/>
        <v>0</v>
      </c>
      <c r="Z81" s="1975"/>
      <c r="AA81" s="2034"/>
      <c r="AG81" s="1167"/>
      <c r="AK81" s="2034"/>
    </row>
    <row r="82" spans="1:37" ht="51">
      <c r="A82" s="2110" t="s">
        <v>2528</v>
      </c>
      <c r="B82" s="1391" t="str">
        <f>估价对象房地状况!G16</f>
        <v>估价对象周边道路状况、公共交通通达情况、停车便捷程度，综合评价交通便捷度较好</v>
      </c>
      <c r="C82" s="2020"/>
      <c r="D82" s="1109">
        <f t="shared" si="24"/>
        <v>0</v>
      </c>
      <c r="E82" s="721"/>
      <c r="F82" s="1805"/>
      <c r="G82" s="1107"/>
      <c r="H82" s="1111" t="str">
        <f t="shared" si="25"/>
        <v>——</v>
      </c>
      <c r="I82" s="715">
        <v>0.33</v>
      </c>
      <c r="J82" s="1108">
        <f t="shared" si="26"/>
        <v>0</v>
      </c>
      <c r="K82" s="1108">
        <f t="shared" si="27"/>
        <v>0</v>
      </c>
      <c r="L82" s="1108">
        <v>0</v>
      </c>
      <c r="M82" s="1108">
        <f t="shared" si="28"/>
        <v>0</v>
      </c>
      <c r="N82" s="1108">
        <f t="shared" si="28"/>
        <v>0</v>
      </c>
      <c r="Z82" s="1975"/>
      <c r="AA82" s="2034"/>
      <c r="AG82" s="1167"/>
      <c r="AK82" s="2034"/>
    </row>
    <row r="83" spans="1:37" ht="24">
      <c r="A83" s="2110" t="s">
        <v>2529</v>
      </c>
      <c r="B83" s="1391">
        <f>估价对象房地状况!G17</f>
        <v>0</v>
      </c>
      <c r="C83" s="2020"/>
      <c r="D83" s="1109">
        <f t="shared" si="24"/>
        <v>0</v>
      </c>
      <c r="E83" s="721"/>
      <c r="F83" s="1805"/>
      <c r="G83" s="1107"/>
      <c r="H83" s="1111" t="str">
        <f t="shared" si="25"/>
        <v>——</v>
      </c>
      <c r="I83" s="715">
        <v>0.05</v>
      </c>
      <c r="J83" s="1108">
        <f t="shared" si="26"/>
        <v>0</v>
      </c>
      <c r="K83" s="1108">
        <f t="shared" si="27"/>
        <v>0</v>
      </c>
      <c r="L83" s="1108">
        <v>0</v>
      </c>
      <c r="M83" s="1108">
        <f t="shared" si="28"/>
        <v>0</v>
      </c>
      <c r="N83" s="1108">
        <f t="shared" si="28"/>
        <v>0</v>
      </c>
      <c r="Z83" s="1975"/>
      <c r="AA83" s="2034"/>
      <c r="AG83" s="1167"/>
      <c r="AK83" s="2034"/>
    </row>
    <row r="84" spans="1:37" ht="14.25">
      <c r="A84" s="2110" t="s">
        <v>2543</v>
      </c>
      <c r="B84" s="1391">
        <f>估价对象房地状况!G22</f>
        <v>0</v>
      </c>
      <c r="C84" s="2020"/>
      <c r="D84" s="1109">
        <f t="shared" si="24"/>
        <v>0</v>
      </c>
      <c r="E84" s="721"/>
      <c r="F84" s="1805"/>
      <c r="G84" s="1107"/>
      <c r="H84" s="1111" t="str">
        <f t="shared" si="25"/>
        <v>——</v>
      </c>
      <c r="I84" s="715">
        <v>0.04</v>
      </c>
      <c r="J84" s="1108">
        <f t="shared" si="26"/>
        <v>0</v>
      </c>
      <c r="K84" s="1108">
        <f t="shared" si="27"/>
        <v>0</v>
      </c>
      <c r="L84" s="1108">
        <v>0</v>
      </c>
      <c r="M84" s="1108">
        <f t="shared" si="28"/>
        <v>0</v>
      </c>
      <c r="N84" s="1108">
        <f t="shared" si="28"/>
        <v>0</v>
      </c>
      <c r="Z84" s="1975"/>
      <c r="AA84" s="2034"/>
      <c r="AG84" s="1167"/>
      <c r="AK84" s="2034"/>
    </row>
    <row r="85" spans="1:37" ht="25.5">
      <c r="A85" s="2110" t="s">
        <v>2535</v>
      </c>
      <c r="B85" s="1355" t="str">
        <f>估价对象房地状况!G19</f>
        <v>估价对象所在区域公共配套设施齐备情况</v>
      </c>
      <c r="C85" s="2020"/>
      <c r="D85" s="1109">
        <f t="shared" si="24"/>
        <v>0</v>
      </c>
      <c r="E85" s="721"/>
      <c r="F85" s="1805"/>
      <c r="G85" s="1107"/>
      <c r="H85" s="1111" t="str">
        <f t="shared" si="25"/>
        <v>——</v>
      </c>
      <c r="I85" s="715">
        <v>0.06</v>
      </c>
      <c r="J85" s="1108">
        <f t="shared" si="26"/>
        <v>0</v>
      </c>
      <c r="K85" s="1108">
        <f t="shared" si="27"/>
        <v>0</v>
      </c>
      <c r="L85" s="1108">
        <v>0</v>
      </c>
      <c r="M85" s="1108">
        <f t="shared" si="28"/>
        <v>0</v>
      </c>
      <c r="N85" s="1108">
        <f t="shared" si="28"/>
        <v>0</v>
      </c>
      <c r="Z85" s="1975"/>
      <c r="AA85" s="2034"/>
      <c r="AG85" s="1167"/>
      <c r="AK85" s="2034"/>
    </row>
    <row r="86" spans="1:37" ht="25.5">
      <c r="A86" s="2110" t="s">
        <v>2536</v>
      </c>
      <c r="B86" s="1355" t="str">
        <f>估价对象房地状况!G20</f>
        <v>估价对象所在区域基础设施水平</v>
      </c>
      <c r="C86" s="2020"/>
      <c r="D86" s="1109">
        <f t="shared" si="24"/>
        <v>0</v>
      </c>
      <c r="E86" s="721"/>
      <c r="F86" s="1805"/>
      <c r="G86" s="1107"/>
      <c r="H86" s="1111" t="str">
        <f t="shared" si="25"/>
        <v>——</v>
      </c>
      <c r="I86" s="715">
        <v>0.15</v>
      </c>
      <c r="J86" s="1108">
        <f t="shared" si="26"/>
        <v>0</v>
      </c>
      <c r="K86" s="1108">
        <f t="shared" si="27"/>
        <v>0</v>
      </c>
      <c r="L86" s="1108">
        <v>0</v>
      </c>
      <c r="M86" s="1108">
        <f t="shared" si="28"/>
        <v>0</v>
      </c>
      <c r="N86" s="1108">
        <f t="shared" si="28"/>
        <v>0</v>
      </c>
      <c r="Z86" s="1975"/>
      <c r="AA86" s="2034"/>
      <c r="AG86" s="1167"/>
      <c r="AK86" s="2034"/>
    </row>
    <row r="87" spans="1:37" ht="24">
      <c r="A87" s="2110" t="s">
        <v>2533</v>
      </c>
      <c r="B87" s="2114" t="s">
        <v>2547</v>
      </c>
      <c r="C87" s="2020"/>
      <c r="D87" s="1109">
        <f t="shared" si="24"/>
        <v>0</v>
      </c>
      <c r="E87" s="721"/>
      <c r="F87" s="1805"/>
      <c r="G87" s="1107"/>
      <c r="H87" s="1111" t="str">
        <f t="shared" si="25"/>
        <v>——</v>
      </c>
      <c r="I87" s="715">
        <v>0.05</v>
      </c>
      <c r="J87" s="1108">
        <f t="shared" si="26"/>
        <v>0</v>
      </c>
      <c r="K87" s="1108">
        <f t="shared" si="27"/>
        <v>0</v>
      </c>
      <c r="L87" s="1108">
        <v>0</v>
      </c>
      <c r="M87" s="1108">
        <f t="shared" si="28"/>
        <v>0</v>
      </c>
      <c r="N87" s="1108">
        <f t="shared" si="28"/>
        <v>0</v>
      </c>
      <c r="Z87" s="1975"/>
      <c r="AA87" s="2034"/>
      <c r="AG87" s="1167"/>
      <c r="AK87" s="2034"/>
    </row>
    <row r="88" spans="1:37" ht="39" thickBot="1">
      <c r="A88" s="2116" t="s">
        <v>2548</v>
      </c>
      <c r="B88" s="2121" t="str">
        <f>估价对象房地状况!G18</f>
        <v>该园区内是否有污染型企业，绿化情况，卫生条件，整体环境状况判断</v>
      </c>
      <c r="C88" s="2020"/>
      <c r="D88" s="1109">
        <f t="shared" si="24"/>
        <v>0</v>
      </c>
      <c r="E88" s="722"/>
      <c r="F88" s="1805"/>
      <c r="G88" s="1107"/>
      <c r="H88" s="1111" t="str">
        <f t="shared" si="25"/>
        <v>——</v>
      </c>
      <c r="I88" s="719">
        <v>0.06</v>
      </c>
      <c r="J88" s="1108">
        <f t="shared" si="26"/>
        <v>0</v>
      </c>
      <c r="K88" s="1108">
        <f t="shared" si="27"/>
        <v>0</v>
      </c>
      <c r="L88" s="1108">
        <v>0</v>
      </c>
      <c r="M88" s="1108">
        <f t="shared" si="28"/>
        <v>0</v>
      </c>
      <c r="N88" s="1108">
        <f t="shared" si="28"/>
        <v>0</v>
      </c>
      <c r="Z88" s="1975"/>
      <c r="AA88" s="2034"/>
      <c r="AG88" s="1167"/>
      <c r="AK88" s="2034"/>
    </row>
    <row r="90" spans="1:37">
      <c r="A90" s="3328" t="s">
        <v>2549</v>
      </c>
      <c r="B90" s="3328"/>
      <c r="C90" s="3328"/>
      <c r="D90" s="3328"/>
      <c r="E90" s="3328"/>
      <c r="F90" s="3328"/>
      <c r="G90" s="3328"/>
      <c r="H90" s="3328"/>
      <c r="I90" s="3328"/>
      <c r="J90" s="3328"/>
      <c r="K90" s="2122"/>
      <c r="L90" s="2122"/>
      <c r="M90" s="2122"/>
      <c r="N90" s="2122"/>
    </row>
    <row r="91" spans="1:37">
      <c r="A91" s="3330" t="s">
        <v>2550</v>
      </c>
      <c r="B91" s="3330" t="s">
        <v>2551</v>
      </c>
      <c r="C91" s="2080" t="s">
        <v>2552</v>
      </c>
      <c r="D91" s="2081"/>
      <c r="E91" s="2081"/>
      <c r="F91" s="2081"/>
      <c r="G91" s="2081"/>
      <c r="H91" s="2081"/>
      <c r="I91" s="2081"/>
      <c r="J91" s="2123"/>
      <c r="K91" s="2124"/>
      <c r="L91" s="2124"/>
      <c r="M91" s="2124"/>
      <c r="N91" s="2124"/>
    </row>
    <row r="92" spans="1:37">
      <c r="A92" s="3330"/>
      <c r="B92" s="3330"/>
      <c r="C92" s="809" t="s">
        <v>2419</v>
      </c>
      <c r="D92" s="809" t="s">
        <v>2420</v>
      </c>
      <c r="E92" s="809" t="s">
        <v>2421</v>
      </c>
      <c r="F92" s="809" t="s">
        <v>2422</v>
      </c>
      <c r="G92" s="809" t="s">
        <v>2423</v>
      </c>
      <c r="H92" s="809" t="s">
        <v>2424</v>
      </c>
      <c r="I92" s="809" t="s">
        <v>2425</v>
      </c>
      <c r="J92" s="809" t="s">
        <v>2426</v>
      </c>
      <c r="K92" s="809" t="s">
        <v>2427</v>
      </c>
      <c r="L92" s="809" t="s">
        <v>2428</v>
      </c>
      <c r="M92" s="809" t="s">
        <v>2429</v>
      </c>
      <c r="N92" s="809" t="s">
        <v>2430</v>
      </c>
    </row>
    <row r="93" spans="1:37">
      <c r="A93" s="3331" t="s">
        <v>2553</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332"/>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332"/>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332"/>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332"/>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332"/>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332"/>
      <c r="B99" s="2125" t="s">
        <v>2435</v>
      </c>
      <c r="C99" s="2127">
        <f>$I$3</f>
        <v>0</v>
      </c>
      <c r="D99" s="2127">
        <f t="shared" ref="D99:M99" si="29">$I$3</f>
        <v>0</v>
      </c>
      <c r="E99" s="2127">
        <f t="shared" si="29"/>
        <v>0</v>
      </c>
      <c r="F99" s="2127">
        <f t="shared" si="29"/>
        <v>0</v>
      </c>
      <c r="G99" s="2127">
        <f t="shared" si="29"/>
        <v>0</v>
      </c>
      <c r="H99" s="2127">
        <f t="shared" si="29"/>
        <v>0</v>
      </c>
      <c r="I99" s="2127">
        <f t="shared" si="29"/>
        <v>0</v>
      </c>
      <c r="J99" s="2127">
        <f t="shared" si="29"/>
        <v>0</v>
      </c>
      <c r="K99" s="2127">
        <f t="shared" si="29"/>
        <v>0</v>
      </c>
      <c r="L99" s="2127">
        <f t="shared" si="29"/>
        <v>0</v>
      </c>
      <c r="M99" s="2127">
        <f t="shared" si="29"/>
        <v>0</v>
      </c>
      <c r="N99" s="2127">
        <f>$I$3</f>
        <v>0</v>
      </c>
    </row>
    <row r="100" spans="1:14">
      <c r="A100" s="3333"/>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331" t="s">
        <v>2554</v>
      </c>
      <c r="B101" s="2129" t="s">
        <v>2555</v>
      </c>
      <c r="C101" s="2130">
        <f>$G$3</f>
        <v>1018</v>
      </c>
      <c r="D101" s="2130">
        <f t="shared" ref="D101:N101" si="30">$G$3</f>
        <v>1018</v>
      </c>
      <c r="E101" s="2130">
        <f t="shared" si="30"/>
        <v>1018</v>
      </c>
      <c r="F101" s="2130">
        <f t="shared" si="30"/>
        <v>1018</v>
      </c>
      <c r="G101" s="2130">
        <f t="shared" si="30"/>
        <v>1018</v>
      </c>
      <c r="H101" s="2130">
        <f t="shared" si="30"/>
        <v>1018</v>
      </c>
      <c r="I101" s="2130">
        <f t="shared" si="30"/>
        <v>1018</v>
      </c>
      <c r="J101" s="2130">
        <f t="shared" si="30"/>
        <v>1018</v>
      </c>
      <c r="K101" s="2130">
        <f t="shared" si="30"/>
        <v>1018</v>
      </c>
      <c r="L101" s="2130">
        <f t="shared" si="30"/>
        <v>1018</v>
      </c>
      <c r="M101" s="2130">
        <f t="shared" si="30"/>
        <v>1018</v>
      </c>
      <c r="N101" s="2130">
        <f t="shared" si="30"/>
        <v>1018</v>
      </c>
    </row>
    <row r="102" spans="1:14">
      <c r="A102" s="3332"/>
      <c r="B102" s="2125">
        <v>1</v>
      </c>
      <c r="C102" s="2126">
        <f>1.9362/C101</f>
        <v>1.9019646365422396E-3</v>
      </c>
      <c r="D102" s="2126">
        <f>1.9362/D101</f>
        <v>1.9019646365422396E-3</v>
      </c>
      <c r="E102" s="2126">
        <f>1.8629/E101</f>
        <v>1.8299607072691552E-3</v>
      </c>
      <c r="F102" s="2126">
        <f>1.8629/F101</f>
        <v>1.8299607072691552E-3</v>
      </c>
      <c r="G102" s="2126">
        <f>1.8629/G101</f>
        <v>1.8299607072691552E-3</v>
      </c>
      <c r="H102" s="2126">
        <f>1.8629/H101</f>
        <v>1.8299607072691552E-3</v>
      </c>
      <c r="I102" s="2126">
        <f>1.8629/I101</f>
        <v>1.8299607072691552E-3</v>
      </c>
      <c r="J102" s="2126">
        <f>1.942/J101</f>
        <v>1.9076620825147347E-3</v>
      </c>
      <c r="K102" s="2126">
        <f>1.942/K101</f>
        <v>1.9076620825147347E-3</v>
      </c>
      <c r="L102" s="2126">
        <f>1.942/L101</f>
        <v>1.9076620825147347E-3</v>
      </c>
      <c r="M102" s="2126">
        <f>1.942/M101</f>
        <v>1.9076620825147347E-3</v>
      </c>
      <c r="N102" s="2126">
        <f>1.942/N101</f>
        <v>1.9076620825147347E-3</v>
      </c>
    </row>
    <row r="103" spans="1:14">
      <c r="A103" s="3332"/>
      <c r="B103" s="2125">
        <v>2</v>
      </c>
      <c r="C103" s="2126">
        <f>1.4198/C101</f>
        <v>1.3946954813359527E-3</v>
      </c>
      <c r="D103" s="2126">
        <f>1.4198/D101</f>
        <v>1.3946954813359527E-3</v>
      </c>
      <c r="E103" s="2126">
        <f>1.3372/E101</f>
        <v>1.3135559921414537E-3</v>
      </c>
      <c r="F103" s="2126">
        <f>1.3372/F101</f>
        <v>1.3135559921414537E-3</v>
      </c>
      <c r="G103" s="2126">
        <f>1.3372/G101</f>
        <v>1.3135559921414537E-3</v>
      </c>
      <c r="H103" s="2126">
        <f>1.3372/H101</f>
        <v>1.3135559921414537E-3</v>
      </c>
      <c r="I103" s="2126">
        <f>1.3372/I101</f>
        <v>1.3135559921414537E-3</v>
      </c>
      <c r="J103" s="2126">
        <f>1.2799/J101</f>
        <v>1.2572691552062869E-3</v>
      </c>
      <c r="K103" s="2126">
        <f>1.2799/K101</f>
        <v>1.2572691552062869E-3</v>
      </c>
      <c r="L103" s="2126">
        <f>1.2799/L101</f>
        <v>1.2572691552062869E-3</v>
      </c>
      <c r="M103" s="2126">
        <f>1.2799/M101</f>
        <v>1.2572691552062869E-3</v>
      </c>
      <c r="N103" s="2126">
        <f>1.2799/N101</f>
        <v>1.2572691552062869E-3</v>
      </c>
    </row>
    <row r="104" spans="1:14">
      <c r="A104" s="3332"/>
      <c r="B104" s="2125">
        <v>3</v>
      </c>
      <c r="C104" s="2126">
        <f>1.1594/C101</f>
        <v>1.1388998035363458E-3</v>
      </c>
      <c r="D104" s="2126">
        <f>1.1594/D101</f>
        <v>1.1388998035363458E-3</v>
      </c>
      <c r="E104" s="2126">
        <f>1.0788/E101</f>
        <v>1.0597249508840865E-3</v>
      </c>
      <c r="F104" s="2126">
        <f>1.0788/F101</f>
        <v>1.0597249508840865E-3</v>
      </c>
      <c r="G104" s="2126">
        <f>1.0788/G101</f>
        <v>1.0597249508840865E-3</v>
      </c>
      <c r="H104" s="2126">
        <f>1.0788/H101</f>
        <v>1.0597249508840865E-3</v>
      </c>
      <c r="I104" s="2126">
        <f>1.0788/I101</f>
        <v>1.0597249508840865E-3</v>
      </c>
      <c r="J104" s="2126">
        <f>1.0072/J101</f>
        <v>9.8939096267190588E-4</v>
      </c>
      <c r="K104" s="2126">
        <f>1.0072/K101</f>
        <v>9.8939096267190588E-4</v>
      </c>
      <c r="L104" s="2126">
        <f>1.0072/L101</f>
        <v>9.8939096267190588E-4</v>
      </c>
      <c r="M104" s="2126">
        <f>1.0072/M101</f>
        <v>9.8939096267190588E-4</v>
      </c>
      <c r="N104" s="2126">
        <f>1.0072/N101</f>
        <v>9.8939096267190588E-4</v>
      </c>
    </row>
    <row r="105" spans="1:14">
      <c r="A105" s="3332"/>
      <c r="B105" s="2125">
        <v>4</v>
      </c>
      <c r="C105" s="2126">
        <f>0.9622/C101</f>
        <v>9.4518664047151283E-4</v>
      </c>
      <c r="D105" s="2126">
        <f>0.9622/D101</f>
        <v>9.4518664047151283E-4</v>
      </c>
      <c r="E105" s="2126">
        <f>0.8656/E101</f>
        <v>8.5029469548133596E-4</v>
      </c>
      <c r="F105" s="2126">
        <f>0.8656/F101</f>
        <v>8.5029469548133596E-4</v>
      </c>
      <c r="G105" s="2126">
        <f>0.8656/G101</f>
        <v>8.5029469548133596E-4</v>
      </c>
      <c r="H105" s="2126">
        <f>0.8656/H101</f>
        <v>8.5029469548133596E-4</v>
      </c>
      <c r="I105" s="2126">
        <f>0.8656/I101</f>
        <v>8.5029469548133596E-4</v>
      </c>
      <c r="J105" s="2126">
        <f>0.7525/J101</f>
        <v>7.3919449901768165E-4</v>
      </c>
      <c r="K105" s="2126">
        <f>0.7525/K101</f>
        <v>7.3919449901768165E-4</v>
      </c>
      <c r="L105" s="2126">
        <f>0.7525/L101</f>
        <v>7.3919449901768165E-4</v>
      </c>
      <c r="M105" s="2126">
        <f>0.7525/M101</f>
        <v>7.3919449901768165E-4</v>
      </c>
      <c r="N105" s="2126">
        <f>0.7525/N101</f>
        <v>7.3919449901768165E-4</v>
      </c>
    </row>
    <row r="106" spans="1:14">
      <c r="A106" s="3332"/>
      <c r="B106" s="2125">
        <v>5</v>
      </c>
      <c r="C106" s="2126">
        <f>0.8417/C101</f>
        <v>8.2681728880157172E-4</v>
      </c>
      <c r="D106" s="2126">
        <f>0.8417/D101</f>
        <v>8.2681728880157172E-4</v>
      </c>
      <c r="E106" s="2126">
        <f>0.7371/E101</f>
        <v>7.2406679764243614E-4</v>
      </c>
      <c r="F106" s="2126">
        <f>0.7371/F101</f>
        <v>7.2406679764243614E-4</v>
      </c>
      <c r="G106" s="2126">
        <f>0.7371/G101</f>
        <v>7.2406679764243614E-4</v>
      </c>
      <c r="H106" s="2126">
        <f>0.7371/H101</f>
        <v>7.2406679764243614E-4</v>
      </c>
      <c r="I106" s="2126">
        <f>0.7371/I101</f>
        <v>7.2406679764243614E-4</v>
      </c>
      <c r="J106" s="2126">
        <f>0.5659/J101</f>
        <v>5.5589390962671901E-4</v>
      </c>
      <c r="K106" s="2126">
        <f>0.5659/K101</f>
        <v>5.5589390962671901E-4</v>
      </c>
      <c r="L106" s="2126">
        <f>0.5659/L101</f>
        <v>5.5589390962671901E-4</v>
      </c>
      <c r="M106" s="2126">
        <f>0.5659/M101</f>
        <v>5.5589390962671901E-4</v>
      </c>
      <c r="N106" s="2126">
        <f>0.5659/N101</f>
        <v>5.5589390962671901E-4</v>
      </c>
    </row>
    <row r="107" spans="1:14">
      <c r="A107" s="3332"/>
      <c r="B107" s="2125">
        <v>6</v>
      </c>
      <c r="C107" s="2126">
        <f>0.7608/C101</f>
        <v>7.4734774066797648E-4</v>
      </c>
      <c r="D107" s="2126">
        <f>0.7608/D101</f>
        <v>7.4734774066797648E-4</v>
      </c>
      <c r="E107" s="2126">
        <f>0.6482/E101</f>
        <v>6.3673870333988208E-4</v>
      </c>
      <c r="F107" s="2126">
        <f>0.6482/F101</f>
        <v>6.3673870333988208E-4</v>
      </c>
      <c r="G107" s="2126">
        <f>0.6482/G101</f>
        <v>6.3673870333988208E-4</v>
      </c>
      <c r="H107" s="2126">
        <f>0.6482/H101</f>
        <v>6.3673870333988208E-4</v>
      </c>
      <c r="I107" s="2126">
        <f>0.6482/I101</f>
        <v>6.3673870333988208E-4</v>
      </c>
      <c r="J107" s="2126">
        <f>0.4525/J101</f>
        <v>4.4449901768172891E-4</v>
      </c>
      <c r="K107" s="2126">
        <f>0.4525/K101</f>
        <v>4.4449901768172891E-4</v>
      </c>
      <c r="L107" s="2126">
        <f>0.4525/L101</f>
        <v>4.4449901768172891E-4</v>
      </c>
      <c r="M107" s="2126">
        <f>0.4525/M101</f>
        <v>4.4449901768172891E-4</v>
      </c>
      <c r="N107" s="2126">
        <f>0.4525/N101</f>
        <v>4.4449901768172891E-4</v>
      </c>
    </row>
    <row r="108" spans="1:14">
      <c r="A108" s="3332"/>
      <c r="B108" s="3334" t="s">
        <v>2556</v>
      </c>
      <c r="C108" s="2127">
        <f>C99</f>
        <v>0</v>
      </c>
      <c r="D108" s="2127">
        <f t="shared" ref="D108:N108" si="31">D99</f>
        <v>0</v>
      </c>
      <c r="E108" s="2127">
        <f t="shared" si="31"/>
        <v>0</v>
      </c>
      <c r="F108" s="2127">
        <f t="shared" si="31"/>
        <v>0</v>
      </c>
      <c r="G108" s="2127">
        <f t="shared" si="31"/>
        <v>0</v>
      </c>
      <c r="H108" s="2127">
        <f t="shared" si="31"/>
        <v>0</v>
      </c>
      <c r="I108" s="2127">
        <f t="shared" si="31"/>
        <v>0</v>
      </c>
      <c r="J108" s="2127">
        <f t="shared" si="31"/>
        <v>0</v>
      </c>
      <c r="K108" s="2127">
        <f t="shared" si="31"/>
        <v>0</v>
      </c>
      <c r="L108" s="2127">
        <f t="shared" si="31"/>
        <v>0</v>
      </c>
      <c r="M108" s="2127">
        <f t="shared" si="31"/>
        <v>0</v>
      </c>
      <c r="N108" s="2127">
        <f t="shared" si="31"/>
        <v>0</v>
      </c>
    </row>
    <row r="109" spans="1:14">
      <c r="A109" s="3333"/>
      <c r="B109" s="3335"/>
      <c r="C109" s="2128">
        <f>(-0.163*(C108^2)-0.59*C108+7617)*(10^(-4))/C101</f>
        <v>7.4823182711198429E-4</v>
      </c>
      <c r="D109" s="2128">
        <f>(-0.163*(D108^2)-0.59*D108+7617)*(10^(-4))/D101</f>
        <v>7.4823182711198429E-4</v>
      </c>
      <c r="E109" s="2128">
        <f>(-0.161*(E108^2)-7.509*E108+6533)*(10^(-4))/E101</f>
        <v>6.4174852652259336E-4</v>
      </c>
      <c r="F109" s="2128">
        <f>(-0.161*(F108^2)-7.509*F108+6533)*(10^(-4))/F101</f>
        <v>6.4174852652259336E-4</v>
      </c>
      <c r="G109" s="2128">
        <f>(-0.161*(G108^2)-7.509*G108+6533)*(10^(-4))/G101</f>
        <v>6.4174852652259336E-4</v>
      </c>
      <c r="H109" s="2128">
        <f>(-0.161*(H108^2)-7.509*H108+6533)*(10^(-4))/H101</f>
        <v>6.4174852652259336E-4</v>
      </c>
      <c r="I109" s="2128">
        <f>(-0.161*(I108^2)-7.509*I108+6533)*(10^(-4))/I101</f>
        <v>6.4174852652259336E-4</v>
      </c>
      <c r="J109" s="2128">
        <f>(-0.214*(J108^2)-21.991*J108+4665)*(10^(-4))/J101</f>
        <v>4.5825147347740671E-4</v>
      </c>
      <c r="K109" s="2128">
        <f>(-0.214*(K108^2)-21.991*K108+4665)*(10^(-4))/K101</f>
        <v>4.5825147347740671E-4</v>
      </c>
      <c r="L109" s="2128">
        <f>(-0.214*(L108^2)-21.991*L108+4665)*(10^(-4))/L101</f>
        <v>4.5825147347740671E-4</v>
      </c>
      <c r="M109" s="2128">
        <f>(-0.214*(M108^2)-21.991*M108+4665)*(10^(-4))/M101</f>
        <v>4.5825147347740671E-4</v>
      </c>
      <c r="N109" s="2128">
        <f>(-0.214*(N108^2)-21.991*N108+4665)*(10^(-4))/N101</f>
        <v>4.5825147347740671E-4</v>
      </c>
    </row>
    <row r="110" spans="1:14">
      <c r="A110" s="3329" t="s">
        <v>2557</v>
      </c>
      <c r="B110" s="3329"/>
      <c r="C110" s="3329"/>
      <c r="D110" s="3329"/>
      <c r="E110" s="3329"/>
      <c r="F110" s="3329"/>
      <c r="G110" s="3329"/>
      <c r="H110" s="3329"/>
      <c r="I110" s="3329"/>
      <c r="J110" s="3329"/>
      <c r="K110" s="2131"/>
      <c r="L110" s="2131"/>
      <c r="M110" s="2131"/>
      <c r="N110" s="2131"/>
    </row>
    <row r="112" spans="1:14" ht="13.5" thickBot="1"/>
    <row r="113" spans="1:13" ht="25.5" thickBot="1">
      <c r="A113" s="777" t="s">
        <v>2558</v>
      </c>
      <c r="B113" s="1110">
        <f>G3</f>
        <v>1018</v>
      </c>
      <c r="C113" s="778" t="s">
        <v>2559</v>
      </c>
      <c r="D113" s="779">
        <f>SUMPRODUCT((A115:A118=F113)*(B114:M114=H113)*B115:M118)</f>
        <v>0</v>
      </c>
      <c r="E113" s="168" t="s">
        <v>2392</v>
      </c>
      <c r="F113" s="2133">
        <f>E2</f>
        <v>0</v>
      </c>
      <c r="G113" s="168" t="s">
        <v>2393</v>
      </c>
      <c r="H113" s="2133">
        <f>G2</f>
        <v>0</v>
      </c>
      <c r="I113" s="168"/>
      <c r="J113" s="651"/>
      <c r="K113" s="651"/>
      <c r="L113" s="651"/>
      <c r="M113" s="651"/>
    </row>
    <row r="114" spans="1:13">
      <c r="A114" s="781"/>
      <c r="B114" s="2134" t="s">
        <v>2560</v>
      </c>
      <c r="C114" s="2134" t="s">
        <v>2561</v>
      </c>
      <c r="D114" s="2134" t="s">
        <v>2562</v>
      </c>
      <c r="E114" s="2135" t="s">
        <v>2563</v>
      </c>
      <c r="F114" s="2135" t="s">
        <v>2564</v>
      </c>
      <c r="G114" s="2135" t="s">
        <v>2565</v>
      </c>
      <c r="H114" s="2136" t="s">
        <v>2566</v>
      </c>
      <c r="I114" s="2136" t="s">
        <v>2567</v>
      </c>
      <c r="J114" s="2137" t="s">
        <v>2568</v>
      </c>
      <c r="K114" s="2137" t="s">
        <v>2569</v>
      </c>
      <c r="L114" s="2137" t="s">
        <v>2570</v>
      </c>
      <c r="M114" s="2138" t="s">
        <v>2571</v>
      </c>
    </row>
    <row r="115" spans="1:13">
      <c r="A115" s="782" t="s">
        <v>2457</v>
      </c>
      <c r="B115" s="783">
        <f>ROUND(0.9335-0.0094*B113,4)</f>
        <v>-8.6356999999999999</v>
      </c>
      <c r="C115" s="783">
        <f>B115</f>
        <v>-8.6356999999999999</v>
      </c>
      <c r="D115" s="783">
        <f>ROUND(0.8331-0.0109*B113,4)</f>
        <v>-10.2631</v>
      </c>
      <c r="E115" s="783">
        <f>D115</f>
        <v>-10.2631</v>
      </c>
      <c r="F115" s="783">
        <f>E115</f>
        <v>-10.2631</v>
      </c>
      <c r="G115" s="783">
        <f>F115</f>
        <v>-10.2631</v>
      </c>
      <c r="H115" s="783">
        <f>G115</f>
        <v>-10.2631</v>
      </c>
      <c r="I115" s="783">
        <f>ROUND(0.689-0.0155*B113,4)</f>
        <v>-15.09</v>
      </c>
      <c r="J115" s="783">
        <f t="shared" ref="J115:M118" si="32">I115</f>
        <v>-15.09</v>
      </c>
      <c r="K115" s="783">
        <f t="shared" si="32"/>
        <v>-15.09</v>
      </c>
      <c r="L115" s="783">
        <f t="shared" si="32"/>
        <v>-15.09</v>
      </c>
      <c r="M115" s="784">
        <f t="shared" si="32"/>
        <v>-15.09</v>
      </c>
    </row>
    <row r="116" spans="1:13">
      <c r="A116" s="782" t="s">
        <v>2458</v>
      </c>
      <c r="B116" s="783">
        <f>ROUND(0.949-0.012*B113,4)</f>
        <v>-11.266999999999999</v>
      </c>
      <c r="C116" s="783">
        <f>B116</f>
        <v>-11.266999999999999</v>
      </c>
      <c r="D116" s="783">
        <f>ROUND(0.8567-0.013*B113,4)</f>
        <v>-12.3773</v>
      </c>
      <c r="E116" s="783">
        <f t="shared" ref="E116:H117" si="33">D116</f>
        <v>-12.3773</v>
      </c>
      <c r="F116" s="783">
        <f t="shared" si="33"/>
        <v>-12.3773</v>
      </c>
      <c r="G116" s="783">
        <f t="shared" si="33"/>
        <v>-12.3773</v>
      </c>
      <c r="H116" s="783">
        <f t="shared" si="33"/>
        <v>-12.3773</v>
      </c>
      <c r="I116" s="783">
        <f>ROUND(0.7694-0.014*B113,4)</f>
        <v>-13.4826</v>
      </c>
      <c r="J116" s="783">
        <f t="shared" si="32"/>
        <v>-13.4826</v>
      </c>
      <c r="K116" s="783">
        <f t="shared" si="32"/>
        <v>-13.4826</v>
      </c>
      <c r="L116" s="783">
        <f t="shared" si="32"/>
        <v>-13.4826</v>
      </c>
      <c r="M116" s="784">
        <f t="shared" si="32"/>
        <v>-13.4826</v>
      </c>
    </row>
    <row r="117" spans="1:13">
      <c r="A117" s="782" t="s">
        <v>2459</v>
      </c>
      <c r="B117" s="783">
        <f>ROUND(0.8808-0.006*B113,4)</f>
        <v>-5.2271999999999998</v>
      </c>
      <c r="C117" s="783">
        <f>B117</f>
        <v>-5.2271999999999998</v>
      </c>
      <c r="D117" s="783">
        <f>ROUND(0.8748-0.008*B113,4)</f>
        <v>-7.2691999999999997</v>
      </c>
      <c r="E117" s="783">
        <f t="shared" si="33"/>
        <v>-7.2691999999999997</v>
      </c>
      <c r="F117" s="783">
        <f t="shared" si="33"/>
        <v>-7.2691999999999997</v>
      </c>
      <c r="G117" s="783">
        <f t="shared" si="33"/>
        <v>-7.2691999999999997</v>
      </c>
      <c r="H117" s="783">
        <f t="shared" si="33"/>
        <v>-7.2691999999999997</v>
      </c>
      <c r="I117" s="783">
        <f>ROUND(0.7412-0.0095*B113,4)</f>
        <v>-8.9298000000000002</v>
      </c>
      <c r="J117" s="783">
        <f t="shared" si="32"/>
        <v>-8.9298000000000002</v>
      </c>
      <c r="K117" s="783">
        <f t="shared" si="32"/>
        <v>-8.9298000000000002</v>
      </c>
      <c r="L117" s="783">
        <f t="shared" si="32"/>
        <v>-8.9298000000000002</v>
      </c>
      <c r="M117" s="784">
        <f t="shared" si="32"/>
        <v>-8.9298000000000002</v>
      </c>
    </row>
    <row r="118" spans="1:13" ht="13.5" thickBot="1">
      <c r="A118" s="640" t="s">
        <v>2460</v>
      </c>
      <c r="B118" s="785">
        <f>ROUND(0.7275-0.01*B113,4)</f>
        <v>-9.4525000000000006</v>
      </c>
      <c r="C118" s="785">
        <f>B118</f>
        <v>-9.4525000000000006</v>
      </c>
      <c r="D118" s="785">
        <f>ROUND(0.7043-0.012*B113,4)</f>
        <v>-11.511699999999999</v>
      </c>
      <c r="E118" s="785">
        <f>D118</f>
        <v>-11.511699999999999</v>
      </c>
      <c r="F118" s="785">
        <f>E118</f>
        <v>-11.511699999999999</v>
      </c>
      <c r="G118" s="785">
        <f>ROUND(0.6299-0.0122*B113,4)</f>
        <v>-11.7897</v>
      </c>
      <c r="H118" s="785">
        <f>G118</f>
        <v>-11.7897</v>
      </c>
      <c r="I118" s="785">
        <f>ROUND(0.5667-0.0136*B113,4)</f>
        <v>-13.2781</v>
      </c>
      <c r="J118" s="785">
        <f t="shared" si="32"/>
        <v>-13.2781</v>
      </c>
      <c r="K118" s="785">
        <f t="shared" si="32"/>
        <v>-13.2781</v>
      </c>
      <c r="L118" s="785">
        <f t="shared" si="32"/>
        <v>-13.2781</v>
      </c>
      <c r="M118" s="786">
        <f t="shared" si="32"/>
        <v>-13.2781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7" t="s">
        <v>2941</v>
      </c>
      <c r="B2" s="2918">
        <v>3.5</v>
      </c>
      <c r="C2" s="2918">
        <v>3.5</v>
      </c>
      <c r="D2" s="2919">
        <v>2.5</v>
      </c>
      <c r="E2" s="2919">
        <v>2.5</v>
      </c>
      <c r="F2" s="2919">
        <v>2.5</v>
      </c>
      <c r="G2" s="2919">
        <v>2.5</v>
      </c>
      <c r="H2" s="2919">
        <v>2.5</v>
      </c>
      <c r="I2" s="2918">
        <v>2</v>
      </c>
      <c r="J2" s="2918">
        <v>2</v>
      </c>
      <c r="K2" s="2918">
        <v>2</v>
      </c>
      <c r="L2" s="2918">
        <v>2</v>
      </c>
      <c r="M2" s="2920">
        <v>2</v>
      </c>
    </row>
    <row r="3" spans="1:13" ht="19.5" customHeight="1">
      <c r="A3" s="2921" t="s">
        <v>2942</v>
      </c>
      <c r="B3" s="2922">
        <v>3.5</v>
      </c>
      <c r="C3" s="2922">
        <v>3.5</v>
      </c>
      <c r="D3" s="2923">
        <v>2.5</v>
      </c>
      <c r="E3" s="2923">
        <v>2.5</v>
      </c>
      <c r="F3" s="2923">
        <v>2.5</v>
      </c>
      <c r="G3" s="2923">
        <v>2.5</v>
      </c>
      <c r="H3" s="2923">
        <v>2.5</v>
      </c>
      <c r="I3" s="2922">
        <v>2</v>
      </c>
      <c r="J3" s="2922">
        <v>2</v>
      </c>
      <c r="K3" s="2922">
        <v>2</v>
      </c>
      <c r="L3" s="2922">
        <v>2</v>
      </c>
      <c r="M3" s="2924">
        <v>2</v>
      </c>
    </row>
    <row r="4" spans="1:13" ht="19.5" customHeight="1">
      <c r="A4" s="2921" t="s">
        <v>2943</v>
      </c>
      <c r="B4" s="2923">
        <v>2.5</v>
      </c>
      <c r="C4" s="2923">
        <v>2.5</v>
      </c>
      <c r="D4" s="2923">
        <v>2.5</v>
      </c>
      <c r="E4" s="2923">
        <v>2.5</v>
      </c>
      <c r="F4" s="2923">
        <v>2.5</v>
      </c>
      <c r="G4" s="2923">
        <v>2.5</v>
      </c>
      <c r="H4" s="2923">
        <v>2.5</v>
      </c>
      <c r="I4" s="2922">
        <v>1.5</v>
      </c>
      <c r="J4" s="2922">
        <v>1.5</v>
      </c>
      <c r="K4" s="2922">
        <v>1.5</v>
      </c>
      <c r="L4" s="2922">
        <v>1.5</v>
      </c>
      <c r="M4" s="2924">
        <v>1.5</v>
      </c>
    </row>
    <row r="5" spans="1:13" ht="19.5" customHeight="1">
      <c r="A5" s="2925" t="s">
        <v>2944</v>
      </c>
      <c r="B5" s="2922">
        <v>1.5</v>
      </c>
      <c r="C5" s="2922">
        <v>1.5</v>
      </c>
      <c r="D5" s="2922">
        <v>1.5</v>
      </c>
      <c r="E5" s="2922">
        <v>1.5</v>
      </c>
      <c r="F5" s="2922">
        <v>1.5</v>
      </c>
      <c r="G5" s="2922">
        <v>1.2</v>
      </c>
      <c r="H5" s="2922">
        <v>1.2</v>
      </c>
      <c r="I5" s="2922">
        <v>1</v>
      </c>
      <c r="J5" s="2922">
        <v>1</v>
      </c>
      <c r="K5" s="2922">
        <v>1</v>
      </c>
      <c r="L5" s="2922">
        <v>1</v>
      </c>
      <c r="M5" s="2924">
        <v>1</v>
      </c>
    </row>
    <row r="6" spans="1:13" ht="19.5" customHeight="1">
      <c r="A6" s="2926" t="s">
        <v>2945</v>
      </c>
      <c r="B6" s="2927">
        <v>2.5</v>
      </c>
      <c r="C6" s="2927">
        <v>2.5</v>
      </c>
      <c r="D6" s="2927">
        <v>2</v>
      </c>
      <c r="E6" s="2927">
        <v>2</v>
      </c>
      <c r="F6" s="2927">
        <v>2</v>
      </c>
      <c r="G6" s="2927">
        <v>2</v>
      </c>
      <c r="H6" s="2927">
        <v>2</v>
      </c>
      <c r="I6" s="2928">
        <v>1.5</v>
      </c>
      <c r="J6" s="2928">
        <v>1.5</v>
      </c>
      <c r="K6" s="2928">
        <v>1.5</v>
      </c>
      <c r="L6" s="2928">
        <v>1.5</v>
      </c>
      <c r="M6" s="2929">
        <v>1.5</v>
      </c>
    </row>
    <row r="7" spans="1:13" ht="19.5" customHeight="1" thickBot="1">
      <c r="A7" s="2930" t="s">
        <v>2946</v>
      </c>
      <c r="B7" s="2931">
        <v>2.5</v>
      </c>
      <c r="C7" s="2931">
        <v>2.5</v>
      </c>
      <c r="D7" s="2931">
        <v>2</v>
      </c>
      <c r="E7" s="2931">
        <v>2</v>
      </c>
      <c r="F7" s="2931">
        <v>2</v>
      </c>
      <c r="G7" s="2931">
        <v>2</v>
      </c>
      <c r="H7" s="2931">
        <v>2</v>
      </c>
      <c r="I7" s="2932">
        <v>1.5</v>
      </c>
      <c r="J7" s="2932">
        <v>1.5</v>
      </c>
      <c r="K7" s="2932">
        <v>1.5</v>
      </c>
      <c r="L7" s="2932">
        <v>1.5</v>
      </c>
      <c r="M7" s="2933">
        <v>1.5</v>
      </c>
    </row>
    <row r="8" spans="1:13" ht="19.5" customHeight="1">
      <c r="A8" s="752" t="s">
        <v>546</v>
      </c>
      <c r="B8" s="2934">
        <v>80</v>
      </c>
      <c r="C8" s="2934">
        <v>80</v>
      </c>
      <c r="D8" s="2934">
        <v>70</v>
      </c>
      <c r="E8" s="2934">
        <v>70</v>
      </c>
      <c r="F8" s="2934">
        <v>70</v>
      </c>
      <c r="G8" s="2934">
        <v>70</v>
      </c>
      <c r="H8" s="2934">
        <v>70</v>
      </c>
      <c r="I8" s="2934">
        <v>60</v>
      </c>
      <c r="J8" s="2934">
        <v>60</v>
      </c>
      <c r="K8" s="2934">
        <v>60</v>
      </c>
      <c r="L8" s="2934">
        <v>60</v>
      </c>
      <c r="M8" s="2935">
        <v>60</v>
      </c>
    </row>
    <row r="9" spans="1:13" ht="19.5" customHeight="1">
      <c r="A9" s="712" t="s">
        <v>547</v>
      </c>
      <c r="B9" s="2936">
        <v>70</v>
      </c>
      <c r="C9" s="2936">
        <v>70</v>
      </c>
      <c r="D9" s="2936">
        <v>60</v>
      </c>
      <c r="E9" s="2936">
        <v>60</v>
      </c>
      <c r="F9" s="2936">
        <v>60</v>
      </c>
      <c r="G9" s="2936">
        <v>60</v>
      </c>
      <c r="H9" s="2936">
        <v>60</v>
      </c>
      <c r="I9" s="2936">
        <v>50</v>
      </c>
      <c r="J9" s="2936">
        <v>50</v>
      </c>
      <c r="K9" s="2936">
        <v>50</v>
      </c>
      <c r="L9" s="2936">
        <v>50</v>
      </c>
      <c r="M9" s="2937">
        <v>50</v>
      </c>
    </row>
    <row r="10" spans="1:13" ht="19.5" customHeight="1">
      <c r="A10" s="712" t="s">
        <v>548</v>
      </c>
      <c r="B10" s="2936">
        <v>20</v>
      </c>
      <c r="C10" s="2936">
        <v>20</v>
      </c>
      <c r="D10" s="2936">
        <v>15</v>
      </c>
      <c r="E10" s="2936">
        <v>15</v>
      </c>
      <c r="F10" s="2936">
        <v>15</v>
      </c>
      <c r="G10" s="2936">
        <v>15</v>
      </c>
      <c r="H10" s="2936">
        <v>15</v>
      </c>
      <c r="I10" s="2936">
        <v>10</v>
      </c>
      <c r="J10" s="2936">
        <v>10</v>
      </c>
      <c r="K10" s="2936">
        <v>10</v>
      </c>
      <c r="L10" s="2936">
        <v>10</v>
      </c>
      <c r="M10" s="2937">
        <v>10</v>
      </c>
    </row>
    <row r="11" spans="1:13" ht="19.5" customHeight="1">
      <c r="A11" s="712" t="s">
        <v>549</v>
      </c>
      <c r="B11" s="2936">
        <v>30</v>
      </c>
      <c r="C11" s="2936">
        <v>30</v>
      </c>
      <c r="D11" s="2936">
        <v>25</v>
      </c>
      <c r="E11" s="2936">
        <v>25</v>
      </c>
      <c r="F11" s="2936">
        <v>25</v>
      </c>
      <c r="G11" s="2936">
        <v>25</v>
      </c>
      <c r="H11" s="2936">
        <v>25</v>
      </c>
      <c r="I11" s="2936">
        <v>20</v>
      </c>
      <c r="J11" s="2936">
        <v>20</v>
      </c>
      <c r="K11" s="2936">
        <v>20</v>
      </c>
      <c r="L11" s="2936">
        <v>20</v>
      </c>
      <c r="M11" s="2937">
        <v>20</v>
      </c>
    </row>
    <row r="12" spans="1:13" ht="19.5" customHeight="1">
      <c r="A12" s="712" t="s">
        <v>550</v>
      </c>
      <c r="B12" s="2936">
        <v>45</v>
      </c>
      <c r="C12" s="2936">
        <v>45</v>
      </c>
      <c r="D12" s="2936">
        <v>40</v>
      </c>
      <c r="E12" s="2936">
        <v>40</v>
      </c>
      <c r="F12" s="2936">
        <v>40</v>
      </c>
      <c r="G12" s="2936">
        <v>40</v>
      </c>
      <c r="H12" s="2936">
        <v>40</v>
      </c>
      <c r="I12" s="2936">
        <v>35</v>
      </c>
      <c r="J12" s="2936">
        <v>35</v>
      </c>
      <c r="K12" s="2936">
        <v>35</v>
      </c>
      <c r="L12" s="2936">
        <v>35</v>
      </c>
      <c r="M12" s="2937">
        <v>35</v>
      </c>
    </row>
    <row r="13" spans="1:13" ht="19.5" customHeight="1">
      <c r="A13" s="712" t="s">
        <v>551</v>
      </c>
      <c r="B13" s="2936">
        <v>60</v>
      </c>
      <c r="C13" s="2936">
        <v>60</v>
      </c>
      <c r="D13" s="2936">
        <v>50</v>
      </c>
      <c r="E13" s="2936">
        <v>50</v>
      </c>
      <c r="F13" s="2936">
        <v>50</v>
      </c>
      <c r="G13" s="2936">
        <v>50</v>
      </c>
      <c r="H13" s="2936">
        <v>50</v>
      </c>
      <c r="I13" s="2936">
        <v>40</v>
      </c>
      <c r="J13" s="2936">
        <v>40</v>
      </c>
      <c r="K13" s="2936">
        <v>40</v>
      </c>
      <c r="L13" s="2936">
        <v>40</v>
      </c>
      <c r="M13" s="2937">
        <v>40</v>
      </c>
    </row>
    <row r="14" spans="1:13" ht="19.5" customHeight="1">
      <c r="A14" s="712" t="s">
        <v>552</v>
      </c>
      <c r="B14" s="2936">
        <v>50</v>
      </c>
      <c r="C14" s="2936">
        <v>50</v>
      </c>
      <c r="D14" s="2936">
        <v>40</v>
      </c>
      <c r="E14" s="2936">
        <v>40</v>
      </c>
      <c r="F14" s="2936">
        <v>40</v>
      </c>
      <c r="G14" s="2936">
        <v>40</v>
      </c>
      <c r="H14" s="2936">
        <v>40</v>
      </c>
      <c r="I14" s="2936">
        <v>30</v>
      </c>
      <c r="J14" s="2936">
        <v>30</v>
      </c>
      <c r="K14" s="2936">
        <v>30</v>
      </c>
      <c r="L14" s="2936">
        <v>30</v>
      </c>
      <c r="M14" s="2937">
        <v>30</v>
      </c>
    </row>
    <row r="15" spans="1:13" ht="19.5" customHeight="1">
      <c r="A15" s="753" t="s">
        <v>553</v>
      </c>
      <c r="B15" s="2938">
        <v>20</v>
      </c>
      <c r="C15" s="2938">
        <v>20</v>
      </c>
      <c r="D15" s="2938">
        <v>15</v>
      </c>
      <c r="E15" s="2938">
        <v>15</v>
      </c>
      <c r="F15" s="2938">
        <v>15</v>
      </c>
      <c r="G15" s="2938">
        <v>15</v>
      </c>
      <c r="H15" s="2938">
        <v>15</v>
      </c>
      <c r="I15" s="2938">
        <v>10</v>
      </c>
      <c r="J15" s="2938">
        <v>10</v>
      </c>
      <c r="K15" s="2938">
        <v>10</v>
      </c>
      <c r="L15" s="2938">
        <v>10</v>
      </c>
      <c r="M15" s="2939">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2623</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SUM(J8:J12,J15)</f>
        <v>185</v>
      </c>
      <c r="K17" s="754">
        <f>SUM(K8:K12,K15)</f>
        <v>185</v>
      </c>
      <c r="L17" s="754">
        <f>SUM(L8:L12,L15)</f>
        <v>185</v>
      </c>
      <c r="M17" s="754">
        <f>SUM(M8:M12,M15)</f>
        <v>185</v>
      </c>
    </row>
    <row r="18" spans="1:13" ht="19.5" customHeight="1">
      <c r="A18" s="755" t="s">
        <v>555</v>
      </c>
      <c r="B18" s="755"/>
      <c r="C18" s="756"/>
      <c r="D18" s="756"/>
      <c r="E18" s="755"/>
      <c r="F18" s="756"/>
      <c r="G18" s="756"/>
    </row>
    <row r="19" spans="1:13" ht="19.5" customHeight="1" thickBot="1">
      <c r="A19" s="2938" t="s">
        <v>2947</v>
      </c>
      <c r="B19" s="2940" t="s">
        <v>2948</v>
      </c>
      <c r="C19" s="2941" t="s">
        <v>2949</v>
      </c>
      <c r="D19" s="2942"/>
      <c r="E19" s="2936" t="s">
        <v>2950</v>
      </c>
      <c r="F19" s="759"/>
      <c r="G19" s="759"/>
    </row>
    <row r="20" spans="1:13" ht="19.5" customHeight="1">
      <c r="A20" s="3359" t="s">
        <v>2951</v>
      </c>
      <c r="B20" s="3352" t="s">
        <v>2952</v>
      </c>
      <c r="C20" s="2943" t="s">
        <v>2953</v>
      </c>
      <c r="D20" s="2944"/>
      <c r="E20" s="2945">
        <v>1</v>
      </c>
      <c r="F20" s="2946" t="s">
        <v>2954</v>
      </c>
      <c r="G20" s="763"/>
    </row>
    <row r="21" spans="1:13" ht="19.5" customHeight="1">
      <c r="A21" s="3360"/>
      <c r="B21" s="3353"/>
      <c r="C21" s="761" t="s">
        <v>2955</v>
      </c>
      <c r="D21" s="762"/>
      <c r="E21" s="2947">
        <v>1</v>
      </c>
      <c r="F21" s="2946" t="s">
        <v>2956</v>
      </c>
      <c r="G21" s="763"/>
    </row>
    <row r="22" spans="1:13" ht="19.5" customHeight="1">
      <c r="A22" s="3360"/>
      <c r="B22" s="3353"/>
      <c r="C22" s="761" t="s">
        <v>2957</v>
      </c>
      <c r="D22" s="762"/>
      <c r="E22" s="2947">
        <v>0.9</v>
      </c>
      <c r="F22" s="2946" t="s">
        <v>2958</v>
      </c>
      <c r="G22" s="763"/>
    </row>
    <row r="23" spans="1:13" ht="19.5" customHeight="1">
      <c r="A23" s="3360"/>
      <c r="B23" s="3353"/>
      <c r="C23" s="761" t="s">
        <v>2959</v>
      </c>
      <c r="D23" s="762"/>
      <c r="E23" s="2947">
        <v>0.9</v>
      </c>
      <c r="F23" s="2946" t="s">
        <v>2960</v>
      </c>
      <c r="G23" s="763"/>
    </row>
    <row r="24" spans="1:13" ht="19.5" customHeight="1">
      <c r="A24" s="3360"/>
      <c r="B24" s="3353"/>
      <c r="C24" s="761" t="s">
        <v>2961</v>
      </c>
      <c r="D24" s="762"/>
      <c r="E24" s="2947">
        <v>0.8</v>
      </c>
      <c r="F24" s="2946" t="s">
        <v>2962</v>
      </c>
      <c r="G24" s="763"/>
    </row>
    <row r="25" spans="1:13" ht="19.5" customHeight="1" thickBot="1">
      <c r="A25" s="3361"/>
      <c r="B25" s="3354"/>
      <c r="C25" s="2948" t="s">
        <v>2963</v>
      </c>
      <c r="D25" s="2949"/>
      <c r="E25" s="2950">
        <v>0.8</v>
      </c>
      <c r="F25" s="2946" t="s">
        <v>2964</v>
      </c>
      <c r="G25" s="763"/>
    </row>
    <row r="26" spans="1:13" ht="19.5" customHeight="1" thickBot="1">
      <c r="A26" s="2951" t="s">
        <v>2965</v>
      </c>
      <c r="B26" s="2952" t="s">
        <v>2952</v>
      </c>
      <c r="C26" s="2953" t="s">
        <v>2966</v>
      </c>
      <c r="D26" s="2954"/>
      <c r="E26" s="2955">
        <v>1</v>
      </c>
      <c r="F26" s="2946" t="s">
        <v>2967</v>
      </c>
      <c r="G26" s="763"/>
    </row>
    <row r="27" spans="1:13" ht="19.5" customHeight="1">
      <c r="A27" s="3355" t="s">
        <v>2968</v>
      </c>
      <c r="B27" s="3352" t="s">
        <v>2968</v>
      </c>
      <c r="C27" s="2943" t="s">
        <v>2969</v>
      </c>
      <c r="D27" s="2944"/>
      <c r="E27" s="2945">
        <v>1</v>
      </c>
      <c r="F27" s="2946" t="s">
        <v>2970</v>
      </c>
      <c r="G27" s="763"/>
    </row>
    <row r="28" spans="1:13" ht="19.5" customHeight="1">
      <c r="A28" s="3356"/>
      <c r="B28" s="3353"/>
      <c r="C28" s="761" t="s">
        <v>2971</v>
      </c>
      <c r="D28" s="762"/>
      <c r="E28" s="2947">
        <v>1</v>
      </c>
      <c r="F28" s="2946" t="s">
        <v>2972</v>
      </c>
      <c r="G28" s="763"/>
    </row>
    <row r="29" spans="1:13" ht="19.5" customHeight="1">
      <c r="A29" s="3356"/>
      <c r="B29" s="3353"/>
      <c r="C29" s="761" t="s">
        <v>2973</v>
      </c>
      <c r="D29" s="762"/>
      <c r="E29" s="2947">
        <v>0.8</v>
      </c>
      <c r="F29" s="2946" t="s">
        <v>2974</v>
      </c>
      <c r="G29" s="763"/>
    </row>
    <row r="30" spans="1:13" ht="19.5" customHeight="1">
      <c r="A30" s="3356"/>
      <c r="B30" s="3353"/>
      <c r="C30" s="761" t="s">
        <v>2975</v>
      </c>
      <c r="D30" s="762"/>
      <c r="E30" s="2947">
        <v>0.8</v>
      </c>
      <c r="F30" s="2946" t="s">
        <v>2976</v>
      </c>
      <c r="G30" s="763"/>
    </row>
    <row r="31" spans="1:13" ht="19.5" customHeight="1">
      <c r="A31" s="3356"/>
      <c r="B31" s="3353"/>
      <c r="C31" s="761" t="s">
        <v>2977</v>
      </c>
      <c r="D31" s="762"/>
      <c r="E31" s="2947">
        <v>0.8</v>
      </c>
      <c r="F31" s="2946" t="s">
        <v>2978</v>
      </c>
      <c r="G31" s="763"/>
    </row>
    <row r="32" spans="1:13" ht="19.5" customHeight="1">
      <c r="A32" s="3356"/>
      <c r="B32" s="3353"/>
      <c r="C32" s="761" t="s">
        <v>2979</v>
      </c>
      <c r="D32" s="762"/>
      <c r="E32" s="2947">
        <v>0.7</v>
      </c>
      <c r="F32" s="2946" t="s">
        <v>2980</v>
      </c>
      <c r="G32" s="763"/>
    </row>
    <row r="33" spans="1:7" ht="19.5" customHeight="1">
      <c r="A33" s="3356"/>
      <c r="B33" s="3353"/>
      <c r="C33" s="761" t="s">
        <v>2981</v>
      </c>
      <c r="D33" s="762"/>
      <c r="E33" s="2947">
        <v>0.8</v>
      </c>
      <c r="F33" s="2946" t="s">
        <v>2982</v>
      </c>
      <c r="G33" s="763"/>
    </row>
    <row r="34" spans="1:7" ht="19.5" customHeight="1">
      <c r="A34" s="3356"/>
      <c r="B34" s="3353"/>
      <c r="C34" s="761" t="s">
        <v>2983</v>
      </c>
      <c r="D34" s="762"/>
      <c r="E34" s="2947">
        <v>0.6</v>
      </c>
      <c r="F34" s="2946" t="s">
        <v>2984</v>
      </c>
      <c r="G34" s="763"/>
    </row>
    <row r="35" spans="1:7" ht="19.5" customHeight="1">
      <c r="A35" s="3356"/>
      <c r="B35" s="3353"/>
      <c r="C35" s="761" t="s">
        <v>2985</v>
      </c>
      <c r="D35" s="762"/>
      <c r="E35" s="2947">
        <v>0.2</v>
      </c>
      <c r="F35" s="2946" t="s">
        <v>2986</v>
      </c>
      <c r="G35" s="763"/>
    </row>
    <row r="36" spans="1:7" ht="19.5" customHeight="1">
      <c r="A36" s="3356"/>
      <c r="B36" s="3353"/>
      <c r="C36" s="761" t="s">
        <v>2987</v>
      </c>
      <c r="D36" s="762"/>
      <c r="E36" s="2947">
        <v>0.2</v>
      </c>
      <c r="F36" s="2946" t="s">
        <v>2988</v>
      </c>
      <c r="G36" s="763"/>
    </row>
    <row r="37" spans="1:7" ht="19.5" customHeight="1">
      <c r="A37" s="3356"/>
      <c r="B37" s="3358" t="s">
        <v>2989</v>
      </c>
      <c r="C37" s="761" t="s">
        <v>2990</v>
      </c>
      <c r="D37" s="762"/>
      <c r="E37" s="2947">
        <v>0.6</v>
      </c>
      <c r="F37" s="2946" t="s">
        <v>2991</v>
      </c>
      <c r="G37" s="763"/>
    </row>
    <row r="38" spans="1:7" ht="19.5" customHeight="1">
      <c r="A38" s="3356"/>
      <c r="B38" s="3353"/>
      <c r="C38" s="761" t="s">
        <v>2992</v>
      </c>
      <c r="D38" s="762"/>
      <c r="E38" s="2947">
        <v>0.6</v>
      </c>
      <c r="F38" s="2946" t="s">
        <v>2993</v>
      </c>
      <c r="G38" s="763"/>
    </row>
    <row r="39" spans="1:7" ht="19.5" customHeight="1" thickBot="1">
      <c r="A39" s="3357"/>
      <c r="B39" s="3354"/>
      <c r="C39" s="2948" t="s">
        <v>2994</v>
      </c>
      <c r="D39" s="2949"/>
      <c r="E39" s="2950">
        <v>0.6</v>
      </c>
      <c r="F39" s="2946" t="s">
        <v>2995</v>
      </c>
      <c r="G39" s="763"/>
    </row>
    <row r="40" spans="1:7" ht="19.5" customHeight="1" thickBot="1">
      <c r="A40" s="2951" t="s">
        <v>2996</v>
      </c>
      <c r="B40" s="2952" t="s">
        <v>2996</v>
      </c>
      <c r="C40" s="2953" t="s">
        <v>2997</v>
      </c>
      <c r="D40" s="2954"/>
      <c r="E40" s="2955">
        <v>1</v>
      </c>
      <c r="F40" s="2946" t="s">
        <v>2998</v>
      </c>
      <c r="G40" s="763"/>
    </row>
    <row r="41" spans="1:7" ht="19.5" customHeight="1">
      <c r="A41" s="3359" t="s">
        <v>2999</v>
      </c>
      <c r="B41" s="3352" t="s">
        <v>3000</v>
      </c>
      <c r="C41" s="2943" t="s">
        <v>3001</v>
      </c>
      <c r="D41" s="2944"/>
      <c r="E41" s="2945">
        <v>1</v>
      </c>
      <c r="F41" s="2946" t="s">
        <v>3002</v>
      </c>
      <c r="G41" s="763"/>
    </row>
    <row r="42" spans="1:7" ht="19.5" customHeight="1">
      <c r="A42" s="3360"/>
      <c r="B42" s="3353"/>
      <c r="C42" s="761" t="s">
        <v>3003</v>
      </c>
      <c r="D42" s="762"/>
      <c r="E42" s="2947">
        <v>1</v>
      </c>
      <c r="F42" s="2946" t="s">
        <v>3004</v>
      </c>
      <c r="G42" s="763"/>
    </row>
    <row r="43" spans="1:7" ht="19.5" customHeight="1">
      <c r="A43" s="3360"/>
      <c r="B43" s="3362"/>
      <c r="C43" s="761" t="s">
        <v>3005</v>
      </c>
      <c r="D43" s="762"/>
      <c r="E43" s="2947">
        <v>1.5</v>
      </c>
      <c r="F43" s="2946" t="s">
        <v>3006</v>
      </c>
      <c r="G43" s="763"/>
    </row>
    <row r="44" spans="1:7" ht="19.5" customHeight="1">
      <c r="A44" s="3360"/>
      <c r="B44" s="2956" t="s">
        <v>2968</v>
      </c>
      <c r="C44" s="761" t="s">
        <v>3007</v>
      </c>
      <c r="D44" s="762"/>
      <c r="E44" s="2947">
        <v>2</v>
      </c>
      <c r="F44" s="2946" t="s">
        <v>3008</v>
      </c>
      <c r="G44" s="763"/>
    </row>
    <row r="45" spans="1:7" ht="19.5" customHeight="1">
      <c r="A45" s="3360"/>
      <c r="B45" s="3358" t="s">
        <v>3009</v>
      </c>
      <c r="C45" s="761" t="s">
        <v>3010</v>
      </c>
      <c r="D45" s="762"/>
      <c r="E45" s="2947">
        <v>1</v>
      </c>
      <c r="F45" s="2946" t="s">
        <v>3011</v>
      </c>
      <c r="G45" s="763"/>
    </row>
    <row r="46" spans="1:7" ht="19.5" customHeight="1">
      <c r="A46" s="3360"/>
      <c r="B46" s="3353"/>
      <c r="C46" s="761" t="s">
        <v>3012</v>
      </c>
      <c r="D46" s="762"/>
      <c r="E46" s="2947">
        <v>1</v>
      </c>
      <c r="F46" s="2946" t="s">
        <v>3013</v>
      </c>
      <c r="G46" s="763"/>
    </row>
    <row r="47" spans="1:7" ht="19.5" customHeight="1">
      <c r="A47" s="3360"/>
      <c r="B47" s="3353"/>
      <c r="C47" s="761" t="s">
        <v>3014</v>
      </c>
      <c r="D47" s="762"/>
      <c r="E47" s="2947">
        <v>1</v>
      </c>
      <c r="F47" s="2946" t="s">
        <v>3015</v>
      </c>
      <c r="G47" s="763"/>
    </row>
    <row r="48" spans="1:7" ht="19.5" customHeight="1">
      <c r="A48" s="3360"/>
      <c r="B48" s="3353"/>
      <c r="C48" s="761" t="s">
        <v>3016</v>
      </c>
      <c r="D48" s="762"/>
      <c r="E48" s="2947">
        <v>1</v>
      </c>
      <c r="F48" s="2946" t="s">
        <v>3017</v>
      </c>
      <c r="G48" s="763"/>
    </row>
    <row r="49" spans="1:9" ht="19.5" customHeight="1">
      <c r="A49" s="3360"/>
      <c r="B49" s="3353"/>
      <c r="C49" s="761" t="s">
        <v>3018</v>
      </c>
      <c r="D49" s="762"/>
      <c r="E49" s="2947">
        <v>1</v>
      </c>
      <c r="F49" s="2946" t="s">
        <v>3019</v>
      </c>
      <c r="G49" s="763"/>
    </row>
    <row r="50" spans="1:9" ht="19.5" customHeight="1">
      <c r="A50" s="3360"/>
      <c r="B50" s="3353"/>
      <c r="C50" s="761" t="s">
        <v>3020</v>
      </c>
      <c r="D50" s="762"/>
      <c r="E50" s="2947">
        <v>1</v>
      </c>
      <c r="F50" s="2946" t="s">
        <v>3021</v>
      </c>
      <c r="G50" s="763"/>
    </row>
    <row r="51" spans="1:9" ht="19.5" customHeight="1" thickBot="1">
      <c r="A51" s="3361"/>
      <c r="B51" s="3354"/>
      <c r="C51" s="2948" t="s">
        <v>3022</v>
      </c>
      <c r="D51" s="2949"/>
      <c r="E51" s="2950">
        <v>1</v>
      </c>
      <c r="F51" s="2946" t="s">
        <v>3023</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6">
        <v>0.7</v>
      </c>
      <c r="C57" s="2936">
        <v>0.4</v>
      </c>
      <c r="D57" s="2936">
        <v>0.3</v>
      </c>
      <c r="E57" s="2942">
        <v>0.3</v>
      </c>
      <c r="F57" s="2936">
        <v>0.3</v>
      </c>
      <c r="G57" s="2936">
        <v>0.2</v>
      </c>
      <c r="I57"/>
    </row>
    <row r="58" spans="1:9" ht="19.5" customHeight="1">
      <c r="A58" s="769" t="s">
        <v>158</v>
      </c>
      <c r="B58" s="2936">
        <v>0.7</v>
      </c>
      <c r="C58" s="2936">
        <v>0.4</v>
      </c>
      <c r="D58" s="2936">
        <v>0.3</v>
      </c>
      <c r="E58" s="2936">
        <v>0.3</v>
      </c>
      <c r="F58" s="2936">
        <v>0.3</v>
      </c>
      <c r="G58" s="2936">
        <v>0.2</v>
      </c>
      <c r="I58"/>
    </row>
    <row r="59" spans="1:9" ht="19.5" customHeight="1">
      <c r="A59" s="769" t="s">
        <v>159</v>
      </c>
      <c r="B59" s="2936">
        <v>0.6</v>
      </c>
      <c r="C59" s="2936">
        <v>0.3</v>
      </c>
      <c r="D59" s="2936">
        <v>0.25</v>
      </c>
      <c r="E59" s="2936">
        <v>0.25</v>
      </c>
      <c r="F59" s="2936">
        <v>0.25</v>
      </c>
      <c r="G59" s="2936">
        <v>0.15</v>
      </c>
      <c r="I59"/>
    </row>
    <row r="60" spans="1:9" ht="19.5" customHeight="1">
      <c r="A60" s="769" t="s">
        <v>160</v>
      </c>
      <c r="B60" s="2936">
        <v>0.6</v>
      </c>
      <c r="C60" s="2936">
        <v>0.3</v>
      </c>
      <c r="D60" s="2936">
        <v>0.25</v>
      </c>
      <c r="E60" s="2936">
        <v>0.25</v>
      </c>
      <c r="F60" s="2936">
        <v>0.25</v>
      </c>
      <c r="G60" s="2936">
        <v>0.15</v>
      </c>
      <c r="I60"/>
    </row>
    <row r="61" spans="1:9" s="757" customFormat="1" ht="19.5" customHeight="1">
      <c r="A61" s="769" t="s">
        <v>161</v>
      </c>
      <c r="B61" s="2936">
        <v>0.6</v>
      </c>
      <c r="C61" s="2936">
        <v>0.3</v>
      </c>
      <c r="D61" s="2936">
        <v>0.25</v>
      </c>
      <c r="E61" s="2936">
        <v>0.25</v>
      </c>
      <c r="F61" s="2936">
        <v>0.25</v>
      </c>
      <c r="G61" s="2936">
        <v>0.15</v>
      </c>
    </row>
    <row r="62" spans="1:9" s="757" customFormat="1" ht="19.5" customHeight="1">
      <c r="A62" s="769" t="s">
        <v>162</v>
      </c>
      <c r="B62" s="2936">
        <v>0.6</v>
      </c>
      <c r="C62" s="2936">
        <v>0.3</v>
      </c>
      <c r="D62" s="2936">
        <v>0.25</v>
      </c>
      <c r="E62" s="2936">
        <v>0.25</v>
      </c>
      <c r="F62" s="2936">
        <v>0.25</v>
      </c>
      <c r="G62" s="2936">
        <v>0.15</v>
      </c>
    </row>
    <row r="63" spans="1:9" s="757" customFormat="1" ht="19.5" customHeight="1">
      <c r="A63" s="769" t="s">
        <v>163</v>
      </c>
      <c r="B63" s="2936">
        <v>0.6</v>
      </c>
      <c r="C63" s="2936">
        <v>0.3</v>
      </c>
      <c r="D63" s="2936">
        <v>0.25</v>
      </c>
      <c r="E63" s="2936">
        <v>0.25</v>
      </c>
      <c r="F63" s="2936">
        <v>0.25</v>
      </c>
      <c r="G63" s="2936">
        <v>0.15</v>
      </c>
    </row>
    <row r="64" spans="1:9" s="757" customFormat="1" ht="19.5" customHeight="1">
      <c r="A64" s="769" t="s">
        <v>164</v>
      </c>
      <c r="B64" s="2936">
        <v>0.5</v>
      </c>
      <c r="C64" s="2936">
        <v>0.2</v>
      </c>
      <c r="D64" s="2936">
        <v>0.2</v>
      </c>
      <c r="E64" s="2936">
        <v>0.2</v>
      </c>
      <c r="F64" s="2936">
        <v>0.2</v>
      </c>
      <c r="G64" s="2936">
        <v>0.1</v>
      </c>
    </row>
    <row r="65" spans="1:7" s="757" customFormat="1" ht="19.5" customHeight="1">
      <c r="A65" s="769" t="s">
        <v>165</v>
      </c>
      <c r="B65" s="2936">
        <v>0.5</v>
      </c>
      <c r="C65" s="2936">
        <v>0.2</v>
      </c>
      <c r="D65" s="2936">
        <v>0.2</v>
      </c>
      <c r="E65" s="2936">
        <v>0.2</v>
      </c>
      <c r="F65" s="2936">
        <v>0.2</v>
      </c>
      <c r="G65" s="2936">
        <v>0.1</v>
      </c>
    </row>
    <row r="66" spans="1:7" s="757" customFormat="1" ht="19.5" customHeight="1">
      <c r="A66" s="769" t="s">
        <v>166</v>
      </c>
      <c r="B66" s="2936">
        <v>0.5</v>
      </c>
      <c r="C66" s="2936">
        <v>0.2</v>
      </c>
      <c r="D66" s="2936">
        <v>0.2</v>
      </c>
      <c r="E66" s="2936">
        <v>0.2</v>
      </c>
      <c r="F66" s="2936">
        <v>0.2</v>
      </c>
      <c r="G66" s="2936">
        <v>0.1</v>
      </c>
    </row>
    <row r="67" spans="1:7" s="757" customFormat="1" ht="19.5" customHeight="1">
      <c r="A67" s="769" t="s">
        <v>167</v>
      </c>
      <c r="B67" s="2936">
        <v>0.5</v>
      </c>
      <c r="C67" s="2936">
        <v>0.2</v>
      </c>
      <c r="D67" s="2936">
        <v>0.2</v>
      </c>
      <c r="E67" s="2936">
        <v>0.2</v>
      </c>
      <c r="F67" s="2936">
        <v>0.2</v>
      </c>
      <c r="G67" s="2936">
        <v>0.1</v>
      </c>
    </row>
    <row r="68" spans="1:7" s="757" customFormat="1" ht="19.5" customHeight="1">
      <c r="A68" s="769" t="s">
        <v>168</v>
      </c>
      <c r="B68" s="2936">
        <v>0.5</v>
      </c>
      <c r="C68" s="2936">
        <v>0.2</v>
      </c>
      <c r="D68" s="2936">
        <v>0.2</v>
      </c>
      <c r="E68" s="2936">
        <v>0.2</v>
      </c>
      <c r="F68" s="2936">
        <v>0.2</v>
      </c>
      <c r="G68" s="2936">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3024</v>
      </c>
      <c r="D72" s="760"/>
      <c r="E72" s="770" t="s">
        <v>1</v>
      </c>
      <c r="F72" s="760" t="s">
        <v>1</v>
      </c>
    </row>
    <row r="73" spans="1:7" s="757" customFormat="1" ht="13.5">
      <c r="A73" s="2956">
        <v>1</v>
      </c>
      <c r="B73" s="3358" t="s">
        <v>3025</v>
      </c>
      <c r="C73" s="2936" t="s">
        <v>3026</v>
      </c>
      <c r="D73" s="2936" t="s">
        <v>3027</v>
      </c>
      <c r="E73" s="2957">
        <v>0.2</v>
      </c>
      <c r="F73" s="2956">
        <v>25</v>
      </c>
    </row>
    <row r="74" spans="1:7" s="757" customFormat="1" ht="24">
      <c r="A74" s="2956">
        <v>2</v>
      </c>
      <c r="B74" s="3353"/>
      <c r="C74" s="2936" t="s">
        <v>3028</v>
      </c>
      <c r="D74" s="2936" t="s">
        <v>3029</v>
      </c>
      <c r="E74" s="2957">
        <v>0.2</v>
      </c>
      <c r="F74" s="2956">
        <v>25</v>
      </c>
    </row>
    <row r="75" spans="1:7" s="757" customFormat="1" ht="24">
      <c r="A75" s="2956">
        <v>3</v>
      </c>
      <c r="B75" s="3353"/>
      <c r="C75" s="2936" t="s">
        <v>3030</v>
      </c>
      <c r="D75" s="2936" t="s">
        <v>3031</v>
      </c>
      <c r="E75" s="2957">
        <v>0.2</v>
      </c>
      <c r="F75" s="2956">
        <v>25</v>
      </c>
    </row>
    <row r="76" spans="1:7" s="757" customFormat="1" ht="13.5">
      <c r="A76" s="2956">
        <v>4</v>
      </c>
      <c r="B76" s="3353"/>
      <c r="C76" s="2936" t="s">
        <v>3032</v>
      </c>
      <c r="D76" s="2936" t="s">
        <v>3033</v>
      </c>
      <c r="E76" s="2957">
        <v>0.15</v>
      </c>
      <c r="F76" s="2956">
        <v>20</v>
      </c>
    </row>
    <row r="77" spans="1:7" s="757" customFormat="1" ht="24">
      <c r="A77" s="2956">
        <v>5</v>
      </c>
      <c r="B77" s="3353"/>
      <c r="C77" s="2936" t="s">
        <v>3034</v>
      </c>
      <c r="D77" s="2936" t="s">
        <v>3035</v>
      </c>
      <c r="E77" s="2957">
        <v>0.15</v>
      </c>
      <c r="F77" s="2956">
        <v>20</v>
      </c>
    </row>
    <row r="78" spans="1:7" s="757" customFormat="1" ht="24">
      <c r="A78" s="2956">
        <v>6</v>
      </c>
      <c r="B78" s="3353"/>
      <c r="C78" s="2936" t="s">
        <v>3036</v>
      </c>
      <c r="D78" s="2936" t="s">
        <v>3037</v>
      </c>
      <c r="E78" s="2957">
        <v>0.15</v>
      </c>
      <c r="F78" s="2956">
        <v>20</v>
      </c>
    </row>
    <row r="79" spans="1:7" s="757" customFormat="1" ht="24">
      <c r="A79" s="2956">
        <v>7</v>
      </c>
      <c r="B79" s="3353"/>
      <c r="C79" s="2936" t="s">
        <v>3038</v>
      </c>
      <c r="D79" s="2936" t="s">
        <v>3039</v>
      </c>
      <c r="E79" s="2957">
        <v>0.15</v>
      </c>
      <c r="F79" s="2956">
        <v>20</v>
      </c>
    </row>
    <row r="80" spans="1:7" s="757" customFormat="1" ht="24">
      <c r="A80" s="2956">
        <v>8</v>
      </c>
      <c r="B80" s="3353"/>
      <c r="C80" s="2936" t="s">
        <v>3040</v>
      </c>
      <c r="D80" s="2936" t="s">
        <v>3041</v>
      </c>
      <c r="E80" s="2957">
        <v>0.1</v>
      </c>
      <c r="F80" s="2956">
        <v>15</v>
      </c>
    </row>
    <row r="81" spans="1:6" s="757" customFormat="1" ht="24">
      <c r="A81" s="2956">
        <v>9</v>
      </c>
      <c r="B81" s="3353"/>
      <c r="C81" s="2936" t="s">
        <v>3042</v>
      </c>
      <c r="D81" s="2936" t="s">
        <v>3043</v>
      </c>
      <c r="E81" s="2957">
        <v>0.1</v>
      </c>
      <c r="F81" s="2956">
        <v>15</v>
      </c>
    </row>
    <row r="82" spans="1:6" s="757" customFormat="1" ht="24">
      <c r="A82" s="2956">
        <v>10</v>
      </c>
      <c r="B82" s="3353"/>
      <c r="C82" s="2936" t="s">
        <v>3044</v>
      </c>
      <c r="D82" s="2936" t="s">
        <v>3045</v>
      </c>
      <c r="E82" s="2957">
        <v>0.1</v>
      </c>
      <c r="F82" s="2956">
        <v>15</v>
      </c>
    </row>
    <row r="83" spans="1:6" s="757" customFormat="1" ht="24">
      <c r="A83" s="2956">
        <v>11</v>
      </c>
      <c r="B83" s="3353"/>
      <c r="C83" s="2936" t="s">
        <v>3046</v>
      </c>
      <c r="D83" s="2936" t="s">
        <v>3047</v>
      </c>
      <c r="E83" s="2957">
        <v>0.1</v>
      </c>
      <c r="F83" s="2956">
        <v>15</v>
      </c>
    </row>
    <row r="84" spans="1:6" s="757" customFormat="1" ht="24">
      <c r="A84" s="2956">
        <v>12</v>
      </c>
      <c r="B84" s="3353"/>
      <c r="C84" s="2936" t="s">
        <v>3048</v>
      </c>
      <c r="D84" s="2936" t="s">
        <v>3049</v>
      </c>
      <c r="E84" s="2957">
        <v>0.1</v>
      </c>
      <c r="F84" s="2956">
        <v>15</v>
      </c>
    </row>
    <row r="85" spans="1:6" s="757" customFormat="1" ht="13.5">
      <c r="A85" s="2956">
        <v>13</v>
      </c>
      <c r="B85" s="3353"/>
      <c r="C85" s="2936" t="s">
        <v>3050</v>
      </c>
      <c r="D85" s="2936" t="s">
        <v>3051</v>
      </c>
      <c r="E85" s="2957">
        <v>0.1</v>
      </c>
      <c r="F85" s="2956">
        <v>15</v>
      </c>
    </row>
    <row r="86" spans="1:6" s="757" customFormat="1" ht="13.5">
      <c r="A86" s="2956">
        <v>14</v>
      </c>
      <c r="B86" s="3353"/>
      <c r="C86" s="2936" t="s">
        <v>3052</v>
      </c>
      <c r="D86" s="2936" t="s">
        <v>3053</v>
      </c>
      <c r="E86" s="2957">
        <v>0.1</v>
      </c>
      <c r="F86" s="2956">
        <v>15</v>
      </c>
    </row>
    <row r="87" spans="1:6" s="757" customFormat="1" ht="13.5">
      <c r="A87" s="2956">
        <v>15</v>
      </c>
      <c r="B87" s="3353"/>
      <c r="C87" s="2936" t="s">
        <v>3054</v>
      </c>
      <c r="D87" s="2936" t="s">
        <v>3055</v>
      </c>
      <c r="E87" s="2957">
        <v>0.1</v>
      </c>
      <c r="F87" s="2956">
        <v>15</v>
      </c>
    </row>
    <row r="88" spans="1:6" s="757" customFormat="1" ht="24">
      <c r="A88" s="2956">
        <v>16</v>
      </c>
      <c r="B88" s="3353"/>
      <c r="C88" s="2936" t="s">
        <v>3056</v>
      </c>
      <c r="D88" s="2936" t="s">
        <v>3057</v>
      </c>
      <c r="E88" s="2957">
        <v>0.1</v>
      </c>
      <c r="F88" s="2956">
        <v>15</v>
      </c>
    </row>
    <row r="89" spans="1:6" s="757" customFormat="1" ht="24">
      <c r="A89" s="2956">
        <v>17</v>
      </c>
      <c r="B89" s="3362"/>
      <c r="C89" s="2936" t="s">
        <v>3058</v>
      </c>
      <c r="D89" s="2936" t="s">
        <v>3059</v>
      </c>
      <c r="E89" s="2957">
        <v>0.1</v>
      </c>
      <c r="F89" s="2956">
        <v>15</v>
      </c>
    </row>
    <row r="90" spans="1:6" s="757" customFormat="1" ht="13.5">
      <c r="A90" s="2956">
        <v>18</v>
      </c>
      <c r="B90" s="3358" t="s">
        <v>3060</v>
      </c>
      <c r="C90" s="2936" t="s">
        <v>3061</v>
      </c>
      <c r="D90" s="2936" t="s">
        <v>3062</v>
      </c>
      <c r="E90" s="2957">
        <v>0.2</v>
      </c>
      <c r="F90" s="2956">
        <v>25</v>
      </c>
    </row>
    <row r="91" spans="1:6" s="757" customFormat="1" ht="24">
      <c r="A91" s="2956">
        <v>19</v>
      </c>
      <c r="B91" s="3353"/>
      <c r="C91" s="2936" t="s">
        <v>3063</v>
      </c>
      <c r="D91" s="2936" t="s">
        <v>3064</v>
      </c>
      <c r="E91" s="2957">
        <v>0.2</v>
      </c>
      <c r="F91" s="2956">
        <v>25</v>
      </c>
    </row>
    <row r="92" spans="1:6" s="757" customFormat="1" ht="13.5">
      <c r="A92" s="2956">
        <v>20</v>
      </c>
      <c r="B92" s="3353"/>
      <c r="C92" s="2936" t="s">
        <v>3065</v>
      </c>
      <c r="D92" s="2936" t="s">
        <v>3066</v>
      </c>
      <c r="E92" s="2957">
        <v>0.15</v>
      </c>
      <c r="F92" s="2956">
        <v>20</v>
      </c>
    </row>
    <row r="93" spans="1:6" s="757" customFormat="1" ht="24">
      <c r="A93" s="2956">
        <v>21</v>
      </c>
      <c r="B93" s="3353"/>
      <c r="C93" s="2936" t="s">
        <v>3067</v>
      </c>
      <c r="D93" s="2936" t="s">
        <v>3068</v>
      </c>
      <c r="E93" s="2957">
        <v>0.15</v>
      </c>
      <c r="F93" s="2956">
        <v>20</v>
      </c>
    </row>
    <row r="94" spans="1:6" s="757" customFormat="1" ht="24">
      <c r="A94" s="2956">
        <v>22</v>
      </c>
      <c r="B94" s="3353"/>
      <c r="C94" s="2936" t="s">
        <v>3069</v>
      </c>
      <c r="D94" s="2936" t="s">
        <v>3070</v>
      </c>
      <c r="E94" s="2957">
        <v>0.15</v>
      </c>
      <c r="F94" s="2956">
        <v>20</v>
      </c>
    </row>
    <row r="95" spans="1:6" s="757" customFormat="1" ht="36">
      <c r="A95" s="2956">
        <v>23</v>
      </c>
      <c r="B95" s="3353"/>
      <c r="C95" s="2936" t="s">
        <v>3071</v>
      </c>
      <c r="D95" s="2936" t="s">
        <v>3072</v>
      </c>
      <c r="E95" s="2957">
        <v>0.15</v>
      </c>
      <c r="F95" s="2956">
        <v>20</v>
      </c>
    </row>
    <row r="96" spans="1:6" s="757" customFormat="1" ht="13.5">
      <c r="A96" s="2956">
        <v>24</v>
      </c>
      <c r="B96" s="3353"/>
      <c r="C96" s="2936" t="s">
        <v>3073</v>
      </c>
      <c r="D96" s="2936" t="s">
        <v>3074</v>
      </c>
      <c r="E96" s="2957">
        <v>0.1</v>
      </c>
      <c r="F96" s="2956">
        <v>15</v>
      </c>
    </row>
    <row r="97" spans="1:6" s="757" customFormat="1" ht="24">
      <c r="A97" s="2956">
        <v>25</v>
      </c>
      <c r="B97" s="3353"/>
      <c r="C97" s="2936" t="s">
        <v>3075</v>
      </c>
      <c r="D97" s="2936" t="s">
        <v>3076</v>
      </c>
      <c r="E97" s="2957">
        <v>0.1</v>
      </c>
      <c r="F97" s="2956">
        <v>15</v>
      </c>
    </row>
    <row r="98" spans="1:6" s="757" customFormat="1" ht="24">
      <c r="A98" s="2956">
        <v>26</v>
      </c>
      <c r="B98" s="3353"/>
      <c r="C98" s="2936" t="s">
        <v>3077</v>
      </c>
      <c r="D98" s="2936" t="s">
        <v>3078</v>
      </c>
      <c r="E98" s="2957">
        <v>0.1</v>
      </c>
      <c r="F98" s="2956">
        <v>15</v>
      </c>
    </row>
    <row r="99" spans="1:6" s="757" customFormat="1" ht="24">
      <c r="A99" s="2956">
        <v>27</v>
      </c>
      <c r="B99" s="3353"/>
      <c r="C99" s="2936" t="s">
        <v>3079</v>
      </c>
      <c r="D99" s="2936" t="s">
        <v>3080</v>
      </c>
      <c r="E99" s="2957">
        <v>0.1</v>
      </c>
      <c r="F99" s="2956">
        <v>15</v>
      </c>
    </row>
    <row r="100" spans="1:6" s="757" customFormat="1" ht="24">
      <c r="A100" s="2956">
        <v>28</v>
      </c>
      <c r="B100" s="3353"/>
      <c r="C100" s="2936" t="s">
        <v>3081</v>
      </c>
      <c r="D100" s="2936" t="s">
        <v>3082</v>
      </c>
      <c r="E100" s="2957">
        <v>0.1</v>
      </c>
      <c r="F100" s="2956">
        <v>15</v>
      </c>
    </row>
    <row r="101" spans="1:6" s="757" customFormat="1" ht="24">
      <c r="A101" s="2956">
        <v>29</v>
      </c>
      <c r="B101" s="3353"/>
      <c r="C101" s="2936" t="s">
        <v>3083</v>
      </c>
      <c r="D101" s="2936" t="s">
        <v>3084</v>
      </c>
      <c r="E101" s="2957">
        <v>0.1</v>
      </c>
      <c r="F101" s="2956">
        <v>15</v>
      </c>
    </row>
    <row r="102" spans="1:6" s="757" customFormat="1" ht="24">
      <c r="A102" s="2956">
        <v>30</v>
      </c>
      <c r="B102" s="3353"/>
      <c r="C102" s="2936" t="s">
        <v>3085</v>
      </c>
      <c r="D102" s="2936" t="s">
        <v>3086</v>
      </c>
      <c r="E102" s="2957">
        <v>0.1</v>
      </c>
      <c r="F102" s="2956">
        <v>15</v>
      </c>
    </row>
    <row r="103" spans="1:6" s="757" customFormat="1" ht="24">
      <c r="A103" s="2956">
        <v>31</v>
      </c>
      <c r="B103" s="3353"/>
      <c r="C103" s="2936" t="s">
        <v>3087</v>
      </c>
      <c r="D103" s="2936" t="s">
        <v>3088</v>
      </c>
      <c r="E103" s="2957">
        <v>0.1</v>
      </c>
      <c r="F103" s="2956">
        <v>15</v>
      </c>
    </row>
    <row r="104" spans="1:6" s="757" customFormat="1" ht="24">
      <c r="A104" s="2956">
        <v>32</v>
      </c>
      <c r="B104" s="3353"/>
      <c r="C104" s="2936" t="s">
        <v>3089</v>
      </c>
      <c r="D104" s="2936" t="s">
        <v>3090</v>
      </c>
      <c r="E104" s="2957">
        <v>0.1</v>
      </c>
      <c r="F104" s="2956">
        <v>15</v>
      </c>
    </row>
    <row r="105" spans="1:6" s="757" customFormat="1" ht="24">
      <c r="A105" s="2956">
        <v>33</v>
      </c>
      <c r="B105" s="3353"/>
      <c r="C105" s="2936" t="s">
        <v>3091</v>
      </c>
      <c r="D105" s="2936" t="s">
        <v>3092</v>
      </c>
      <c r="E105" s="2957">
        <v>0.1</v>
      </c>
      <c r="F105" s="2956">
        <v>15</v>
      </c>
    </row>
    <row r="106" spans="1:6" s="757" customFormat="1" ht="24">
      <c r="A106" s="2956">
        <v>34</v>
      </c>
      <c r="B106" s="3362"/>
      <c r="C106" s="2936" t="s">
        <v>3093</v>
      </c>
      <c r="D106" s="2936" t="s">
        <v>3094</v>
      </c>
      <c r="E106" s="2957">
        <v>0.1</v>
      </c>
      <c r="F106" s="2956">
        <v>15</v>
      </c>
    </row>
    <row r="107" spans="1:6" s="757" customFormat="1" ht="24">
      <c r="A107" s="2956">
        <v>35</v>
      </c>
      <c r="B107" s="3358" t="s">
        <v>3095</v>
      </c>
      <c r="C107" s="2956" t="s">
        <v>3096</v>
      </c>
      <c r="D107" s="2936" t="s">
        <v>3097</v>
      </c>
      <c r="E107" s="2957">
        <v>0.15</v>
      </c>
      <c r="F107" s="2956">
        <v>20</v>
      </c>
    </row>
    <row r="108" spans="1:6" s="757" customFormat="1" ht="24">
      <c r="A108" s="2956">
        <v>36</v>
      </c>
      <c r="B108" s="3353"/>
      <c r="C108" s="2956" t="s">
        <v>3098</v>
      </c>
      <c r="D108" s="2936" t="s">
        <v>3099</v>
      </c>
      <c r="E108" s="2957">
        <v>0.15</v>
      </c>
      <c r="F108" s="2956">
        <v>20</v>
      </c>
    </row>
    <row r="109" spans="1:6" s="757" customFormat="1" ht="24">
      <c r="A109" s="2956">
        <v>37</v>
      </c>
      <c r="B109" s="3353"/>
      <c r="C109" s="2956" t="s">
        <v>3100</v>
      </c>
      <c r="D109" s="2936" t="s">
        <v>3101</v>
      </c>
      <c r="E109" s="2957">
        <v>0.15</v>
      </c>
      <c r="F109" s="2956">
        <v>20</v>
      </c>
    </row>
    <row r="110" spans="1:6" s="757" customFormat="1" ht="13.5">
      <c r="A110" s="2956">
        <v>38</v>
      </c>
      <c r="B110" s="3353"/>
      <c r="C110" s="2956" t="s">
        <v>3102</v>
      </c>
      <c r="D110" s="2936" t="s">
        <v>3103</v>
      </c>
      <c r="E110" s="2957">
        <v>0.1</v>
      </c>
      <c r="F110" s="2956">
        <v>15</v>
      </c>
    </row>
    <row r="111" spans="1:6" s="757" customFormat="1" ht="24">
      <c r="A111" s="2956">
        <v>39</v>
      </c>
      <c r="B111" s="3353"/>
      <c r="C111" s="2956" t="s">
        <v>3104</v>
      </c>
      <c r="D111" s="2936" t="s">
        <v>3105</v>
      </c>
      <c r="E111" s="2957">
        <v>0.1</v>
      </c>
      <c r="F111" s="2956">
        <v>15</v>
      </c>
    </row>
    <row r="112" spans="1:6" s="757" customFormat="1" ht="24">
      <c r="A112" s="2956">
        <v>40</v>
      </c>
      <c r="B112" s="3362"/>
      <c r="C112" s="2956" t="s">
        <v>3106</v>
      </c>
      <c r="D112" s="2936" t="s">
        <v>3107</v>
      </c>
      <c r="E112" s="2957">
        <v>0.1</v>
      </c>
      <c r="F112" s="2956">
        <v>15</v>
      </c>
    </row>
    <row r="113" spans="1:6" s="757" customFormat="1" ht="24">
      <c r="A113" s="2956">
        <v>41</v>
      </c>
      <c r="B113" s="3363" t="s">
        <v>3108</v>
      </c>
      <c r="C113" s="2956" t="s">
        <v>3109</v>
      </c>
      <c r="D113" s="2936" t="s">
        <v>3110</v>
      </c>
      <c r="E113" s="2957">
        <v>0.1</v>
      </c>
      <c r="F113" s="2956">
        <v>15</v>
      </c>
    </row>
    <row r="114" spans="1:6" s="757" customFormat="1" ht="13.5">
      <c r="A114" s="2956">
        <v>42</v>
      </c>
      <c r="B114" s="3363"/>
      <c r="C114" s="2956" t="s">
        <v>3111</v>
      </c>
      <c r="D114" s="2936" t="s">
        <v>3112</v>
      </c>
      <c r="E114" s="2957">
        <v>0.1</v>
      </c>
      <c r="F114" s="2956">
        <v>15</v>
      </c>
    </row>
    <row r="115" spans="1:6" s="757" customFormat="1" ht="24">
      <c r="A115" s="2956">
        <v>43</v>
      </c>
      <c r="B115" s="3363"/>
      <c r="C115" s="2956" t="s">
        <v>3113</v>
      </c>
      <c r="D115" s="2936" t="s">
        <v>3114</v>
      </c>
      <c r="E115" s="2957">
        <v>0.1</v>
      </c>
      <c r="F115" s="2956">
        <v>15</v>
      </c>
    </row>
    <row r="116" spans="1:6" s="757" customFormat="1" ht="24">
      <c r="A116" s="2956">
        <v>44</v>
      </c>
      <c r="B116" s="3358" t="s">
        <v>3115</v>
      </c>
      <c r="C116" s="2956" t="s">
        <v>3116</v>
      </c>
      <c r="D116" s="2936" t="s">
        <v>3117</v>
      </c>
      <c r="E116" s="2957">
        <v>0.1</v>
      </c>
      <c r="F116" s="2956">
        <v>15</v>
      </c>
    </row>
    <row r="117" spans="1:6" s="757" customFormat="1" ht="24">
      <c r="A117" s="2956">
        <v>45</v>
      </c>
      <c r="B117" s="3362"/>
      <c r="C117" s="2936" t="s">
        <v>3118</v>
      </c>
      <c r="D117" s="2936" t="s">
        <v>3119</v>
      </c>
      <c r="E117" s="2957">
        <v>0.1</v>
      </c>
      <c r="F117" s="2956">
        <v>15</v>
      </c>
    </row>
    <row r="118" spans="1:6" s="757" customFormat="1" ht="24">
      <c r="A118" s="2956">
        <v>46</v>
      </c>
      <c r="B118" s="3358" t="s">
        <v>3120</v>
      </c>
      <c r="C118" s="2956" t="s">
        <v>3121</v>
      </c>
      <c r="D118" s="2936" t="s">
        <v>3122</v>
      </c>
      <c r="E118" s="2957">
        <v>0.1</v>
      </c>
      <c r="F118" s="2956">
        <v>15</v>
      </c>
    </row>
    <row r="119" spans="1:6" s="757" customFormat="1" ht="24">
      <c r="A119" s="2956">
        <v>47</v>
      </c>
      <c r="B119" s="3362"/>
      <c r="C119" s="2956" t="s">
        <v>3123</v>
      </c>
      <c r="D119" s="2936" t="s">
        <v>3124</v>
      </c>
      <c r="E119" s="2957">
        <v>0.1</v>
      </c>
      <c r="F119" s="2956">
        <v>15</v>
      </c>
    </row>
    <row r="120" spans="1:6" s="757" customFormat="1" ht="24">
      <c r="A120" s="2956">
        <v>48</v>
      </c>
      <c r="B120" s="3358" t="s">
        <v>3125</v>
      </c>
      <c r="C120" s="2956" t="s">
        <v>3126</v>
      </c>
      <c r="D120" s="2936" t="s">
        <v>3127</v>
      </c>
      <c r="E120" s="2957">
        <v>0.1</v>
      </c>
      <c r="F120" s="2956">
        <v>15</v>
      </c>
    </row>
    <row r="121" spans="1:6" s="757" customFormat="1" ht="13.5">
      <c r="A121" s="2956">
        <v>49</v>
      </c>
      <c r="B121" s="3362"/>
      <c r="C121" s="2956" t="s">
        <v>3128</v>
      </c>
      <c r="D121" s="2936" t="s">
        <v>3129</v>
      </c>
      <c r="E121" s="2957">
        <v>0.1</v>
      </c>
      <c r="F121" s="2956">
        <v>15</v>
      </c>
    </row>
    <row r="122" spans="1:6" s="757" customFormat="1" ht="24">
      <c r="A122" s="2956">
        <v>50</v>
      </c>
      <c r="B122" s="3363" t="s">
        <v>3130</v>
      </c>
      <c r="C122" s="2956" t="s">
        <v>3131</v>
      </c>
      <c r="D122" s="2936" t="s">
        <v>3132</v>
      </c>
      <c r="E122" s="2957">
        <v>0.1</v>
      </c>
      <c r="F122" s="2956">
        <v>15</v>
      </c>
    </row>
    <row r="123" spans="1:6" s="757" customFormat="1" ht="24">
      <c r="A123" s="2956">
        <v>51</v>
      </c>
      <c r="B123" s="3363"/>
      <c r="C123" s="2956" t="s">
        <v>3133</v>
      </c>
      <c r="D123" s="2936" t="s">
        <v>3134</v>
      </c>
      <c r="E123" s="2957">
        <v>0.1</v>
      </c>
      <c r="F123" s="2956">
        <v>15</v>
      </c>
    </row>
    <row r="124" spans="1:6" s="757" customFormat="1" ht="24">
      <c r="A124" s="2956">
        <v>52</v>
      </c>
      <c r="B124" s="3363" t="s">
        <v>3135</v>
      </c>
      <c r="C124" s="2956" t="s">
        <v>3136</v>
      </c>
      <c r="D124" s="2936" t="s">
        <v>3137</v>
      </c>
      <c r="E124" s="2957">
        <v>0.1</v>
      </c>
      <c r="F124" s="2956">
        <v>15</v>
      </c>
    </row>
    <row r="125" spans="1:6" s="757" customFormat="1" ht="24">
      <c r="A125" s="2956">
        <v>53</v>
      </c>
      <c r="B125" s="3363"/>
      <c r="C125" s="2956" t="s">
        <v>3138</v>
      </c>
      <c r="D125" s="2936" t="s">
        <v>3139</v>
      </c>
      <c r="E125" s="2957">
        <v>0.1</v>
      </c>
      <c r="F125" s="2956">
        <v>15</v>
      </c>
    </row>
    <row r="126" spans="1:6" ht="24">
      <c r="A126" s="2956">
        <v>54</v>
      </c>
      <c r="B126" s="2956" t="s">
        <v>3140</v>
      </c>
      <c r="C126" s="2956" t="s">
        <v>3141</v>
      </c>
      <c r="D126" s="2936" t="s">
        <v>3142</v>
      </c>
      <c r="E126" s="2957">
        <v>0.1</v>
      </c>
      <c r="F126" s="2956">
        <v>15</v>
      </c>
    </row>
    <row r="127" spans="1:6" ht="13.5">
      <c r="A127" s="2956">
        <v>55</v>
      </c>
      <c r="B127" s="3363" t="s">
        <v>3143</v>
      </c>
      <c r="C127" s="2956" t="s">
        <v>3144</v>
      </c>
      <c r="D127" s="2936" t="s">
        <v>3145</v>
      </c>
      <c r="E127" s="2957">
        <v>0.1</v>
      </c>
      <c r="F127" s="2956">
        <v>15</v>
      </c>
    </row>
    <row r="128" spans="1:6" ht="13.5">
      <c r="A128" s="2956">
        <v>56</v>
      </c>
      <c r="B128" s="3363"/>
      <c r="C128" s="2956" t="s">
        <v>3146</v>
      </c>
      <c r="D128" s="2936" t="s">
        <v>3147</v>
      </c>
      <c r="E128" s="2957">
        <v>0.1</v>
      </c>
      <c r="F128" s="2956">
        <v>15</v>
      </c>
    </row>
    <row r="129" spans="1:6" ht="24">
      <c r="A129" s="2956">
        <v>57</v>
      </c>
      <c r="B129" s="3363"/>
      <c r="C129" s="2956" t="s">
        <v>3148</v>
      </c>
      <c r="D129" s="2936" t="s">
        <v>3149</v>
      </c>
      <c r="E129" s="2957">
        <v>0.1</v>
      </c>
      <c r="F129" s="2956">
        <v>15</v>
      </c>
    </row>
    <row r="130" spans="1:6" ht="24">
      <c r="A130" s="2956">
        <v>58</v>
      </c>
      <c r="B130" s="3363" t="s">
        <v>3150</v>
      </c>
      <c r="C130" s="2956" t="s">
        <v>3151</v>
      </c>
      <c r="D130" s="2936" t="s">
        <v>3152</v>
      </c>
      <c r="E130" s="2957">
        <v>0.1</v>
      </c>
      <c r="F130" s="2956">
        <v>15</v>
      </c>
    </row>
    <row r="131" spans="1:6" ht="24">
      <c r="A131" s="2956">
        <v>59</v>
      </c>
      <c r="B131" s="3363"/>
      <c r="C131" s="2956" t="s">
        <v>3153</v>
      </c>
      <c r="D131" s="2936" t="s">
        <v>3154</v>
      </c>
      <c r="E131" s="2957">
        <v>0.1</v>
      </c>
      <c r="F131" s="2956">
        <v>15</v>
      </c>
    </row>
    <row r="132" spans="1:6" ht="24">
      <c r="A132" s="2956">
        <v>60</v>
      </c>
      <c r="B132" s="3358" t="s">
        <v>3155</v>
      </c>
      <c r="C132" s="2956" t="s">
        <v>3156</v>
      </c>
      <c r="D132" s="2936" t="s">
        <v>3157</v>
      </c>
      <c r="E132" s="2957">
        <v>0.1</v>
      </c>
      <c r="F132" s="2956">
        <v>15</v>
      </c>
    </row>
    <row r="133" spans="1:6" ht="24">
      <c r="A133" s="2956">
        <v>61</v>
      </c>
      <c r="B133" s="3362"/>
      <c r="C133" s="2956" t="s">
        <v>3158</v>
      </c>
      <c r="D133" s="2936" t="s">
        <v>3159</v>
      </c>
      <c r="E133" s="2957">
        <v>0.1</v>
      </c>
      <c r="F133" s="2956">
        <v>15</v>
      </c>
    </row>
    <row r="134" spans="1:6" ht="24">
      <c r="A134" s="2956">
        <v>62</v>
      </c>
      <c r="B134" s="2956" t="s">
        <v>3160</v>
      </c>
      <c r="C134" s="2956" t="s">
        <v>3161</v>
      </c>
      <c r="D134" s="2936" t="s">
        <v>3162</v>
      </c>
      <c r="E134" s="2957">
        <v>0.1</v>
      </c>
      <c r="F134" s="2956">
        <v>15</v>
      </c>
    </row>
    <row r="135" spans="1:6" ht="24">
      <c r="A135" s="2956">
        <v>63</v>
      </c>
      <c r="B135" s="3363" t="s">
        <v>3163</v>
      </c>
      <c r="C135" s="2956" t="s">
        <v>3164</v>
      </c>
      <c r="D135" s="2936" t="s">
        <v>3165</v>
      </c>
      <c r="E135" s="2957">
        <v>0.1</v>
      </c>
      <c r="F135" s="2956">
        <v>15</v>
      </c>
    </row>
    <row r="136" spans="1:6" ht="13.5">
      <c r="A136" s="2956">
        <v>64</v>
      </c>
      <c r="B136" s="3363"/>
      <c r="C136" s="2956" t="s">
        <v>3166</v>
      </c>
      <c r="D136" s="2936" t="s">
        <v>3167</v>
      </c>
      <c r="E136" s="2957">
        <v>0.1</v>
      </c>
      <c r="F136" s="2956">
        <v>15</v>
      </c>
    </row>
    <row r="137" spans="1:6" ht="24">
      <c r="A137" s="2956">
        <v>65</v>
      </c>
      <c r="B137" s="2956" t="s">
        <v>3168</v>
      </c>
      <c r="C137" s="2956" t="s">
        <v>3169</v>
      </c>
      <c r="D137" s="2936" t="s">
        <v>3170</v>
      </c>
      <c r="E137" s="2957">
        <v>0.1</v>
      </c>
      <c r="F137" s="2956">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2580</v>
      </c>
      <c r="B1" s="7"/>
      <c r="C1" s="7"/>
      <c r="D1" s="7"/>
      <c r="E1" s="7"/>
      <c r="F1" s="2711"/>
      <c r="G1" s="2711"/>
      <c r="H1" s="2711"/>
      <c r="I1" s="2711"/>
      <c r="J1" s="2711"/>
      <c r="K1" s="2711"/>
      <c r="L1" s="2711"/>
      <c r="M1" s="2711"/>
      <c r="N1" s="2711"/>
      <c r="O1" s="2711"/>
      <c r="P1" s="2711"/>
    </row>
    <row r="2" spans="1:16" ht="15.75">
      <c r="A2" s="2139" t="s">
        <v>2572</v>
      </c>
      <c r="B2" s="2551" t="e">
        <f ca="1">SUMIF(B6:B13,"&lt;&gt;#ref!",B6:B13)</f>
        <v>#DIV/0!</v>
      </c>
      <c r="C2" s="2139" t="s">
        <v>2573</v>
      </c>
      <c r="D2" s="2139" t="s">
        <v>2574</v>
      </c>
      <c r="E2" s="2561">
        <f ca="1">SUMIF(E6:E13,"&lt;&gt;#ref!",E6:E13)</f>
        <v>0</v>
      </c>
      <c r="F2" s="2711"/>
      <c r="G2" s="2711"/>
      <c r="H2" s="2711"/>
      <c r="I2" s="2711"/>
      <c r="J2" s="2711"/>
      <c r="K2" s="2711"/>
      <c r="L2" s="2711"/>
      <c r="M2" s="2711"/>
      <c r="N2" s="2711"/>
      <c r="O2" s="2711"/>
      <c r="P2" s="2711"/>
    </row>
    <row r="3" spans="1:16" ht="15.75">
      <c r="A3" s="2139" t="s">
        <v>2575</v>
      </c>
      <c r="B3" s="2551" t="e">
        <f ca="1">ROUND(B2*10000/E2,0)</f>
        <v>#DIV/0!</v>
      </c>
      <c r="C3" s="2139" t="s">
        <v>2581</v>
      </c>
      <c r="D3" s="2711"/>
      <c r="E3" s="2711"/>
      <c r="F3" s="2711"/>
      <c r="G3" s="2711"/>
      <c r="H3" s="2711"/>
      <c r="I3" s="2711"/>
      <c r="J3" s="2711"/>
      <c r="K3" s="2711"/>
      <c r="L3" s="2711"/>
      <c r="M3" s="2711"/>
      <c r="N3" s="2711"/>
      <c r="O3" s="2711"/>
      <c r="P3" s="2711"/>
    </row>
    <row r="4" spans="1:16" ht="15.75">
      <c r="A4" s="2725"/>
      <c r="B4" s="2711"/>
      <c r="C4" s="2711"/>
      <c r="D4" s="2711"/>
      <c r="E4" s="2711"/>
      <c r="F4" s="2711"/>
      <c r="G4" s="2711"/>
      <c r="H4" s="2711"/>
      <c r="I4" s="2711"/>
      <c r="J4" s="2711"/>
      <c r="K4" s="2711"/>
      <c r="L4" s="2711"/>
      <c r="M4" s="2711"/>
      <c r="N4" s="2711"/>
      <c r="O4" s="2711"/>
      <c r="P4" s="2711"/>
    </row>
    <row r="5" spans="1:16" ht="28.5">
      <c r="A5" s="2557" t="s">
        <v>2576</v>
      </c>
      <c r="B5" s="2559" t="s">
        <v>2577</v>
      </c>
      <c r="C5" s="2140"/>
      <c r="D5" s="2711"/>
      <c r="E5" s="2560" t="s">
        <v>2578</v>
      </c>
      <c r="F5" s="2711"/>
      <c r="G5" s="2711"/>
      <c r="H5" s="2711"/>
      <c r="I5" s="2711"/>
      <c r="J5" s="2711"/>
      <c r="K5" s="2711"/>
      <c r="L5" s="2711"/>
      <c r="M5" s="2711"/>
      <c r="N5" s="2711"/>
      <c r="O5" s="2711"/>
      <c r="P5" s="2711"/>
    </row>
    <row r="6" spans="1:16" ht="15.75">
      <c r="A6" s="2558" t="s">
        <v>2579</v>
      </c>
      <c r="B6" s="2551" t="e">
        <f ca="1">SUMIF(INDIRECT("'"&amp;A6&amp;"'"&amp;"!A:A"),"总价",INDIRECT("'"&amp;A6&amp;"'"&amp;"!B:B"))</f>
        <v>#DIV/0!</v>
      </c>
      <c r="C6" s="2139" t="s">
        <v>2573</v>
      </c>
      <c r="D6" s="2711"/>
      <c r="E6" s="2561">
        <f ca="1">SUMIF(INDIRECT("'"&amp;A6&amp;"'"&amp;"!C:C"),"建筑面积",INDIRECT("'"&amp;A6&amp;"'"&amp;"!D:D"))</f>
        <v>0</v>
      </c>
      <c r="F6" s="2711"/>
      <c r="G6" s="2711"/>
      <c r="H6" s="2711"/>
      <c r="I6" s="2711"/>
      <c r="J6" s="2711"/>
      <c r="K6" s="2711"/>
      <c r="L6" s="2711"/>
      <c r="M6" s="2711"/>
      <c r="N6" s="2711"/>
      <c r="O6" s="2711"/>
      <c r="P6" s="2711"/>
    </row>
    <row r="7" spans="1:16" ht="15.75">
      <c r="A7" s="2558"/>
      <c r="B7" s="2551" t="e">
        <f ca="1">SUMIF(INDIRECT("'"&amp;A7&amp;"'"&amp;"!A:A"),"总价",INDIRECT("'"&amp;A7&amp;"'"&amp;"!B:B"))</f>
        <v>#REF!</v>
      </c>
      <c r="C7" s="2139" t="s">
        <v>2573</v>
      </c>
      <c r="D7" s="2711"/>
      <c r="E7" s="2561" t="e">
        <f t="shared" ref="E7:E13" ca="1" si="0">SUMIF(INDIRECT("'"&amp;A7&amp;"'"&amp;"!C:C"),"建筑面积",INDIRECT("'"&amp;A7&amp;"'"&amp;"!D:D"))</f>
        <v>#REF!</v>
      </c>
      <c r="F7" s="2711"/>
      <c r="G7" s="2711"/>
      <c r="H7" s="2711"/>
      <c r="I7" s="2711"/>
      <c r="J7" s="2711"/>
      <c r="K7" s="2711"/>
      <c r="L7" s="2711"/>
      <c r="M7" s="2711"/>
      <c r="N7" s="2711"/>
      <c r="O7" s="2711"/>
      <c r="P7" s="2711"/>
    </row>
    <row r="8" spans="1:16" ht="15.75">
      <c r="A8" s="2558"/>
      <c r="B8" s="2551" t="e">
        <f t="shared" ref="B8:B13" ca="1" si="1">SUMIF(INDIRECT("'"&amp;A8&amp;"'"&amp;"!A:A"),"总价",INDIRECT("'"&amp;A8&amp;"'"&amp;"!B:B"))</f>
        <v>#REF!</v>
      </c>
      <c r="C8" s="2139" t="s">
        <v>2573</v>
      </c>
      <c r="D8" s="2711"/>
      <c r="E8" s="2561" t="e">
        <f t="shared" ca="1" si="0"/>
        <v>#REF!</v>
      </c>
      <c r="F8" s="2711"/>
      <c r="G8" s="2711"/>
      <c r="H8" s="2711"/>
      <c r="I8" s="2711"/>
      <c r="J8" s="2711"/>
      <c r="K8" s="2711"/>
      <c r="L8" s="2711"/>
      <c r="M8" s="2711"/>
      <c r="N8" s="2711"/>
      <c r="O8" s="2711"/>
      <c r="P8" s="2711"/>
    </row>
    <row r="9" spans="1:16" ht="15.75">
      <c r="A9" s="2558"/>
      <c r="B9" s="2551" t="e">
        <f t="shared" ca="1" si="1"/>
        <v>#REF!</v>
      </c>
      <c r="C9" s="2139" t="s">
        <v>2573</v>
      </c>
      <c r="D9" s="2711"/>
      <c r="E9" s="2561" t="e">
        <f t="shared" ca="1" si="0"/>
        <v>#REF!</v>
      </c>
      <c r="F9" s="2711"/>
      <c r="G9" s="2711"/>
      <c r="H9" s="2711"/>
      <c r="I9" s="2711"/>
      <c r="J9" s="2711"/>
      <c r="K9" s="2711"/>
      <c r="L9" s="2711"/>
      <c r="M9" s="2711"/>
      <c r="N9" s="2711"/>
      <c r="O9" s="2711"/>
      <c r="P9" s="2711"/>
    </row>
    <row r="10" spans="1:16" ht="15.75">
      <c r="A10" s="2558"/>
      <c r="B10" s="2551" t="e">
        <f t="shared" ca="1" si="1"/>
        <v>#REF!</v>
      </c>
      <c r="C10" s="2139" t="s">
        <v>2573</v>
      </c>
      <c r="D10" s="2711"/>
      <c r="E10" s="2561" t="e">
        <f t="shared" ca="1" si="0"/>
        <v>#REF!</v>
      </c>
      <c r="F10" s="2711"/>
      <c r="G10" s="2711"/>
      <c r="H10" s="2711"/>
      <c r="I10" s="2711"/>
      <c r="J10" s="2711"/>
      <c r="K10" s="2711"/>
      <c r="L10" s="2711"/>
      <c r="M10" s="2711"/>
      <c r="N10" s="2711"/>
      <c r="O10" s="2711"/>
      <c r="P10" s="2711"/>
    </row>
    <row r="11" spans="1:16" ht="15.75">
      <c r="A11" s="2558"/>
      <c r="B11" s="2551" t="e">
        <f t="shared" ca="1" si="1"/>
        <v>#REF!</v>
      </c>
      <c r="C11" s="2139" t="s">
        <v>2573</v>
      </c>
      <c r="D11" s="2711"/>
      <c r="E11" s="2561" t="e">
        <f t="shared" ca="1" si="0"/>
        <v>#REF!</v>
      </c>
      <c r="F11" s="2711"/>
      <c r="G11" s="2711"/>
      <c r="H11" s="2711"/>
      <c r="I11" s="2711"/>
      <c r="J11" s="2711"/>
      <c r="K11" s="2711"/>
      <c r="L11" s="2711"/>
      <c r="M11" s="2711"/>
      <c r="N11" s="2711"/>
      <c r="O11" s="2711"/>
      <c r="P11" s="2711"/>
    </row>
    <row r="12" spans="1:16" ht="15.75">
      <c r="A12" s="2558"/>
      <c r="B12" s="2551" t="e">
        <f t="shared" ca="1" si="1"/>
        <v>#REF!</v>
      </c>
      <c r="C12" s="2139" t="s">
        <v>2573</v>
      </c>
      <c r="D12" s="2711"/>
      <c r="E12" s="2561" t="e">
        <f t="shared" ca="1" si="0"/>
        <v>#REF!</v>
      </c>
      <c r="F12" s="2711"/>
      <c r="G12" s="2711"/>
      <c r="H12" s="2711"/>
      <c r="I12" s="2711"/>
      <c r="J12" s="2711"/>
      <c r="K12" s="2711"/>
      <c r="L12" s="2711"/>
      <c r="M12" s="2711"/>
      <c r="N12" s="2711"/>
      <c r="O12" s="2711"/>
      <c r="P12" s="2711"/>
    </row>
    <row r="13" spans="1:16" ht="15.75">
      <c r="A13" s="2558"/>
      <c r="B13" s="2551" t="e">
        <f t="shared" ca="1" si="1"/>
        <v>#REF!</v>
      </c>
      <c r="C13" s="2139" t="s">
        <v>2573</v>
      </c>
      <c r="D13" s="2711"/>
      <c r="E13" s="2561"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tabColor rgb="FF92D050"/>
  </sheetPr>
  <dimension ref="A1:AH120"/>
  <sheetViews>
    <sheetView topLeftCell="D44" zoomScale="110" zoomScaleNormal="110" workbookViewId="0">
      <selection activeCell="T61" sqref="T61"/>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25" style="2184" customWidth="1"/>
    <col min="14" max="14" width="9" style="2218" customWidth="1"/>
    <col min="15" max="17" width="9" style="2184" customWidth="1"/>
    <col min="18" max="18" width="2.375" style="2184" customWidth="1"/>
    <col min="19" max="19" width="7.125" style="2218" customWidth="1"/>
    <col min="20" max="20" width="7.125" style="2276" customWidth="1"/>
    <col min="21"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369" t="s">
        <v>877</v>
      </c>
      <c r="C1" s="3369"/>
      <c r="D1" s="3369"/>
      <c r="E1" s="3369"/>
      <c r="F1" s="3369"/>
      <c r="G1" s="3365" t="s">
        <v>878</v>
      </c>
      <c r="H1" s="3365"/>
      <c r="I1" s="3365"/>
      <c r="J1" s="3365"/>
      <c r="K1" s="3365"/>
      <c r="L1" s="3365"/>
      <c r="N1" s="3365" t="s">
        <v>879</v>
      </c>
      <c r="O1" s="3365"/>
      <c r="P1" s="3365"/>
      <c r="Q1" s="3365"/>
      <c r="S1" s="3365" t="s">
        <v>880</v>
      </c>
      <c r="T1" s="3365"/>
      <c r="U1" s="3365"/>
      <c r="V1" s="3365"/>
      <c r="X1" s="3364" t="s">
        <v>881</v>
      </c>
      <c r="Y1" s="3365"/>
      <c r="Z1" s="3365"/>
      <c r="AA1" s="3365"/>
      <c r="AB1" s="3365"/>
      <c r="AD1" s="3364" t="s">
        <v>882</v>
      </c>
      <c r="AE1" s="3365"/>
      <c r="AF1" s="3365"/>
      <c r="AG1" s="3365"/>
      <c r="AH1" s="3365"/>
    </row>
    <row r="2" spans="1:34" s="2167" customFormat="1" ht="14.25" thickBot="1">
      <c r="B2" s="2168" t="s">
        <v>883</v>
      </c>
      <c r="C2" s="2168" t="s">
        <v>884</v>
      </c>
      <c r="D2" s="2169" t="s">
        <v>885</v>
      </c>
      <c r="E2" s="2169" t="s">
        <v>886</v>
      </c>
      <c r="F2" s="2168" t="s">
        <v>887</v>
      </c>
      <c r="G2" s="2170"/>
      <c r="I2" s="2168" t="s">
        <v>883</v>
      </c>
      <c r="J2" s="2169" t="s">
        <v>1108</v>
      </c>
      <c r="K2" s="2169" t="s">
        <v>572</v>
      </c>
      <c r="L2" s="2168" t="s">
        <v>887</v>
      </c>
      <c r="N2" s="2168" t="s">
        <v>883</v>
      </c>
      <c r="O2" s="2169" t="s">
        <v>1108</v>
      </c>
      <c r="P2" s="2169" t="s">
        <v>572</v>
      </c>
      <c r="Q2" s="2168" t="s">
        <v>887</v>
      </c>
      <c r="S2" s="2168" t="s">
        <v>883</v>
      </c>
      <c r="T2" s="2984" t="s">
        <v>1108</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2613</v>
      </c>
      <c r="B3" s="2172"/>
      <c r="C3" s="2172"/>
      <c r="D3" s="2173"/>
      <c r="E3" s="2173"/>
      <c r="F3" s="2172"/>
      <c r="G3" s="2174"/>
      <c r="I3" s="2176">
        <f>ROUND(AVERAGE($I4:$I37),2)</f>
        <v>1.64</v>
      </c>
      <c r="J3" s="2176">
        <f>ROUND(AVERAGE($J4:$J37),2)</f>
        <v>1.03</v>
      </c>
      <c r="K3" s="2176">
        <f>ROUND(AVERAGE($K4:$K37),2)</f>
        <v>1.81</v>
      </c>
      <c r="L3" s="2176">
        <f>ROUND(AVERAGE($L4:$L37),2)</f>
        <v>1.2</v>
      </c>
      <c r="N3" s="2174"/>
      <c r="S3" s="2174"/>
      <c r="T3" s="2985"/>
      <c r="W3" s="2177"/>
      <c r="X3" s="2178">
        <f>ROUND(SUMPRODUCT(PRODUCT(1+N3:N$36)),4)</f>
        <v>1.6585000000000001</v>
      </c>
      <c r="Y3" s="2178">
        <f>ROUND(SUMPRODUCT(PRODUCT(1+O3:O$36)),4)</f>
        <v>1.3676999999999999</v>
      </c>
      <c r="Z3" s="2178">
        <f>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T4" s="2986"/>
      <c r="X4" s="2184"/>
      <c r="Y4" s="2184"/>
      <c r="Z4" s="2184"/>
      <c r="AA4" s="2184"/>
      <c r="AB4" s="2184"/>
      <c r="AD4" s="2185"/>
      <c r="AE4" s="2185"/>
      <c r="AF4" s="2185"/>
      <c r="AG4" s="2185"/>
      <c r="AH4" s="2185"/>
    </row>
    <row r="5" spans="1:34" s="2191" customFormat="1">
      <c r="A5" s="2186" t="s">
        <v>2938</v>
      </c>
      <c r="B5" s="2187">
        <f t="shared" ref="B5:B21" si="0">B6*(1+N5)</f>
        <v>510.07089659554606</v>
      </c>
      <c r="C5" s="2187">
        <f t="shared" ref="C5:C21" si="1">C6*(1+O5)</f>
        <v>352.55593185737411</v>
      </c>
      <c r="D5" s="2187">
        <f t="shared" ref="D5:D26" si="2">C5</f>
        <v>352.55593185737411</v>
      </c>
      <c r="E5" s="2187">
        <f t="shared" ref="E5:E21" si="3">E6*(1+P5)</f>
        <v>737.27992463403655</v>
      </c>
      <c r="F5" s="2187">
        <f t="shared" ref="F5:F21" si="4">F6*(1+Q5)</f>
        <v>335.88319198297864</v>
      </c>
      <c r="G5" s="2188">
        <v>2022</v>
      </c>
      <c r="H5" s="2189">
        <v>1</v>
      </c>
      <c r="I5" s="2190">
        <v>0</v>
      </c>
      <c r="J5" s="2190">
        <v>0</v>
      </c>
      <c r="K5" s="2190">
        <v>0</v>
      </c>
      <c r="L5" s="2190">
        <v>0</v>
      </c>
      <c r="N5" s="2192">
        <f t="shared" ref="N5:N13" si="5">I5/100</f>
        <v>0</v>
      </c>
      <c r="O5" s="2192">
        <f t="shared" ref="O5:O13" si="6">J5/100</f>
        <v>0</v>
      </c>
      <c r="P5" s="2192">
        <f t="shared" ref="P5:P13" si="7">K5/100</f>
        <v>0</v>
      </c>
      <c r="Q5" s="2192">
        <f t="shared" ref="Q5:Q13" si="8">L5/100</f>
        <v>0</v>
      </c>
      <c r="S5" s="2193"/>
      <c r="T5" s="2987"/>
      <c r="W5" s="2194" t="s">
        <v>2614</v>
      </c>
      <c r="X5" s="2195">
        <f>ROUND(IF(项目基本情况!B1="出让",SUMPRODUCT(PRODUCT(1+N5:N$37)),SUMPRODUCT(PRODUCT(1+N5:N$36))),4)</f>
        <v>1.6585000000000001</v>
      </c>
      <c r="Y5" s="2195">
        <f>ROUND(IF(项目基本情况!B1="出让",SUMPRODUCT(PRODUCT(1+O5:O$37)),SUMPRODUCT(PRODUCT(1+O5:O$36))),4)</f>
        <v>1.3676999999999999</v>
      </c>
      <c r="Z5" s="2195">
        <f t="shared" ref="Z5:Z36" si="9">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AF37" si="10">AE5</f>
        <v>1.03E-2</v>
      </c>
      <c r="AG5" s="2196">
        <f>ROUND(AVERAGE(K5:K$37)/100,4)</f>
        <v>1.8100000000000002E-2</v>
      </c>
      <c r="AH5" s="2196">
        <f>ROUND(AVERAGE(L5:L$37)/100,4)</f>
        <v>1.2E-2</v>
      </c>
    </row>
    <row r="6" spans="1:34" s="2202" customFormat="1">
      <c r="A6" s="2197" t="s">
        <v>2937</v>
      </c>
      <c r="B6" s="2198">
        <f t="shared" si="0"/>
        <v>510.07089659554606</v>
      </c>
      <c r="C6" s="2198">
        <f t="shared" si="1"/>
        <v>352.55593185737411</v>
      </c>
      <c r="D6" s="2198">
        <f t="shared" si="2"/>
        <v>352.55593185737411</v>
      </c>
      <c r="E6" s="2198">
        <f t="shared" si="3"/>
        <v>737.27992463403655</v>
      </c>
      <c r="F6" s="2198">
        <f t="shared" si="4"/>
        <v>335.88319198297864</v>
      </c>
      <c r="G6" s="2188">
        <v>2021</v>
      </c>
      <c r="H6" s="2199">
        <v>4</v>
      </c>
      <c r="I6" s="2164">
        <v>1.03</v>
      </c>
      <c r="J6" s="2164">
        <v>0.24</v>
      </c>
      <c r="K6" s="2164">
        <v>1.17</v>
      </c>
      <c r="L6" s="2165">
        <v>0.55000000000000004</v>
      </c>
      <c r="M6" s="2184"/>
      <c r="N6" s="2200">
        <f t="shared" si="5"/>
        <v>1.03E-2</v>
      </c>
      <c r="O6" s="2185">
        <f t="shared" si="6"/>
        <v>2.3999999999999998E-3</v>
      </c>
      <c r="P6" s="2185">
        <f t="shared" si="7"/>
        <v>1.1699999999999999E-2</v>
      </c>
      <c r="Q6" s="2185">
        <f t="shared" si="8"/>
        <v>5.5000000000000005E-3</v>
      </c>
      <c r="R6" s="2201"/>
      <c r="S6" s="2200"/>
      <c r="T6" s="2988"/>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si="9"/>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si="10"/>
        <v>1.06E-2</v>
      </c>
      <c r="AG6" s="2185">
        <f>ROUND(AVERAGE(K6:K$37)/100,4)</f>
        <v>1.8700000000000001E-2</v>
      </c>
      <c r="AH6" s="2185">
        <f>ROUND(AVERAGE(L6:L$37)/100,4)</f>
        <v>1.24E-2</v>
      </c>
    </row>
    <row r="7" spans="1:34" s="2202" customFormat="1">
      <c r="A7" s="2197" t="s">
        <v>2814</v>
      </c>
      <c r="B7" s="2198">
        <f t="shared" si="0"/>
        <v>504.87072809615569</v>
      </c>
      <c r="C7" s="2198">
        <f t="shared" si="1"/>
        <v>351.71182348101968</v>
      </c>
      <c r="D7" s="2198">
        <f t="shared" si="2"/>
        <v>351.71182348101968</v>
      </c>
      <c r="E7" s="2198">
        <f t="shared" si="3"/>
        <v>728.75350858360832</v>
      </c>
      <c r="F7" s="2198">
        <f t="shared" si="4"/>
        <v>334.04593931673656</v>
      </c>
      <c r="G7" s="2188">
        <v>2021</v>
      </c>
      <c r="H7" s="2199">
        <v>3</v>
      </c>
      <c r="I7" s="2164">
        <v>0.47</v>
      </c>
      <c r="J7" s="2164">
        <v>0.41</v>
      </c>
      <c r="K7" s="2164">
        <v>0.48</v>
      </c>
      <c r="L7" s="2165">
        <v>0.48</v>
      </c>
      <c r="M7" s="2184"/>
      <c r="N7" s="2200">
        <f t="shared" si="5"/>
        <v>4.6999999999999993E-3</v>
      </c>
      <c r="O7" s="2185">
        <f t="shared" si="6"/>
        <v>4.0999999999999995E-3</v>
      </c>
      <c r="P7" s="2185">
        <f t="shared" si="7"/>
        <v>4.7999999999999996E-3</v>
      </c>
      <c r="Q7" s="2185">
        <f t="shared" si="8"/>
        <v>4.7999999999999996E-3</v>
      </c>
      <c r="R7" s="2201"/>
      <c r="S7" s="2200"/>
      <c r="T7" s="2988"/>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si="9"/>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si="10"/>
        <v>1.09E-2</v>
      </c>
      <c r="AG7" s="2185">
        <f>ROUND(AVERAGE(K7:K$37)/100,4)</f>
        <v>1.89E-2</v>
      </c>
      <c r="AH7" s="2185">
        <f>ROUND(AVERAGE(L7:L$37)/100,4)</f>
        <v>1.26E-2</v>
      </c>
    </row>
    <row r="8" spans="1:34" s="2202" customFormat="1">
      <c r="A8" s="2197" t="s">
        <v>2813</v>
      </c>
      <c r="B8" s="2198">
        <f t="shared" si="0"/>
        <v>502.50893609650217</v>
      </c>
      <c r="C8" s="2198">
        <f t="shared" si="1"/>
        <v>350.27569313914915</v>
      </c>
      <c r="D8" s="2198">
        <f t="shared" si="2"/>
        <v>350.27569313914915</v>
      </c>
      <c r="E8" s="2198">
        <f t="shared" si="3"/>
        <v>725.27220201394141</v>
      </c>
      <c r="F8" s="2198">
        <f t="shared" si="4"/>
        <v>332.45017846012797</v>
      </c>
      <c r="G8" s="2188">
        <v>2021</v>
      </c>
      <c r="H8" s="2199">
        <v>2</v>
      </c>
      <c r="I8" s="2164">
        <v>0.92</v>
      </c>
      <c r="J8" s="2164">
        <v>0.72</v>
      </c>
      <c r="K8" s="2164">
        <v>0.95</v>
      </c>
      <c r="L8" s="2165">
        <v>1.01</v>
      </c>
      <c r="M8" s="2184"/>
      <c r="N8" s="2200">
        <f t="shared" si="5"/>
        <v>9.1999999999999998E-3</v>
      </c>
      <c r="O8" s="2185">
        <f t="shared" si="6"/>
        <v>7.1999999999999998E-3</v>
      </c>
      <c r="P8" s="2185">
        <f t="shared" si="7"/>
        <v>9.4999999999999998E-3</v>
      </c>
      <c r="Q8" s="2185">
        <f t="shared" si="8"/>
        <v>1.01E-2</v>
      </c>
      <c r="R8" s="2201"/>
      <c r="S8" s="2200"/>
      <c r="T8" s="2988"/>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si="9"/>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si="10"/>
        <v>1.11E-2</v>
      </c>
      <c r="AG8" s="2185">
        <f>ROUND(AVERAGE(K8:K$37)/100,4)</f>
        <v>1.9400000000000001E-2</v>
      </c>
      <c r="AH8" s="2185">
        <f>ROUND(AVERAGE(L8:L$37)/100,4)</f>
        <v>1.2800000000000001E-2</v>
      </c>
    </row>
    <row r="9" spans="1:34" s="2202" customFormat="1">
      <c r="A9" s="2197" t="s">
        <v>2812</v>
      </c>
      <c r="B9" s="2198">
        <f t="shared" si="0"/>
        <v>497.92799851020823</v>
      </c>
      <c r="C9" s="2198">
        <f t="shared" si="1"/>
        <v>347.77173663537445</v>
      </c>
      <c r="D9" s="2198">
        <f t="shared" si="2"/>
        <v>347.77173663537445</v>
      </c>
      <c r="E9" s="2198">
        <f t="shared" si="3"/>
        <v>718.44695593258189</v>
      </c>
      <c r="F9" s="2198">
        <f t="shared" si="4"/>
        <v>329.12600580153247</v>
      </c>
      <c r="G9" s="2188">
        <v>2021</v>
      </c>
      <c r="H9" s="2199">
        <v>1</v>
      </c>
      <c r="I9" s="2164">
        <v>0.97</v>
      </c>
      <c r="J9" s="2164">
        <v>0.16</v>
      </c>
      <c r="K9" s="2164">
        <v>1.1100000000000001</v>
      </c>
      <c r="L9" s="2165">
        <v>0.36</v>
      </c>
      <c r="M9" s="2184"/>
      <c r="N9" s="2200">
        <f t="shared" si="5"/>
        <v>9.7000000000000003E-3</v>
      </c>
      <c r="O9" s="2185">
        <f t="shared" si="6"/>
        <v>1.6000000000000001E-3</v>
      </c>
      <c r="P9" s="2185">
        <f t="shared" si="7"/>
        <v>1.11E-2</v>
      </c>
      <c r="Q9" s="2185">
        <f t="shared" si="8"/>
        <v>3.5999999999999999E-3</v>
      </c>
      <c r="R9" s="2201"/>
      <c r="S9" s="2200">
        <f>B9/B10-1</f>
        <v>9.7000000000000419E-3</v>
      </c>
      <c r="T9" s="2988">
        <f>C9/C10-1</f>
        <v>1.6000000000000458E-3</v>
      </c>
      <c r="U9" s="2185">
        <f>D9/D10-1</f>
        <v>1.6000000000000458E-3</v>
      </c>
      <c r="V9" s="2185">
        <f>E9/E10-1</f>
        <v>1.110000000000011E-2</v>
      </c>
      <c r="W9" s="2184"/>
      <c r="X9" s="2184">
        <f>ROUND(IF(项目基本情况!B5="出让",SUMPRODUCT(PRODUCT(1+N9:N$37)),SUMPRODUCT(PRODUCT(1+N9:N$36))),4)</f>
        <v>1.619</v>
      </c>
      <c r="Y9" s="2184">
        <f>ROUND(IF(项目基本情况!B5="出让",SUMPRODUCT(PRODUCT(1+O9:O$37)),SUMPRODUCT(PRODUCT(1+O9:O$36))),4)</f>
        <v>1.3491</v>
      </c>
      <c r="Z9" s="2184">
        <f t="shared" si="9"/>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si="10"/>
        <v>1.12E-2</v>
      </c>
      <c r="AG9" s="2185">
        <f>ROUND(AVERAGE(K9:K$37)/100,4)</f>
        <v>1.9699999999999999E-2</v>
      </c>
      <c r="AH9" s="2185">
        <f>ROUND(AVERAGE(L9:L$37)/100,4)</f>
        <v>1.29E-2</v>
      </c>
    </row>
    <row r="10" spans="1:34" s="2202" customFormat="1">
      <c r="A10" s="2197" t="s">
        <v>2810</v>
      </c>
      <c r="B10" s="2198">
        <f t="shared" si="0"/>
        <v>493.14449689037161</v>
      </c>
      <c r="C10" s="2198">
        <f t="shared" si="1"/>
        <v>347.21619073020611</v>
      </c>
      <c r="D10" s="2198">
        <f t="shared" si="2"/>
        <v>347.21619073020611</v>
      </c>
      <c r="E10" s="2198">
        <f t="shared" si="3"/>
        <v>710.55974278763904</v>
      </c>
      <c r="F10" s="2198">
        <f t="shared" si="4"/>
        <v>327.94540235306141</v>
      </c>
      <c r="G10" s="2188">
        <v>2020</v>
      </c>
      <c r="H10" s="2199">
        <v>4</v>
      </c>
      <c r="I10" s="2164">
        <v>2.0699999999999998</v>
      </c>
      <c r="J10" s="2164">
        <v>0.37</v>
      </c>
      <c r="K10" s="2164">
        <v>2.35</v>
      </c>
      <c r="L10" s="2165">
        <v>2.69</v>
      </c>
      <c r="M10" s="2184"/>
      <c r="N10" s="2200">
        <f t="shared" si="5"/>
        <v>2.07E-2</v>
      </c>
      <c r="O10" s="2185">
        <f t="shared" si="6"/>
        <v>3.7000000000000002E-3</v>
      </c>
      <c r="P10" s="2185">
        <f t="shared" si="7"/>
        <v>2.35E-2</v>
      </c>
      <c r="Q10" s="2185">
        <f t="shared" si="8"/>
        <v>2.69E-2</v>
      </c>
      <c r="R10" s="2201"/>
      <c r="S10" s="2200"/>
      <c r="T10" s="2988"/>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si="9"/>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si="10"/>
        <v>1.1599999999999999E-2</v>
      </c>
      <c r="AG10" s="2185">
        <f>ROUND(AVERAGE(K10:K$37)/100,4)</f>
        <v>0.02</v>
      </c>
      <c r="AH10" s="2185">
        <f>ROUND(AVERAGE(L10:L$37)/100,4)</f>
        <v>1.3299999999999999E-2</v>
      </c>
    </row>
    <row r="11" spans="1:34" s="2202" customFormat="1">
      <c r="A11" s="2197" t="s">
        <v>2809</v>
      </c>
      <c r="B11" s="2198">
        <f t="shared" si="0"/>
        <v>483.1434279321756</v>
      </c>
      <c r="C11" s="2198">
        <f t="shared" si="1"/>
        <v>345.93622669144776</v>
      </c>
      <c r="D11" s="2198">
        <f t="shared" si="2"/>
        <v>345.93622669144776</v>
      </c>
      <c r="E11" s="2198">
        <f t="shared" si="3"/>
        <v>694.24498562544113</v>
      </c>
      <c r="F11" s="2198">
        <f t="shared" si="4"/>
        <v>319.35475932716082</v>
      </c>
      <c r="G11" s="2188">
        <v>2020</v>
      </c>
      <c r="H11" s="2199">
        <v>3</v>
      </c>
      <c r="I11" s="2164">
        <v>0.36</v>
      </c>
      <c r="J11" s="2164">
        <v>-0.39</v>
      </c>
      <c r="K11" s="2164">
        <v>0.49</v>
      </c>
      <c r="L11" s="2165">
        <v>7.0000000000000007E-2</v>
      </c>
      <c r="M11" s="2184"/>
      <c r="N11" s="2200">
        <f t="shared" si="5"/>
        <v>3.5999999999999999E-3</v>
      </c>
      <c r="O11" s="2185">
        <f t="shared" si="6"/>
        <v>-3.9000000000000003E-3</v>
      </c>
      <c r="P11" s="2185">
        <f t="shared" si="7"/>
        <v>4.8999999999999998E-3</v>
      </c>
      <c r="Q11" s="2185">
        <f t="shared" si="8"/>
        <v>7.000000000000001E-4</v>
      </c>
      <c r="R11" s="2201"/>
      <c r="S11" s="2200"/>
      <c r="T11" s="2988"/>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si="9"/>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si="10"/>
        <v>1.1900000000000001E-2</v>
      </c>
      <c r="AG11" s="2185">
        <f>ROUND(AVERAGE(K11:K$37)/100,4)</f>
        <v>1.9900000000000001E-2</v>
      </c>
      <c r="AH11" s="2185">
        <f>ROUND(AVERAGE(L11:L$37)/100,4)</f>
        <v>1.2800000000000001E-2</v>
      </c>
    </row>
    <row r="12" spans="1:34" s="2202" customFormat="1">
      <c r="A12" s="2197" t="s">
        <v>2630</v>
      </c>
      <c r="B12" s="2198">
        <f t="shared" si="0"/>
        <v>481.4103506697644</v>
      </c>
      <c r="C12" s="2198">
        <f t="shared" si="1"/>
        <v>347.29066026648707</v>
      </c>
      <c r="D12" s="2198">
        <f t="shared" si="2"/>
        <v>347.29066026648707</v>
      </c>
      <c r="E12" s="2198">
        <f t="shared" si="3"/>
        <v>690.85977273901995</v>
      </c>
      <c r="F12" s="2198">
        <f t="shared" si="4"/>
        <v>319.13136737000184</v>
      </c>
      <c r="G12" s="2188">
        <v>2020</v>
      </c>
      <c r="H12" s="2199">
        <v>2</v>
      </c>
      <c r="I12" s="2164">
        <v>0.31</v>
      </c>
      <c r="J12" s="2164">
        <v>-0.78</v>
      </c>
      <c r="K12" s="2164">
        <v>0.5</v>
      </c>
      <c r="L12" s="2165">
        <v>0.47</v>
      </c>
      <c r="M12" s="2184"/>
      <c r="N12" s="2200">
        <f t="shared" si="5"/>
        <v>3.0999999999999999E-3</v>
      </c>
      <c r="O12" s="2185">
        <f t="shared" si="6"/>
        <v>-7.8000000000000005E-3</v>
      </c>
      <c r="P12" s="2185">
        <f t="shared" si="7"/>
        <v>5.0000000000000001E-3</v>
      </c>
      <c r="Q12" s="2185">
        <f t="shared" si="8"/>
        <v>4.6999999999999993E-3</v>
      </c>
      <c r="R12" s="2201"/>
      <c r="S12" s="2200"/>
      <c r="T12" s="2988"/>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si="9"/>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si="10"/>
        <v>1.2500000000000001E-2</v>
      </c>
      <c r="AG12" s="2185">
        <f>ROUND(AVERAGE(K12:K$37)/100,4)</f>
        <v>2.0400000000000001E-2</v>
      </c>
      <c r="AH12" s="2185">
        <f>ROUND(AVERAGE(L12:L$37)/100,4)</f>
        <v>1.32E-2</v>
      </c>
    </row>
    <row r="13" spans="1:34" s="2202" customFormat="1">
      <c r="A13" s="2197" t="s">
        <v>2628</v>
      </c>
      <c r="B13" s="2198">
        <f t="shared" si="0"/>
        <v>479.92259063878413</v>
      </c>
      <c r="C13" s="2198">
        <f t="shared" si="1"/>
        <v>350.02082268341775</v>
      </c>
      <c r="D13" s="2198">
        <f t="shared" si="2"/>
        <v>350.02082268341775</v>
      </c>
      <c r="E13" s="2198">
        <f t="shared" si="3"/>
        <v>687.42265944181099</v>
      </c>
      <c r="F13" s="2198">
        <f t="shared" si="4"/>
        <v>317.63846657708956</v>
      </c>
      <c r="G13" s="2188">
        <v>2020</v>
      </c>
      <c r="H13" s="2199">
        <v>1</v>
      </c>
      <c r="I13" s="2164">
        <v>0.12</v>
      </c>
      <c r="J13" s="2164">
        <v>-0.4</v>
      </c>
      <c r="K13" s="2164">
        <v>0.21</v>
      </c>
      <c r="L13" s="2165">
        <v>0.27</v>
      </c>
      <c r="M13" s="2184"/>
      <c r="N13" s="2200">
        <f t="shared" si="5"/>
        <v>1.1999999999999999E-3</v>
      </c>
      <c r="O13" s="2185">
        <f t="shared" si="6"/>
        <v>-4.0000000000000001E-3</v>
      </c>
      <c r="P13" s="2185">
        <f t="shared" si="7"/>
        <v>2.0999999999999999E-3</v>
      </c>
      <c r="Q13" s="2185">
        <f t="shared" si="8"/>
        <v>2.7000000000000001E-3</v>
      </c>
      <c r="R13" s="2201"/>
      <c r="S13" s="2200">
        <f>B13/B14-1</f>
        <v>1.2000000000000899E-3</v>
      </c>
      <c r="T13" s="2988">
        <f>C13/C14-1</f>
        <v>-4.0000000000000036E-3</v>
      </c>
      <c r="U13" s="2185">
        <f>D13/D14-1</f>
        <v>-4.0000000000000036E-3</v>
      </c>
      <c r="V13" s="2185">
        <f>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si="9"/>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si="10"/>
        <v>1.3299999999999999E-2</v>
      </c>
      <c r="AG13" s="2185">
        <f>ROUND(AVERAGE(K13:K$37)/100,4)</f>
        <v>2.1100000000000001E-2</v>
      </c>
      <c r="AH13" s="2185">
        <f>ROUND(AVERAGE(L13:L$37)/100,4)</f>
        <v>1.3599999999999999E-2</v>
      </c>
    </row>
    <row r="14" spans="1:34" s="2202" customFormat="1">
      <c r="A14" s="2197" t="s">
        <v>2627</v>
      </c>
      <c r="B14" s="2198">
        <f t="shared" si="0"/>
        <v>479.34737379023579</v>
      </c>
      <c r="C14" s="2198">
        <f t="shared" si="1"/>
        <v>351.4265287986122</v>
      </c>
      <c r="D14" s="2198">
        <f t="shared" si="2"/>
        <v>351.4265287986122</v>
      </c>
      <c r="E14" s="2198">
        <f t="shared" si="3"/>
        <v>685.98209703803116</v>
      </c>
      <c r="F14" s="2198">
        <f t="shared" si="4"/>
        <v>316.78315206651001</v>
      </c>
      <c r="G14" s="2188">
        <v>2019</v>
      </c>
      <c r="H14" s="2199">
        <v>4</v>
      </c>
      <c r="I14" s="2199">
        <v>0.45</v>
      </c>
      <c r="J14" s="2199">
        <v>-0.12</v>
      </c>
      <c r="K14" s="2199">
        <v>0.54</v>
      </c>
      <c r="L14" s="2203">
        <v>0.48</v>
      </c>
      <c r="M14" s="2184"/>
      <c r="N14" s="2200">
        <f t="shared" ref="N14:N19" si="11">I14/100</f>
        <v>4.5000000000000005E-3</v>
      </c>
      <c r="O14" s="2185">
        <f t="shared" ref="O14:O24" si="12">J14/100</f>
        <v>-1.1999999999999999E-3</v>
      </c>
      <c r="P14" s="2185">
        <f t="shared" ref="P14:P24" si="13">K14/100</f>
        <v>5.4000000000000003E-3</v>
      </c>
      <c r="Q14" s="2185">
        <f t="shared" ref="Q14:Q24" si="14">L14/100</f>
        <v>4.7999999999999996E-3</v>
      </c>
      <c r="R14" s="2201"/>
      <c r="S14" s="2200"/>
      <c r="T14" s="2988"/>
      <c r="U14" s="2185"/>
      <c r="V14" s="2185"/>
      <c r="W14" s="2184"/>
      <c r="X14" s="2184">
        <f>ROUND(IF(项目基本情况!B8="出让",SUMPRODUCT(PRODUCT(1+N14:N$37)),SUMPRODUCT(PRODUCT(1+N14:N$36))),4)</f>
        <v>1.5586</v>
      </c>
      <c r="Y14" s="2184">
        <f>ROUND(IF(项目基本情况!B8="出让",SUMPRODUCT(PRODUCT(1+O14:O$37)),SUMPRODUCT(PRODUCT(1+O14:O$36))),4)</f>
        <v>1.3633</v>
      </c>
      <c r="Z14" s="2184">
        <f t="shared" si="9"/>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si="10"/>
        <v>1.4E-2</v>
      </c>
      <c r="AG14" s="2185">
        <f>ROUND(AVERAGE(K14:K$37)/100,4)</f>
        <v>2.1899999999999999E-2</v>
      </c>
      <c r="AH14" s="2185">
        <f>ROUND(AVERAGE(L14:L$37)/100,4)</f>
        <v>1.4E-2</v>
      </c>
    </row>
    <row r="15" spans="1:34" s="2202" customFormat="1" ht="13.5" thickBot="1">
      <c r="A15" s="2197" t="s">
        <v>2626</v>
      </c>
      <c r="B15" s="2198">
        <f t="shared" si="0"/>
        <v>477.19997390765138</v>
      </c>
      <c r="C15" s="2198">
        <f t="shared" si="1"/>
        <v>351.84874729536665</v>
      </c>
      <c r="D15" s="2198">
        <f t="shared" si="2"/>
        <v>351.84874729536665</v>
      </c>
      <c r="E15" s="2198">
        <f t="shared" si="3"/>
        <v>682.29768951465201</v>
      </c>
      <c r="F15" s="2198">
        <f t="shared" si="4"/>
        <v>315.26985675409043</v>
      </c>
      <c r="G15" s="2188">
        <v>2019</v>
      </c>
      <c r="H15" s="2199">
        <v>3</v>
      </c>
      <c r="I15" s="2199">
        <v>0.61</v>
      </c>
      <c r="J15" s="2199">
        <v>0.67</v>
      </c>
      <c r="K15" s="2199">
        <v>0.6</v>
      </c>
      <c r="L15" s="2203">
        <v>1.03</v>
      </c>
      <c r="M15" s="2184"/>
      <c r="N15" s="2200">
        <f t="shared" si="11"/>
        <v>6.0999999999999995E-3</v>
      </c>
      <c r="O15" s="2185">
        <f t="shared" si="12"/>
        <v>6.7000000000000002E-3</v>
      </c>
      <c r="P15" s="2185">
        <f t="shared" si="13"/>
        <v>6.0000000000000001E-3</v>
      </c>
      <c r="Q15" s="2185">
        <f t="shared" si="14"/>
        <v>1.03E-2</v>
      </c>
      <c r="R15" s="2201"/>
      <c r="S15" s="2200"/>
      <c r="T15" s="2988"/>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si="9"/>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si="10"/>
        <v>1.47E-2</v>
      </c>
      <c r="AG15" s="2185">
        <f>ROUND(AVERAGE(K15:K$37)/100,4)</f>
        <v>2.2599999999999999E-2</v>
      </c>
      <c r="AH15" s="2185">
        <f>ROUND(AVERAGE(L15:L$37)/100,4)</f>
        <v>1.44E-2</v>
      </c>
    </row>
    <row r="16" spans="1:34" s="2202" customFormat="1">
      <c r="A16" s="2197" t="s">
        <v>2624</v>
      </c>
      <c r="B16" s="2198">
        <f t="shared" si="0"/>
        <v>474.30670301923408</v>
      </c>
      <c r="C16" s="2198">
        <f t="shared" si="1"/>
        <v>349.50705005996491</v>
      </c>
      <c r="D16" s="2198">
        <f t="shared" si="2"/>
        <v>349.50705005996491</v>
      </c>
      <c r="E16" s="2198">
        <f t="shared" si="3"/>
        <v>678.22831959706957</v>
      </c>
      <c r="F16" s="2198">
        <f t="shared" si="4"/>
        <v>312.0556832169558</v>
      </c>
      <c r="G16" s="2188">
        <v>2019</v>
      </c>
      <c r="H16" s="2204">
        <v>2</v>
      </c>
      <c r="I16" s="2204">
        <v>1.53</v>
      </c>
      <c r="J16" s="2204">
        <v>1.01</v>
      </c>
      <c r="K16" s="2204">
        <v>1.62</v>
      </c>
      <c r="L16" s="2205">
        <v>1.25</v>
      </c>
      <c r="M16" s="2184"/>
      <c r="N16" s="2200">
        <f t="shared" si="11"/>
        <v>1.5300000000000001E-2</v>
      </c>
      <c r="O16" s="2185">
        <f t="shared" si="12"/>
        <v>1.01E-2</v>
      </c>
      <c r="P16" s="2185">
        <f t="shared" si="13"/>
        <v>1.6200000000000003E-2</v>
      </c>
      <c r="Q16" s="2185">
        <f t="shared" si="14"/>
        <v>1.2500000000000001E-2</v>
      </c>
      <c r="R16" s="2201"/>
      <c r="S16" s="2200"/>
      <c r="T16" s="2988"/>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si="9"/>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si="10"/>
        <v>1.4999999999999999E-2</v>
      </c>
      <c r="AG16" s="2185">
        <f>ROUND(AVERAGE(K16:K$37)/100,4)</f>
        <v>2.3300000000000001E-2</v>
      </c>
      <c r="AH16" s="2185">
        <f>ROUND(AVERAGE(L16:L$37)/100,4)</f>
        <v>1.46E-2</v>
      </c>
    </row>
    <row r="17" spans="1:34" s="2202" customFormat="1" ht="13.5" thickBot="1">
      <c r="A17" s="2197" t="s">
        <v>2622</v>
      </c>
      <c r="B17" s="2198">
        <f t="shared" si="0"/>
        <v>467.15916775261894</v>
      </c>
      <c r="C17" s="2198">
        <f t="shared" si="1"/>
        <v>346.01232557169084</v>
      </c>
      <c r="D17" s="2198">
        <f t="shared" si="2"/>
        <v>346.01232557169084</v>
      </c>
      <c r="E17" s="2198">
        <f t="shared" si="3"/>
        <v>667.41617752122568</v>
      </c>
      <c r="F17" s="2198">
        <f t="shared" si="4"/>
        <v>308.20314391798104</v>
      </c>
      <c r="G17" s="2188">
        <v>2019</v>
      </c>
      <c r="H17" s="2199">
        <v>1</v>
      </c>
      <c r="I17" s="2199">
        <v>0.6</v>
      </c>
      <c r="J17" s="2199">
        <v>0.37</v>
      </c>
      <c r="K17" s="2199">
        <v>0.63</v>
      </c>
      <c r="L17" s="2203">
        <v>1.1299999999999999</v>
      </c>
      <c r="M17" s="2184"/>
      <c r="N17" s="2200">
        <f t="shared" si="11"/>
        <v>6.0000000000000001E-3</v>
      </c>
      <c r="O17" s="2185">
        <f t="shared" si="12"/>
        <v>3.7000000000000002E-3</v>
      </c>
      <c r="P17" s="2185">
        <f t="shared" si="13"/>
        <v>6.3E-3</v>
      </c>
      <c r="Q17" s="2185">
        <f t="shared" si="14"/>
        <v>1.1299999999999999E-2</v>
      </c>
      <c r="R17" s="2201"/>
      <c r="S17" s="2200">
        <f>B17/B18-1</f>
        <v>6.0000000000000053E-3</v>
      </c>
      <c r="T17" s="2988">
        <f>C17/C18-1</f>
        <v>3.7000000000000366E-3</v>
      </c>
      <c r="U17" s="2185">
        <f>D17/D18-1</f>
        <v>3.7000000000000366E-3</v>
      </c>
      <c r="V17" s="2185">
        <f>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si="9"/>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si="10"/>
        <v>1.5299999999999999E-2</v>
      </c>
      <c r="AG17" s="2185">
        <f>ROUND(AVERAGE(K17:K$37)/100,4)</f>
        <v>2.3699999999999999E-2</v>
      </c>
      <c r="AH17" s="2185">
        <f>ROUND(AVERAGE(L17:L$37)/100,4)</f>
        <v>1.47E-2</v>
      </c>
    </row>
    <row r="18" spans="1:34" s="2202" customFormat="1">
      <c r="A18" s="2197" t="s">
        <v>2625</v>
      </c>
      <c r="B18" s="2206">
        <f t="shared" si="0"/>
        <v>464.37293017158942</v>
      </c>
      <c r="C18" s="2206">
        <f t="shared" si="1"/>
        <v>344.73679941385956</v>
      </c>
      <c r="D18" s="2206">
        <f t="shared" si="2"/>
        <v>344.73679941385956</v>
      </c>
      <c r="E18" s="2206">
        <f t="shared" si="3"/>
        <v>663.2377795103107</v>
      </c>
      <c r="F18" s="2207">
        <f t="shared" si="4"/>
        <v>304.75936311478398</v>
      </c>
      <c r="G18" s="3367">
        <v>2018</v>
      </c>
      <c r="H18" s="2204">
        <v>4</v>
      </c>
      <c r="I18" s="2204">
        <v>0.96</v>
      </c>
      <c r="J18" s="2204">
        <v>1.03</v>
      </c>
      <c r="K18" s="2204">
        <v>0.92</v>
      </c>
      <c r="L18" s="2205">
        <v>1.29</v>
      </c>
      <c r="M18" s="2184"/>
      <c r="N18" s="2200">
        <f t="shared" si="11"/>
        <v>9.5999999999999992E-3</v>
      </c>
      <c r="O18" s="2185">
        <f t="shared" si="12"/>
        <v>1.03E-2</v>
      </c>
      <c r="P18" s="2185">
        <f t="shared" si="13"/>
        <v>9.1999999999999998E-3</v>
      </c>
      <c r="Q18" s="2185">
        <f t="shared" si="14"/>
        <v>1.29E-2</v>
      </c>
      <c r="R18" s="2201"/>
      <c r="S18" s="2200"/>
      <c r="T18" s="2988"/>
      <c r="U18" s="2185"/>
      <c r="V18" s="2185"/>
      <c r="W18" s="2184"/>
      <c r="X18" s="2184">
        <f>ROUND(SUMPRODUCT(PRODUCT(1+N18:N$36)),4)</f>
        <v>1.5099</v>
      </c>
      <c r="Y18" s="2184">
        <f>ROUND(SUMPRODUCT(PRODUCT(1+O18:O$36)),4)</f>
        <v>1.3372999999999999</v>
      </c>
      <c r="Z18" s="2184">
        <f t="shared" si="9"/>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si="10"/>
        <v>1.5800000000000002E-2</v>
      </c>
      <c r="AG18" s="2185">
        <f>ROUND(AVERAGE(K18:K$37)/100,4)</f>
        <v>2.4500000000000001E-2</v>
      </c>
      <c r="AH18" s="2185">
        <f>ROUND(AVERAGE(L18:L$37)/100,4)</f>
        <v>1.49E-2</v>
      </c>
    </row>
    <row r="19" spans="1:34" s="2202" customFormat="1" ht="14.45" customHeight="1">
      <c r="A19" s="2197" t="s">
        <v>2620</v>
      </c>
      <c r="B19" s="2198">
        <f t="shared" si="0"/>
        <v>459.95733971036987</v>
      </c>
      <c r="C19" s="2198">
        <f t="shared" si="1"/>
        <v>341.22221064422405</v>
      </c>
      <c r="D19" s="2198">
        <f t="shared" si="2"/>
        <v>341.22221064422405</v>
      </c>
      <c r="E19" s="2198">
        <f t="shared" si="3"/>
        <v>657.19161663724799</v>
      </c>
      <c r="F19" s="2198">
        <f t="shared" si="4"/>
        <v>300.87803644464805</v>
      </c>
      <c r="G19" s="3367"/>
      <c r="H19" s="2199">
        <v>3</v>
      </c>
      <c r="I19" s="2199">
        <v>1.51</v>
      </c>
      <c r="J19" s="2199">
        <v>1.41</v>
      </c>
      <c r="K19" s="2199">
        <v>1.52</v>
      </c>
      <c r="L19" s="2203">
        <v>1.74</v>
      </c>
      <c r="M19" s="2184"/>
      <c r="N19" s="2200">
        <f t="shared" si="11"/>
        <v>1.5100000000000001E-2</v>
      </c>
      <c r="O19" s="2185">
        <f t="shared" si="12"/>
        <v>1.41E-2</v>
      </c>
      <c r="P19" s="2185">
        <f t="shared" si="13"/>
        <v>1.52E-2</v>
      </c>
      <c r="Q19" s="2185">
        <f t="shared" si="14"/>
        <v>1.7399999999999999E-2</v>
      </c>
      <c r="R19" s="2201"/>
      <c r="S19" s="2200"/>
      <c r="T19" s="2988"/>
      <c r="U19" s="2185"/>
      <c r="V19" s="2185"/>
      <c r="W19" s="2184"/>
      <c r="X19" s="2184">
        <f>ROUND(SUMPRODUCT(PRODUCT(1+N19:N$36)),4)</f>
        <v>1.4956</v>
      </c>
      <c r="Y19" s="2184">
        <f>ROUND(SUMPRODUCT(PRODUCT(1+O19:O$36)),4)</f>
        <v>1.3237000000000001</v>
      </c>
      <c r="Z19" s="2184">
        <f t="shared" si="9"/>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si="10"/>
        <v>1.61E-2</v>
      </c>
      <c r="AG19" s="2185">
        <f>ROUND(AVERAGE(K19:K$37)/100,4)</f>
        <v>2.53E-2</v>
      </c>
      <c r="AH19" s="2185">
        <f>ROUND(AVERAGE(L19:L$37)/100,4)</f>
        <v>1.4999999999999999E-2</v>
      </c>
    </row>
    <row r="20" spans="1:34" s="2202" customFormat="1" ht="14.45" customHeight="1">
      <c r="A20" s="2197" t="s">
        <v>2619</v>
      </c>
      <c r="B20" s="2198">
        <f t="shared" si="0"/>
        <v>453.11529869999993</v>
      </c>
      <c r="C20" s="2198">
        <f t="shared" si="1"/>
        <v>336.47787264000004</v>
      </c>
      <c r="D20" s="2198">
        <f t="shared" si="2"/>
        <v>336.47787264000004</v>
      </c>
      <c r="E20" s="2198">
        <f t="shared" si="3"/>
        <v>647.35186823999993</v>
      </c>
      <c r="F20" s="2198">
        <f t="shared" si="4"/>
        <v>295.73229452000004</v>
      </c>
      <c r="G20" s="3367"/>
      <c r="H20" s="2208">
        <v>2</v>
      </c>
      <c r="I20" s="2208">
        <v>1.49</v>
      </c>
      <c r="J20" s="2208">
        <v>0.96</v>
      </c>
      <c r="K20" s="2208">
        <v>1.58</v>
      </c>
      <c r="L20" s="2209">
        <v>2.44</v>
      </c>
      <c r="M20" s="2184"/>
      <c r="N20" s="2200">
        <f>I20/100</f>
        <v>1.49E-2</v>
      </c>
      <c r="O20" s="2185">
        <f t="shared" si="12"/>
        <v>9.5999999999999992E-3</v>
      </c>
      <c r="P20" s="2185">
        <f t="shared" si="13"/>
        <v>1.5800000000000002E-2</v>
      </c>
      <c r="Q20" s="2185">
        <f t="shared" si="14"/>
        <v>2.4399999999999998E-2</v>
      </c>
      <c r="R20" s="2201"/>
      <c r="S20" s="2200"/>
      <c r="T20" s="2988"/>
      <c r="U20" s="2185"/>
      <c r="V20" s="2185"/>
      <c r="W20" s="2184"/>
      <c r="X20" s="2184">
        <f>ROUND(SUMPRODUCT(PRODUCT(1+N20:N$36)),4)</f>
        <v>1.4733000000000001</v>
      </c>
      <c r="Y20" s="2184">
        <f>ROUND(SUMPRODUCT(PRODUCT(1+O20:O$36)),4)</f>
        <v>1.3052999999999999</v>
      </c>
      <c r="Z20" s="2184">
        <f t="shared" si="9"/>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si="10"/>
        <v>1.6199999999999999E-2</v>
      </c>
      <c r="AG20" s="2185">
        <f>ROUND(AVERAGE(K20:K$37)/100,4)</f>
        <v>2.5899999999999999E-2</v>
      </c>
      <c r="AH20" s="2185">
        <f>ROUND(AVERAGE(L20:L$37)/100,4)</f>
        <v>1.49E-2</v>
      </c>
    </row>
    <row r="21" spans="1:34" s="2202" customFormat="1" ht="15" customHeight="1" thickBot="1">
      <c r="A21" s="2197" t="s">
        <v>2612</v>
      </c>
      <c r="B21" s="2198">
        <f t="shared" si="0"/>
        <v>446.46299999999997</v>
      </c>
      <c r="C21" s="2198">
        <f t="shared" si="1"/>
        <v>333.27840000000003</v>
      </c>
      <c r="D21" s="2198">
        <f t="shared" si="2"/>
        <v>333.27840000000003</v>
      </c>
      <c r="E21" s="2198">
        <f t="shared" si="3"/>
        <v>637.28279999999995</v>
      </c>
      <c r="F21" s="2198">
        <f t="shared" si="4"/>
        <v>288.68830000000003</v>
      </c>
      <c r="G21" s="3374"/>
      <c r="H21" s="2199">
        <v>1</v>
      </c>
      <c r="I21" s="2199">
        <v>1.7</v>
      </c>
      <c r="J21" s="2199">
        <v>1.92</v>
      </c>
      <c r="K21" s="2199">
        <v>1.64</v>
      </c>
      <c r="L21" s="2203">
        <v>2.0099999999999998</v>
      </c>
      <c r="M21" s="2184"/>
      <c r="N21" s="2200">
        <f t="shared" ref="N21:N26" si="15">I21/100</f>
        <v>1.7000000000000001E-2</v>
      </c>
      <c r="O21" s="2185">
        <f t="shared" si="12"/>
        <v>1.9199999999999998E-2</v>
      </c>
      <c r="P21" s="2185">
        <f t="shared" si="13"/>
        <v>1.6399999999999998E-2</v>
      </c>
      <c r="Q21" s="2185">
        <f t="shared" si="14"/>
        <v>2.0099999999999996E-2</v>
      </c>
      <c r="R21" s="2201"/>
      <c r="S21" s="2200">
        <f>B21/B22-1</f>
        <v>1.6999999999999904E-2</v>
      </c>
      <c r="T21" s="2988">
        <f>C21/C22-1</f>
        <v>1.9200000000000106E-2</v>
      </c>
      <c r="U21" s="2185">
        <f>D21/D22-1</f>
        <v>1.9200000000000106E-2</v>
      </c>
      <c r="V21" s="2185">
        <f>E21/E22-1</f>
        <v>1.639999999999997E-2</v>
      </c>
      <c r="W21" s="2184"/>
      <c r="X21" s="2184">
        <f>ROUND(SUMPRODUCT(PRODUCT(1+N21:N$36)),4)</f>
        <v>1.4517</v>
      </c>
      <c r="Y21" s="2184">
        <f>ROUND(SUMPRODUCT(PRODUCT(1+O21:O$36)),4)</f>
        <v>1.2928999999999999</v>
      </c>
      <c r="Z21" s="2184">
        <f t="shared" si="9"/>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si="10"/>
        <v>1.66E-2</v>
      </c>
      <c r="AG21" s="2185">
        <f>ROUND(AVERAGE(K21:K$37)/100,4)</f>
        <v>2.6499999999999999E-2</v>
      </c>
      <c r="AH21" s="2185">
        <f>ROUND(AVERAGE(L21:L$37)/100,4)</f>
        <v>1.43E-2</v>
      </c>
    </row>
    <row r="22" spans="1:34">
      <c r="A22" s="2197" t="s">
        <v>2610</v>
      </c>
      <c r="B22" s="2206">
        <v>439</v>
      </c>
      <c r="C22" s="2206">
        <v>327</v>
      </c>
      <c r="D22" s="2206">
        <f t="shared" si="2"/>
        <v>327</v>
      </c>
      <c r="E22" s="2206">
        <v>627</v>
      </c>
      <c r="F22" s="2207">
        <v>283</v>
      </c>
      <c r="G22" s="3370">
        <v>2017</v>
      </c>
      <c r="H22" s="2204">
        <v>4</v>
      </c>
      <c r="I22" s="2204">
        <v>1.71</v>
      </c>
      <c r="J22" s="2204">
        <v>1.78</v>
      </c>
      <c r="K22" s="2204">
        <v>1.71</v>
      </c>
      <c r="L22" s="2205">
        <v>1.43</v>
      </c>
      <c r="N22" s="2200">
        <f t="shared" si="15"/>
        <v>1.7100000000000001E-2</v>
      </c>
      <c r="O22" s="2185">
        <f t="shared" si="12"/>
        <v>1.78E-2</v>
      </c>
      <c r="P22" s="2185">
        <f t="shared" si="13"/>
        <v>1.7100000000000001E-2</v>
      </c>
      <c r="Q22" s="2185">
        <f t="shared" si="14"/>
        <v>1.43E-2</v>
      </c>
      <c r="R22" s="2201"/>
      <c r="S22" s="2210"/>
      <c r="T22" s="2989"/>
      <c r="U22" s="2211"/>
      <c r="V22" s="2211"/>
      <c r="X22" s="2184">
        <f>ROUND(SUMPRODUCT(PRODUCT(1+N22:N$36)),4)</f>
        <v>1.4274</v>
      </c>
      <c r="Y22" s="2184">
        <f>ROUND(SUMPRODUCT(PRODUCT(1+O22:O$36)),4)</f>
        <v>1.2685</v>
      </c>
      <c r="Z22" s="2184">
        <f t="shared" si="9"/>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0"/>
        <v>1.6500000000000001E-2</v>
      </c>
      <c r="AG22" s="2185">
        <f>ROUND(AVERAGE(K22:K$37)/100,4)</f>
        <v>2.7099999999999999E-2</v>
      </c>
      <c r="AH22" s="2185">
        <f>ROUND(AVERAGE(L22:L$37)/100,4)</f>
        <v>1.3899999999999999E-2</v>
      </c>
    </row>
    <row r="23" spans="1:34" s="2202" customFormat="1" ht="14.45" customHeight="1">
      <c r="A23" s="2197" t="s">
        <v>2611</v>
      </c>
      <c r="B23" s="2198">
        <f t="shared" ref="B23:C25" si="16">B24*(1+N23)</f>
        <v>431.80730811680002</v>
      </c>
      <c r="C23" s="2198">
        <f t="shared" si="16"/>
        <v>320.57880516480003</v>
      </c>
      <c r="D23" s="2198">
        <f t="shared" si="2"/>
        <v>320.57880516480003</v>
      </c>
      <c r="E23" s="2198">
        <f t="shared" ref="E23:F25" si="17">E24*(1+P23)</f>
        <v>615.96110553196797</v>
      </c>
      <c r="F23" s="2198">
        <f t="shared" si="17"/>
        <v>279.46777300108801</v>
      </c>
      <c r="G23" s="3367"/>
      <c r="H23" s="2199">
        <v>3</v>
      </c>
      <c r="I23" s="2199">
        <v>2.98</v>
      </c>
      <c r="J23" s="2199">
        <v>2.11</v>
      </c>
      <c r="K23" s="2199">
        <v>3.24</v>
      </c>
      <c r="L23" s="2203">
        <v>1.72</v>
      </c>
      <c r="M23" s="2184"/>
      <c r="N23" s="2200">
        <f t="shared" si="15"/>
        <v>2.98E-2</v>
      </c>
      <c r="O23" s="2185">
        <f t="shared" si="12"/>
        <v>2.1099999999999997E-2</v>
      </c>
      <c r="P23" s="2185">
        <f t="shared" si="13"/>
        <v>3.2400000000000005E-2</v>
      </c>
      <c r="Q23" s="2185">
        <f t="shared" si="14"/>
        <v>1.72E-2</v>
      </c>
      <c r="R23" s="2201"/>
      <c r="S23" s="2200"/>
      <c r="T23" s="2988"/>
      <c r="U23" s="2185"/>
      <c r="V23" s="2185"/>
      <c r="W23" s="2184"/>
      <c r="X23" s="2184">
        <f>ROUND(SUMPRODUCT(PRODUCT(1+N23:N$36)),4)</f>
        <v>1.4034</v>
      </c>
      <c r="Y23" s="2184">
        <f>ROUND(SUMPRODUCT(PRODUCT(1+O23:O$36)),4)</f>
        <v>1.2463</v>
      </c>
      <c r="Z23" s="2184">
        <f t="shared" si="9"/>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0"/>
        <v>1.6400000000000001E-2</v>
      </c>
      <c r="AG23" s="2185">
        <f>ROUND(AVERAGE(K23:K$37)/100,4)</f>
        <v>2.7799999999999998E-2</v>
      </c>
      <c r="AH23" s="2185">
        <f>ROUND(AVERAGE(L23:L$37)/100,4)</f>
        <v>1.3899999999999999E-2</v>
      </c>
    </row>
    <row r="24" spans="1:34" s="2191" customFormat="1" ht="14.45" customHeight="1">
      <c r="A24" s="2197" t="s">
        <v>1109</v>
      </c>
      <c r="B24" s="2198">
        <f t="shared" si="16"/>
        <v>419.31181600000002</v>
      </c>
      <c r="C24" s="2198">
        <f t="shared" si="16"/>
        <v>313.95436800000004</v>
      </c>
      <c r="D24" s="2198">
        <f t="shared" si="2"/>
        <v>313.95436800000004</v>
      </c>
      <c r="E24" s="2198">
        <f t="shared" si="17"/>
        <v>596.63028431999999</v>
      </c>
      <c r="F24" s="2198">
        <f t="shared" si="17"/>
        <v>274.74220703999998</v>
      </c>
      <c r="G24" s="3367"/>
      <c r="H24" s="2208">
        <v>2</v>
      </c>
      <c r="I24" s="2208">
        <v>3.4</v>
      </c>
      <c r="J24" s="2208">
        <v>2</v>
      </c>
      <c r="K24" s="2208">
        <v>3.82</v>
      </c>
      <c r="L24" s="2209">
        <v>1.68</v>
      </c>
      <c r="M24" s="2184"/>
      <c r="N24" s="2200">
        <f t="shared" si="15"/>
        <v>3.4000000000000002E-2</v>
      </c>
      <c r="O24" s="2185">
        <f t="shared" si="12"/>
        <v>0.02</v>
      </c>
      <c r="P24" s="2185">
        <f t="shared" si="13"/>
        <v>3.8199999999999998E-2</v>
      </c>
      <c r="Q24" s="2185">
        <f t="shared" si="14"/>
        <v>1.6799999999999999E-2</v>
      </c>
      <c r="R24" s="2201"/>
      <c r="S24" s="2210"/>
      <c r="T24" s="2989"/>
      <c r="U24" s="2211"/>
      <c r="V24" s="2211"/>
      <c r="W24" s="2166"/>
      <c r="X24" s="2184">
        <f>ROUND(SUMPRODUCT(PRODUCT(1+N24:N$36)),4)</f>
        <v>1.3628</v>
      </c>
      <c r="Y24" s="2184">
        <f>ROUND(SUMPRODUCT(PRODUCT(1+O24:O$36)),4)</f>
        <v>1.2205999999999999</v>
      </c>
      <c r="Z24" s="2184">
        <f t="shared" si="9"/>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0"/>
        <v>1.6E-2</v>
      </c>
      <c r="AG24" s="2185">
        <f>ROUND(AVERAGE(K24:K$37)/100,4)</f>
        <v>2.75E-2</v>
      </c>
      <c r="AH24" s="2185">
        <f>ROUND(AVERAGE(L24:L$37)/100,4)</f>
        <v>1.37E-2</v>
      </c>
    </row>
    <row r="25" spans="1:34" s="2202" customFormat="1" ht="15" customHeight="1" thickBot="1">
      <c r="A25" s="2197" t="s">
        <v>888</v>
      </c>
      <c r="B25" s="2198">
        <f t="shared" si="16"/>
        <v>405.524</v>
      </c>
      <c r="C25" s="2198">
        <f t="shared" si="16"/>
        <v>307.79840000000002</v>
      </c>
      <c r="D25" s="2198">
        <f t="shared" si="2"/>
        <v>307.79840000000002</v>
      </c>
      <c r="E25" s="2198">
        <f t="shared" si="17"/>
        <v>574.67759999999998</v>
      </c>
      <c r="F25" s="2198">
        <f t="shared" si="17"/>
        <v>270.20280000000002</v>
      </c>
      <c r="G25" s="3374"/>
      <c r="H25" s="2199">
        <v>1</v>
      </c>
      <c r="I25" s="2199">
        <v>3.45</v>
      </c>
      <c r="J25" s="2199">
        <v>1.92</v>
      </c>
      <c r="K25" s="2199">
        <v>3.92</v>
      </c>
      <c r="L25" s="2203">
        <v>1.58</v>
      </c>
      <c r="M25" s="2184"/>
      <c r="N25" s="2200">
        <f t="shared" si="15"/>
        <v>3.4500000000000003E-2</v>
      </c>
      <c r="O25" s="2185">
        <f t="shared" ref="O25:Q40" si="18">J25/100</f>
        <v>1.9199999999999998E-2</v>
      </c>
      <c r="P25" s="2185">
        <f t="shared" si="18"/>
        <v>3.9199999999999999E-2</v>
      </c>
      <c r="Q25" s="2185">
        <f t="shared" si="18"/>
        <v>1.5800000000000002E-2</v>
      </c>
      <c r="R25" s="2201"/>
      <c r="S25" s="2200">
        <f>B25/B26-1</f>
        <v>3.4499999999999975E-2</v>
      </c>
      <c r="T25" s="2988">
        <f>C25/C26-1</f>
        <v>1.9200000000000106E-2</v>
      </c>
      <c r="U25" s="2185">
        <f>D25/D26-1</f>
        <v>1.9200000000000106E-2</v>
      </c>
      <c r="V25" s="2185">
        <f>E25/E26-1</f>
        <v>3.9199999999999902E-2</v>
      </c>
      <c r="W25" s="2184"/>
      <c r="X25" s="2184">
        <f>ROUND(SUMPRODUCT(PRODUCT(1+N25:N$36)),4)</f>
        <v>1.3180000000000001</v>
      </c>
      <c r="Y25" s="2184">
        <f>ROUND(SUMPRODUCT(PRODUCT(1+O25:O$36)),4)</f>
        <v>1.1966000000000001</v>
      </c>
      <c r="Z25" s="2184">
        <f t="shared" si="9"/>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0"/>
        <v>1.5699999999999999E-2</v>
      </c>
      <c r="AG25" s="2185">
        <f>ROUND(AVERAGE(K25:K$37)/100,4)</f>
        <v>2.6599999999999999E-2</v>
      </c>
      <c r="AH25" s="2185">
        <f>ROUND(AVERAGE(L25:L$37)/100,4)</f>
        <v>1.34E-2</v>
      </c>
    </row>
    <row r="26" spans="1:34">
      <c r="A26" s="2197" t="s">
        <v>154</v>
      </c>
      <c r="B26" s="2206">
        <v>392</v>
      </c>
      <c r="C26" s="2206">
        <v>302</v>
      </c>
      <c r="D26" s="2206">
        <f t="shared" si="2"/>
        <v>302</v>
      </c>
      <c r="E26" s="2206">
        <v>553</v>
      </c>
      <c r="F26" s="2207">
        <v>266</v>
      </c>
      <c r="G26" s="3370">
        <v>2016</v>
      </c>
      <c r="H26" s="2204">
        <v>4</v>
      </c>
      <c r="I26" s="2204">
        <v>4.5599999999999996</v>
      </c>
      <c r="J26" s="2204">
        <v>2.15</v>
      </c>
      <c r="K26" s="2204">
        <v>5.32</v>
      </c>
      <c r="L26" s="2205">
        <v>1.57</v>
      </c>
      <c r="N26" s="2200">
        <f t="shared" si="15"/>
        <v>4.5599999999999995E-2</v>
      </c>
      <c r="O26" s="2185">
        <f t="shared" si="18"/>
        <v>2.1499999999999998E-2</v>
      </c>
      <c r="P26" s="2185">
        <f t="shared" si="18"/>
        <v>5.3200000000000004E-2</v>
      </c>
      <c r="Q26" s="2185">
        <f t="shared" si="18"/>
        <v>1.5700000000000002E-2</v>
      </c>
      <c r="R26" s="2201"/>
      <c r="S26" s="2210"/>
      <c r="T26" s="2989"/>
      <c r="U26" s="2211"/>
      <c r="V26" s="2211"/>
      <c r="X26" s="2184">
        <f>ROUND(SUMPRODUCT(PRODUCT(1+N26:N$36)),4)</f>
        <v>1.274</v>
      </c>
      <c r="Y26" s="2184">
        <f>ROUND(SUMPRODUCT(PRODUCT(1+O26:O$36)),4)</f>
        <v>1.1740999999999999</v>
      </c>
      <c r="Z26" s="2184">
        <f t="shared" si="9"/>
        <v>1.1740999999999999</v>
      </c>
      <c r="AA26" s="2184">
        <f>ROUND(SUMPRODUCT(PRODUCT(1+P26:P$36)),4)</f>
        <v>1.3087</v>
      </c>
      <c r="AB26" s="2184">
        <f>ROUND(SUMPRODUCT(PRODUCT(1+Q26:Q$36)),4)</f>
        <v>1.1551</v>
      </c>
      <c r="AD26" s="2185">
        <f>ROUND(AVERAGE(I26:I$37)/100,4)</f>
        <v>2.3E-2</v>
      </c>
      <c r="AE26" s="2185">
        <f>ROUND(AVERAGE(J26:J$37)/100,4)</f>
        <v>1.55E-2</v>
      </c>
      <c r="AF26" s="2185">
        <f t="shared" si="10"/>
        <v>1.55E-2</v>
      </c>
      <c r="AG26" s="2185">
        <f>ROUND(AVERAGE(K26:K$37)/100,4)</f>
        <v>2.5600000000000001E-2</v>
      </c>
      <c r="AH26" s="2185">
        <f>ROUND(AVERAGE(L26:L$37)/100,4)</f>
        <v>1.32E-2</v>
      </c>
    </row>
    <row r="27" spans="1:34">
      <c r="A27" s="2197" t="s">
        <v>153</v>
      </c>
      <c r="B27" s="2198">
        <f t="shared" ref="B27:C29" si="19">B26/(1+N26)</f>
        <v>374.90436113236416</v>
      </c>
      <c r="C27" s="2198">
        <f t="shared" si="19"/>
        <v>295.64366128242779</v>
      </c>
      <c r="D27" s="2198">
        <f t="shared" ref="D27:D86" si="20">C27</f>
        <v>295.64366128242779</v>
      </c>
      <c r="E27" s="2198">
        <f t="shared" ref="E27:F29" si="21">E26/(1+P26)</f>
        <v>525.06646410938095</v>
      </c>
      <c r="F27" s="2198">
        <f t="shared" si="21"/>
        <v>261.88835286009646</v>
      </c>
      <c r="G27" s="3367"/>
      <c r="H27" s="2199">
        <v>3</v>
      </c>
      <c r="I27" s="2199">
        <v>4.12</v>
      </c>
      <c r="J27" s="2199">
        <v>2</v>
      </c>
      <c r="K27" s="2199">
        <v>4.79</v>
      </c>
      <c r="L27" s="2203">
        <v>1.97</v>
      </c>
      <c r="N27" s="2200">
        <f t="shared" ref="N27:Q61" si="22">I27/100</f>
        <v>4.1200000000000001E-2</v>
      </c>
      <c r="O27" s="2185">
        <f t="shared" si="18"/>
        <v>0.02</v>
      </c>
      <c r="P27" s="2185">
        <f t="shared" si="18"/>
        <v>4.7899999999999998E-2</v>
      </c>
      <c r="Q27" s="2185">
        <f t="shared" si="18"/>
        <v>1.9699999999999999E-2</v>
      </c>
      <c r="R27" s="2201"/>
      <c r="S27" s="2200"/>
      <c r="T27" s="2988"/>
      <c r="U27" s="2185"/>
      <c r="V27" s="2185"/>
      <c r="X27" s="2184">
        <f>ROUND(SUMPRODUCT(PRODUCT(1+N27:N$36)),4)</f>
        <v>1.2184999999999999</v>
      </c>
      <c r="Y27" s="2184">
        <f>ROUND(SUMPRODUCT(PRODUCT(1+O27:O$36)),4)</f>
        <v>1.1494</v>
      </c>
      <c r="Z27" s="2184">
        <f t="shared" si="9"/>
        <v>1.1494</v>
      </c>
      <c r="AA27" s="2184">
        <f>ROUND(SUMPRODUCT(PRODUCT(1+P27:P$36)),4)</f>
        <v>1.2425999999999999</v>
      </c>
      <c r="AB27" s="2184">
        <f>ROUND(SUMPRODUCT(PRODUCT(1+Q27:Q$36)),4)</f>
        <v>1.1372</v>
      </c>
      <c r="AD27" s="2185">
        <f>ROUND(AVERAGE(I27:I$37)/100,4)</f>
        <v>2.0899999999999998E-2</v>
      </c>
      <c r="AE27" s="2185">
        <f>ROUND(AVERAGE(J27:J$37)/100,4)</f>
        <v>1.49E-2</v>
      </c>
      <c r="AF27" s="2185">
        <f t="shared" si="10"/>
        <v>1.49E-2</v>
      </c>
      <c r="AG27" s="2185">
        <f>ROUND(AVERAGE(K27:K$37)/100,4)</f>
        <v>2.3099999999999999E-2</v>
      </c>
      <c r="AH27" s="2185">
        <f>ROUND(AVERAGE(L27:L$37)/100,4)</f>
        <v>1.2999999999999999E-2</v>
      </c>
    </row>
    <row r="28" spans="1:34">
      <c r="A28" s="2197" t="s">
        <v>143</v>
      </c>
      <c r="B28" s="2198">
        <f t="shared" si="19"/>
        <v>360.06949782209392</v>
      </c>
      <c r="C28" s="2198">
        <f t="shared" si="19"/>
        <v>289.84672674747821</v>
      </c>
      <c r="D28" s="2198">
        <f t="shared" si="20"/>
        <v>289.84672674747821</v>
      </c>
      <c r="E28" s="2198">
        <f t="shared" si="21"/>
        <v>501.06543001181495</v>
      </c>
      <c r="F28" s="2198">
        <f t="shared" si="21"/>
        <v>256.82882500744967</v>
      </c>
      <c r="G28" s="3367"/>
      <c r="H28" s="2208">
        <v>2</v>
      </c>
      <c r="I28" s="2208">
        <v>3.85</v>
      </c>
      <c r="J28" s="2208">
        <v>1.95</v>
      </c>
      <c r="K28" s="2208">
        <v>4.4800000000000004</v>
      </c>
      <c r="L28" s="2209">
        <v>1.41</v>
      </c>
      <c r="N28" s="2200">
        <f t="shared" si="22"/>
        <v>3.85E-2</v>
      </c>
      <c r="O28" s="2185">
        <f t="shared" si="18"/>
        <v>1.95E-2</v>
      </c>
      <c r="P28" s="2185">
        <f t="shared" si="18"/>
        <v>4.4800000000000006E-2</v>
      </c>
      <c r="Q28" s="2185">
        <f t="shared" si="18"/>
        <v>1.41E-2</v>
      </c>
      <c r="R28" s="2201"/>
      <c r="S28" s="2200"/>
      <c r="T28" s="2988"/>
      <c r="U28" s="2185"/>
      <c r="V28" s="2185"/>
      <c r="X28" s="2184">
        <f>ROUND(SUMPRODUCT(PRODUCT(1+N28:N$36)),4)</f>
        <v>1.1702999999999999</v>
      </c>
      <c r="Y28" s="2184">
        <f>ROUND(SUMPRODUCT(PRODUCT(1+O28:O$36)),4)</f>
        <v>1.1269</v>
      </c>
      <c r="Z28" s="2184">
        <f t="shared" si="9"/>
        <v>1.1269</v>
      </c>
      <c r="AA28" s="2184">
        <f>ROUND(SUMPRODUCT(PRODUCT(1+P28:P$36)),4)</f>
        <v>1.1858</v>
      </c>
      <c r="AB28" s="2184">
        <f>ROUND(SUMPRODUCT(PRODUCT(1+Q28:Q$36)),4)</f>
        <v>1.1152</v>
      </c>
      <c r="AD28" s="2185">
        <f>ROUND(AVERAGE(I28:I$37)/100,4)</f>
        <v>1.89E-2</v>
      </c>
      <c r="AE28" s="2185">
        <f>ROUND(AVERAGE(J28:J$37)/100,4)</f>
        <v>1.44E-2</v>
      </c>
      <c r="AF28" s="2185">
        <f t="shared" si="10"/>
        <v>1.44E-2</v>
      </c>
      <c r="AG28" s="2185">
        <f>ROUND(AVERAGE(K28:K$37)/100,4)</f>
        <v>2.06E-2</v>
      </c>
      <c r="AH28" s="2185">
        <f>ROUND(AVERAGE(L28:L$37)/100,4)</f>
        <v>1.23E-2</v>
      </c>
    </row>
    <row r="29" spans="1:34" ht="13.5" thickBot="1">
      <c r="A29" s="2197" t="s">
        <v>152</v>
      </c>
      <c r="B29" s="2198">
        <f t="shared" si="19"/>
        <v>346.720748986128</v>
      </c>
      <c r="C29" s="2198">
        <f t="shared" si="19"/>
        <v>284.30282172386285</v>
      </c>
      <c r="D29" s="2198">
        <f t="shared" si="20"/>
        <v>284.30282172386285</v>
      </c>
      <c r="E29" s="2198">
        <f t="shared" si="21"/>
        <v>479.58023546306947</v>
      </c>
      <c r="F29" s="2198">
        <f t="shared" si="21"/>
        <v>253.25788877571213</v>
      </c>
      <c r="G29" s="3368"/>
      <c r="H29" s="2199">
        <v>1</v>
      </c>
      <c r="I29" s="2199">
        <v>4.09</v>
      </c>
      <c r="J29" s="2199">
        <v>2.93</v>
      </c>
      <c r="K29" s="2199">
        <v>4.54</v>
      </c>
      <c r="L29" s="2203">
        <v>1.48</v>
      </c>
      <c r="N29" s="2200">
        <f t="shared" si="22"/>
        <v>4.0899999999999999E-2</v>
      </c>
      <c r="O29" s="2185">
        <f t="shared" si="18"/>
        <v>2.9300000000000003E-2</v>
      </c>
      <c r="P29" s="2185">
        <f t="shared" si="18"/>
        <v>4.5400000000000003E-2</v>
      </c>
      <c r="Q29" s="2185">
        <f t="shared" si="18"/>
        <v>1.4800000000000001E-2</v>
      </c>
      <c r="R29" s="2201"/>
      <c r="S29" s="2212">
        <f>B29/B30-1</f>
        <v>4.1203450408792808E-2</v>
      </c>
      <c r="T29" s="2990">
        <f>C29/C30-1</f>
        <v>2.6363977342465095E-2</v>
      </c>
      <c r="U29" s="2213">
        <f>E29/E30-1</f>
        <v>4.4837114298626357E-2</v>
      </c>
      <c r="V29" s="2213">
        <f>F29/F30-1</f>
        <v>1.7099954922538574E-2</v>
      </c>
      <c r="X29" s="2184">
        <f>ROUND(SUMPRODUCT(PRODUCT(1+N29:N$36)),4)</f>
        <v>1.1269</v>
      </c>
      <c r="Y29" s="2184">
        <f>ROUND(SUMPRODUCT(PRODUCT(1+O29:O$36)),4)</f>
        <v>1.1052999999999999</v>
      </c>
      <c r="Z29" s="2184">
        <f t="shared" si="9"/>
        <v>1.1052999999999999</v>
      </c>
      <c r="AA29" s="2184">
        <f>ROUND(SUMPRODUCT(PRODUCT(1+P29:P$36)),4)</f>
        <v>1.1349</v>
      </c>
      <c r="AB29" s="2184">
        <f>ROUND(SUMPRODUCT(PRODUCT(1+Q29:Q$36)),4)</f>
        <v>1.0996999999999999</v>
      </c>
      <c r="AD29" s="2185">
        <f>ROUND(AVERAGE(I29:I$37)/100,4)</f>
        <v>1.67E-2</v>
      </c>
      <c r="AE29" s="2185">
        <f>ROUND(AVERAGE(J29:J$37)/100,4)</f>
        <v>1.38E-2</v>
      </c>
      <c r="AF29" s="2185">
        <f t="shared" si="10"/>
        <v>1.38E-2</v>
      </c>
      <c r="AG29" s="2185">
        <f>ROUND(AVERAGE(K29:K$37)/100,4)</f>
        <v>1.7899999999999999E-2</v>
      </c>
      <c r="AH29" s="2185">
        <f>ROUND(AVERAGE(L29:L$37)/100,4)</f>
        <v>1.21E-2</v>
      </c>
    </row>
    <row r="30" spans="1:34" ht="13.5" thickBot="1">
      <c r="A30" s="2197" t="s">
        <v>151</v>
      </c>
      <c r="B30" s="2206">
        <v>333</v>
      </c>
      <c r="C30" s="2206">
        <v>277</v>
      </c>
      <c r="D30" s="2206">
        <f t="shared" si="20"/>
        <v>277</v>
      </c>
      <c r="E30" s="2206">
        <v>459</v>
      </c>
      <c r="F30" s="2207">
        <v>249</v>
      </c>
      <c r="G30" s="3366">
        <v>2015</v>
      </c>
      <c r="H30" s="2214">
        <v>4</v>
      </c>
      <c r="I30" s="2214">
        <v>1.63</v>
      </c>
      <c r="J30" s="2214">
        <v>1.1100000000000001</v>
      </c>
      <c r="K30" s="2214">
        <v>1.77</v>
      </c>
      <c r="L30" s="2215">
        <v>1.89</v>
      </c>
      <c r="N30" s="2216">
        <f t="shared" si="22"/>
        <v>1.6299999999999999E-2</v>
      </c>
      <c r="O30" s="2217">
        <f t="shared" si="18"/>
        <v>1.11E-2</v>
      </c>
      <c r="P30" s="2217">
        <f t="shared" si="18"/>
        <v>1.77E-2</v>
      </c>
      <c r="Q30" s="2217">
        <f t="shared" si="18"/>
        <v>1.89E-2</v>
      </c>
      <c r="R30" s="2201"/>
      <c r="X30" s="2184">
        <f>ROUND(SUMPRODUCT(PRODUCT(1+N30:N$36)),4)</f>
        <v>1.0826</v>
      </c>
      <c r="Y30" s="2184">
        <f>ROUND(SUMPRODUCT(PRODUCT(1+O30:O$36)),4)</f>
        <v>1.0738000000000001</v>
      </c>
      <c r="Z30" s="2184">
        <f t="shared" si="9"/>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0"/>
        <v>1.1900000000000001E-2</v>
      </c>
      <c r="AG30" s="2185">
        <f>ROUND(AVERAGE(K30:K$37)/100,4)</f>
        <v>1.4500000000000001E-2</v>
      </c>
      <c r="AH30" s="2185">
        <f>ROUND(AVERAGE(L30:L$37)/100,4)</f>
        <v>1.18E-2</v>
      </c>
    </row>
    <row r="31" spans="1:34">
      <c r="A31" s="2197" t="s">
        <v>150</v>
      </c>
      <c r="B31" s="2198">
        <f t="shared" ref="B31:C33" si="23">B30/(1+N30)</f>
        <v>327.65915576109415</v>
      </c>
      <c r="C31" s="2198">
        <f t="shared" si="23"/>
        <v>273.95905449510434</v>
      </c>
      <c r="D31" s="2198">
        <f t="shared" si="20"/>
        <v>273.95905449510434</v>
      </c>
      <c r="E31" s="2198">
        <f t="shared" ref="E31:F33" si="24">E30/(1+P30)</f>
        <v>451.01699911565294</v>
      </c>
      <c r="F31" s="2198">
        <f t="shared" si="24"/>
        <v>244.38119540681129</v>
      </c>
      <c r="G31" s="3367"/>
      <c r="H31" s="2219">
        <v>3</v>
      </c>
      <c r="I31" s="2219">
        <v>1.65</v>
      </c>
      <c r="J31" s="2219">
        <v>0.92</v>
      </c>
      <c r="K31" s="2219">
        <v>1.88</v>
      </c>
      <c r="L31" s="2220">
        <v>1.26</v>
      </c>
      <c r="N31" s="2200">
        <f t="shared" si="22"/>
        <v>1.6500000000000001E-2</v>
      </c>
      <c r="O31" s="2185">
        <f t="shared" si="18"/>
        <v>9.1999999999999998E-3</v>
      </c>
      <c r="P31" s="2185">
        <f t="shared" si="18"/>
        <v>1.8799999999999997E-2</v>
      </c>
      <c r="Q31" s="2185">
        <f t="shared" si="18"/>
        <v>1.26E-2</v>
      </c>
      <c r="R31" s="2201"/>
      <c r="S31" s="2200"/>
      <c r="T31" s="2988"/>
      <c r="U31" s="2185"/>
      <c r="V31" s="2185"/>
      <c r="X31" s="2184">
        <f>ROUND(SUMPRODUCT(PRODUCT(1+N31:N$36)),4)</f>
        <v>1.0651999999999999</v>
      </c>
      <c r="Y31" s="2184">
        <f>ROUND(SUMPRODUCT(PRODUCT(1+O31:O$36)),4)</f>
        <v>1.0621</v>
      </c>
      <c r="Z31" s="2184">
        <f t="shared" si="9"/>
        <v>1.0621</v>
      </c>
      <c r="AA31" s="2184">
        <f>ROUND(SUMPRODUCT(PRODUCT(1+P31:P$36)),4)</f>
        <v>1.0668</v>
      </c>
      <c r="AB31" s="2184">
        <f>ROUND(SUMPRODUCT(PRODUCT(1+Q31:Q$36)),4)</f>
        <v>1.0636000000000001</v>
      </c>
      <c r="AD31" s="2185">
        <f>ROUND(AVERAGE(I31:I$37)/100,4)</f>
        <v>1.3299999999999999E-2</v>
      </c>
      <c r="AE31" s="2185">
        <f>ROUND(AVERAGE(J31:J$37)/100,4)</f>
        <v>1.2E-2</v>
      </c>
      <c r="AF31" s="2185">
        <f t="shared" si="10"/>
        <v>1.2E-2</v>
      </c>
      <c r="AG31" s="2185">
        <f>ROUND(AVERAGE(K31:K$37)/100,4)</f>
        <v>1.4E-2</v>
      </c>
      <c r="AH31" s="2185">
        <f>ROUND(AVERAGE(L31:L$37)/100,4)</f>
        <v>1.0800000000000001E-2</v>
      </c>
    </row>
    <row r="32" spans="1:34">
      <c r="A32" s="2197" t="s">
        <v>149</v>
      </c>
      <c r="B32" s="2198">
        <f t="shared" si="23"/>
        <v>322.34053690220776</v>
      </c>
      <c r="C32" s="2198">
        <f t="shared" si="23"/>
        <v>271.46160770422546</v>
      </c>
      <c r="D32" s="2198">
        <f t="shared" si="20"/>
        <v>271.46160770422546</v>
      </c>
      <c r="E32" s="2198">
        <f t="shared" si="24"/>
        <v>442.69434542172456</v>
      </c>
      <c r="F32" s="2198">
        <f t="shared" si="24"/>
        <v>241.34030753190925</v>
      </c>
      <c r="G32" s="3367"/>
      <c r="H32" s="2208">
        <v>2</v>
      </c>
      <c r="I32" s="2208">
        <v>0.77</v>
      </c>
      <c r="J32" s="2208">
        <v>0.69</v>
      </c>
      <c r="K32" s="2208">
        <v>0.8</v>
      </c>
      <c r="L32" s="2209">
        <v>0.88</v>
      </c>
      <c r="N32" s="2200">
        <f t="shared" si="22"/>
        <v>7.7000000000000002E-3</v>
      </c>
      <c r="O32" s="2185">
        <f t="shared" si="18"/>
        <v>6.8999999999999999E-3</v>
      </c>
      <c r="P32" s="2185">
        <f t="shared" si="18"/>
        <v>8.0000000000000002E-3</v>
      </c>
      <c r="Q32" s="2185">
        <f t="shared" si="18"/>
        <v>8.8000000000000005E-3</v>
      </c>
      <c r="R32" s="2201"/>
      <c r="S32" s="2200"/>
      <c r="T32" s="2988"/>
      <c r="U32" s="2185"/>
      <c r="V32" s="2185"/>
      <c r="X32" s="2184">
        <f>ROUND(SUMPRODUCT(PRODUCT(1+N32:N$36)),4)</f>
        <v>1.048</v>
      </c>
      <c r="Y32" s="2184">
        <f>ROUND(SUMPRODUCT(PRODUCT(1+O32:O$36)),4)</f>
        <v>1.0524</v>
      </c>
      <c r="Z32" s="2184">
        <f t="shared" si="9"/>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0"/>
        <v>1.2500000000000001E-2</v>
      </c>
      <c r="AG32" s="2185">
        <f>ROUND(AVERAGE(K32:K$37)/100,4)</f>
        <v>1.32E-2</v>
      </c>
      <c r="AH32" s="2185">
        <f>ROUND(AVERAGE(L32:L$37)/100,4)</f>
        <v>1.0500000000000001E-2</v>
      </c>
    </row>
    <row r="33" spans="1:34">
      <c r="A33" s="2197" t="s">
        <v>148</v>
      </c>
      <c r="B33" s="2198">
        <f t="shared" si="23"/>
        <v>319.87748030386797</v>
      </c>
      <c r="C33" s="2198">
        <f t="shared" si="23"/>
        <v>269.60135833173649</v>
      </c>
      <c r="D33" s="2198">
        <f t="shared" si="20"/>
        <v>269.60135833173649</v>
      </c>
      <c r="E33" s="2198">
        <f t="shared" si="24"/>
        <v>439.18089823583784</v>
      </c>
      <c r="F33" s="2198">
        <f t="shared" si="24"/>
        <v>239.23503918706311</v>
      </c>
      <c r="G33" s="3368"/>
      <c r="H33" s="2199">
        <v>1</v>
      </c>
      <c r="I33" s="2199">
        <v>0.51</v>
      </c>
      <c r="J33" s="2199">
        <v>0.54</v>
      </c>
      <c r="K33" s="2199">
        <v>0.48</v>
      </c>
      <c r="L33" s="2203">
        <v>0.93</v>
      </c>
      <c r="N33" s="2212">
        <f t="shared" si="22"/>
        <v>5.1000000000000004E-3</v>
      </c>
      <c r="O33" s="2213">
        <f t="shared" si="18"/>
        <v>5.4000000000000003E-3</v>
      </c>
      <c r="P33" s="2213">
        <f t="shared" si="18"/>
        <v>4.7999999999999996E-3</v>
      </c>
      <c r="Q33" s="2213">
        <f t="shared" si="18"/>
        <v>9.300000000000001E-3</v>
      </c>
      <c r="R33" s="2201"/>
      <c r="S33" s="2212">
        <f>B33/B34-1</f>
        <v>5.9040261127922822E-3</v>
      </c>
      <c r="T33" s="2990">
        <f>C33/C34-1</f>
        <v>5.9752176557332781E-3</v>
      </c>
      <c r="U33" s="2213">
        <f>E33/E34-1</f>
        <v>4.9906138119859556E-3</v>
      </c>
      <c r="V33" s="2213">
        <f>F33/F34-1</f>
        <v>9.4305450930933787E-3</v>
      </c>
      <c r="X33" s="2184">
        <f>ROUND(SUMPRODUCT(PRODUCT(1+N33:N$36)),4)</f>
        <v>1.0399</v>
      </c>
      <c r="Y33" s="2184">
        <f>ROUND(SUMPRODUCT(PRODUCT(1+O33:O$36)),4)</f>
        <v>1.0451999999999999</v>
      </c>
      <c r="Z33" s="2184">
        <f t="shared" si="9"/>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0"/>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0"/>
        <v>268</v>
      </c>
      <c r="E34" s="2221">
        <v>437</v>
      </c>
      <c r="F34" s="2222">
        <v>237</v>
      </c>
      <c r="G34" s="3366">
        <v>2014</v>
      </c>
      <c r="H34" s="2214">
        <v>4</v>
      </c>
      <c r="I34" s="2214">
        <v>0.21</v>
      </c>
      <c r="J34" s="2214">
        <v>0.41</v>
      </c>
      <c r="K34" s="2214">
        <v>0.12</v>
      </c>
      <c r="L34" s="2215">
        <v>0.89</v>
      </c>
      <c r="N34" s="2200">
        <f t="shared" si="22"/>
        <v>2.0999999999999999E-3</v>
      </c>
      <c r="O34" s="2185">
        <f t="shared" si="18"/>
        <v>4.0999999999999995E-3</v>
      </c>
      <c r="P34" s="2185">
        <f t="shared" si="18"/>
        <v>1.1999999999999999E-3</v>
      </c>
      <c r="Q34" s="2185">
        <f t="shared" si="18"/>
        <v>8.8999999999999999E-3</v>
      </c>
      <c r="R34" s="2201"/>
      <c r="S34" s="2210"/>
      <c r="T34" s="2989"/>
      <c r="U34" s="2211"/>
      <c r="V34" s="2211"/>
      <c r="X34" s="2184">
        <f>ROUND(SUMPRODUCT(PRODUCT(1+N34:N$36)),4)</f>
        <v>1.0347</v>
      </c>
      <c r="Y34" s="2184">
        <f>ROUND(SUMPRODUCT(PRODUCT(1+O34:O$36)),4)</f>
        <v>1.0395000000000001</v>
      </c>
      <c r="Z34" s="2184">
        <f t="shared" si="9"/>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0"/>
        <v>1.5599999999999999E-2</v>
      </c>
      <c r="AG34" s="2185">
        <f>ROUND(AVERAGE(K34:K$37)/100,4)</f>
        <v>1.66E-2</v>
      </c>
      <c r="AH34" s="2185">
        <f>ROUND(AVERAGE(L34:L$37)/100,4)</f>
        <v>1.12E-2</v>
      </c>
    </row>
    <row r="35" spans="1:34">
      <c r="A35" s="2197" t="s">
        <v>146</v>
      </c>
      <c r="B35" s="2198">
        <f t="shared" ref="B35:C37" si="25">B34/(1+N34)</f>
        <v>317.33359944117353</v>
      </c>
      <c r="C35" s="2198">
        <f t="shared" si="25"/>
        <v>266.90568668459315</v>
      </c>
      <c r="D35" s="2198">
        <f t="shared" si="20"/>
        <v>266.90568668459315</v>
      </c>
      <c r="E35" s="2198">
        <f t="shared" ref="E35:F37" si="26">E34/(1+P34)</f>
        <v>436.47622852576905</v>
      </c>
      <c r="F35" s="2198">
        <f t="shared" si="26"/>
        <v>234.90930716622066</v>
      </c>
      <c r="G35" s="3367"/>
      <c r="H35" s="2223">
        <v>3</v>
      </c>
      <c r="I35" s="2223">
        <v>0.83</v>
      </c>
      <c r="J35" s="2223">
        <v>1.47</v>
      </c>
      <c r="K35" s="2223">
        <v>0.65</v>
      </c>
      <c r="L35" s="2224">
        <v>0.72</v>
      </c>
      <c r="N35" s="2200">
        <f t="shared" si="22"/>
        <v>8.3000000000000001E-3</v>
      </c>
      <c r="O35" s="2185">
        <f t="shared" si="18"/>
        <v>1.47E-2</v>
      </c>
      <c r="P35" s="2185">
        <f t="shared" si="18"/>
        <v>6.5000000000000006E-3</v>
      </c>
      <c r="Q35" s="2185">
        <f t="shared" si="18"/>
        <v>7.1999999999999998E-3</v>
      </c>
      <c r="R35" s="2201"/>
      <c r="S35" s="2200"/>
      <c r="T35" s="2988"/>
      <c r="U35" s="2185"/>
      <c r="V35" s="2185"/>
      <c r="X35" s="2184">
        <f>ROUND(SUMPRODUCT(PRODUCT(1+N35:N$36)),4)</f>
        <v>1.0325</v>
      </c>
      <c r="Y35" s="2184">
        <f>ROUND(SUMPRODUCT(PRODUCT(1+O35:O$36)),4)</f>
        <v>1.0353000000000001</v>
      </c>
      <c r="Z35" s="2184">
        <f t="shared" si="9"/>
        <v>1.0353000000000001</v>
      </c>
      <c r="AA35" s="2184">
        <f>ROUND(SUMPRODUCT(PRODUCT(1+P35:P$36)),4)</f>
        <v>1.0326</v>
      </c>
      <c r="AB35" s="2184">
        <f>ROUND(SUMPRODUCT(PRODUCT(1+Q35:Q$36)),4)</f>
        <v>1.0225</v>
      </c>
      <c r="AD35" s="2185">
        <f>ROUND(AVERAGE(I35:I$37)/100,4)</f>
        <v>2.07E-2</v>
      </c>
      <c r="AE35" s="2185">
        <f>ROUND(AVERAGE(J35:J$37)/100,4)</f>
        <v>1.95E-2</v>
      </c>
      <c r="AF35" s="2185">
        <f t="shared" si="10"/>
        <v>1.95E-2</v>
      </c>
      <c r="AG35" s="2185">
        <f>ROUND(AVERAGE(K35:K$37)/100,4)</f>
        <v>2.1700000000000001E-2</v>
      </c>
      <c r="AH35" s="2185">
        <f>ROUND(AVERAGE(L35:L$37)/100,4)</f>
        <v>1.2E-2</v>
      </c>
    </row>
    <row r="36" spans="1:34" ht="13.5" thickBot="1">
      <c r="A36" s="2197" t="s">
        <v>145</v>
      </c>
      <c r="B36" s="2198">
        <f t="shared" si="25"/>
        <v>314.72141172386546</v>
      </c>
      <c r="C36" s="2198">
        <f t="shared" si="25"/>
        <v>263.03901319069001</v>
      </c>
      <c r="D36" s="2198">
        <f t="shared" si="20"/>
        <v>263.03901319069001</v>
      </c>
      <c r="E36" s="2198">
        <f t="shared" si="26"/>
        <v>433.65745506782821</v>
      </c>
      <c r="F36" s="2198">
        <f t="shared" si="26"/>
        <v>233.23005080045735</v>
      </c>
      <c r="G36" s="3367"/>
      <c r="H36" s="2214">
        <v>2</v>
      </c>
      <c r="I36" s="2214">
        <v>2.4</v>
      </c>
      <c r="J36" s="2214">
        <v>2.0299999999999998</v>
      </c>
      <c r="K36" s="2214">
        <v>2.59</v>
      </c>
      <c r="L36" s="2215">
        <v>1.52</v>
      </c>
      <c r="N36" s="2200">
        <f t="shared" si="22"/>
        <v>2.4E-2</v>
      </c>
      <c r="O36" s="2185">
        <f t="shared" si="18"/>
        <v>2.0299999999999999E-2</v>
      </c>
      <c r="P36" s="2185">
        <f t="shared" si="18"/>
        <v>2.5899999999999999E-2</v>
      </c>
      <c r="Q36" s="2185">
        <f t="shared" si="18"/>
        <v>1.52E-2</v>
      </c>
      <c r="R36" s="2201"/>
      <c r="S36" s="2200"/>
      <c r="T36" s="2988"/>
      <c r="U36" s="2185"/>
      <c r="V36" s="2185"/>
      <c r="X36" s="2184">
        <f>1+N36</f>
        <v>1.024</v>
      </c>
      <c r="Y36" s="2184">
        <f>1+O36</f>
        <v>1.0203</v>
      </c>
      <c r="Z36" s="2184">
        <f t="shared" si="9"/>
        <v>1.0203</v>
      </c>
      <c r="AA36" s="2184">
        <f>1+P36</f>
        <v>1.0259</v>
      </c>
      <c r="AB36" s="2184">
        <f>1+Q36</f>
        <v>1.0152000000000001</v>
      </c>
      <c r="AD36" s="2185">
        <f>ROUND(AVERAGE(I36:I$37)/100,4)</f>
        <v>2.69E-2</v>
      </c>
      <c r="AE36" s="2185">
        <f>ROUND(AVERAGE(J36:J$37)/100,4)</f>
        <v>2.1899999999999999E-2</v>
      </c>
      <c r="AF36" s="2185">
        <f t="shared" si="10"/>
        <v>2.1899999999999999E-2</v>
      </c>
      <c r="AG36" s="2185">
        <f>ROUND(AVERAGE(K36:K$37)/100,4)</f>
        <v>2.9399999999999999E-2</v>
      </c>
      <c r="AH36" s="2185">
        <f>ROUND(AVERAGE(L36:L$37)/100,4)</f>
        <v>1.44E-2</v>
      </c>
    </row>
    <row r="37" spans="1:34" s="2229" customFormat="1" ht="13.5" thickBot="1">
      <c r="A37" s="2225" t="s">
        <v>144</v>
      </c>
      <c r="B37" s="2226">
        <f t="shared" si="25"/>
        <v>307.34512863658733</v>
      </c>
      <c r="C37" s="2226">
        <f t="shared" si="25"/>
        <v>257.80556031626975</v>
      </c>
      <c r="D37" s="2226">
        <f t="shared" si="20"/>
        <v>257.80556031626975</v>
      </c>
      <c r="E37" s="2226">
        <f t="shared" si="26"/>
        <v>422.70928459677179</v>
      </c>
      <c r="F37" s="2226">
        <f t="shared" si="26"/>
        <v>229.73803270336617</v>
      </c>
      <c r="G37" s="3368"/>
      <c r="H37" s="2227">
        <v>1</v>
      </c>
      <c r="I37" s="2227">
        <v>2.97</v>
      </c>
      <c r="J37" s="2227">
        <v>2.34</v>
      </c>
      <c r="K37" s="2227">
        <v>3.28</v>
      </c>
      <c r="L37" s="2228">
        <v>1.36</v>
      </c>
      <c r="N37" s="2230">
        <f t="shared" si="22"/>
        <v>2.9700000000000001E-2</v>
      </c>
      <c r="O37" s="2231">
        <f t="shared" si="18"/>
        <v>2.3399999999999997E-2</v>
      </c>
      <c r="P37" s="2231">
        <f t="shared" si="18"/>
        <v>3.2799999999999996E-2</v>
      </c>
      <c r="Q37" s="2231">
        <f t="shared" si="18"/>
        <v>1.3600000000000001E-2</v>
      </c>
      <c r="R37" s="2232"/>
      <c r="S37" s="2233">
        <f>B37/B38-1</f>
        <v>2.7910129219355539E-2</v>
      </c>
      <c r="T37" s="2991">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 t="shared" si="10"/>
        <v>2.3399999999999997E-2</v>
      </c>
      <c r="AG37" s="2231">
        <f>K37/100</f>
        <v>3.2799999999999996E-2</v>
      </c>
      <c r="AH37" s="2231">
        <f>L37/100</f>
        <v>1.3600000000000001E-2</v>
      </c>
    </row>
    <row r="38" spans="1:34" ht="13.5" thickBot="1">
      <c r="A38" s="2197" t="s">
        <v>890</v>
      </c>
      <c r="B38" s="2206">
        <v>299</v>
      </c>
      <c r="C38" s="2206">
        <v>252</v>
      </c>
      <c r="D38" s="2206">
        <f t="shared" si="20"/>
        <v>252</v>
      </c>
      <c r="E38" s="2206">
        <v>409</v>
      </c>
      <c r="F38" s="2207">
        <v>227</v>
      </c>
      <c r="G38" s="3371">
        <v>2013</v>
      </c>
      <c r="H38" s="2236">
        <v>4</v>
      </c>
      <c r="I38" s="2236">
        <v>1.83</v>
      </c>
      <c r="J38" s="2236">
        <v>1.68</v>
      </c>
      <c r="K38" s="2236">
        <v>1.97</v>
      </c>
      <c r="L38" s="2237">
        <v>0.87</v>
      </c>
      <c r="N38" s="2216">
        <f t="shared" si="22"/>
        <v>1.83E-2</v>
      </c>
      <c r="O38" s="2217">
        <f t="shared" si="18"/>
        <v>1.6799999999999999E-2</v>
      </c>
      <c r="P38" s="2217">
        <f t="shared" si="18"/>
        <v>1.9699999999999999E-2</v>
      </c>
      <c r="Q38" s="2217">
        <f t="shared" si="18"/>
        <v>8.6999999999999994E-3</v>
      </c>
      <c r="R38" s="2201"/>
      <c r="S38" s="2210"/>
      <c r="T38" s="2989"/>
      <c r="U38" s="2211"/>
      <c r="V38" s="2211"/>
      <c r="X38" s="2211"/>
      <c r="Y38" s="2211"/>
      <c r="Z38" s="2211"/>
    </row>
    <row r="39" spans="1:34">
      <c r="A39" s="2197" t="s">
        <v>891</v>
      </c>
      <c r="B39" s="2198">
        <f t="shared" ref="B39:C41" si="27">B38/(1+N38)</f>
        <v>293.62663262299913</v>
      </c>
      <c r="C39" s="2198">
        <f t="shared" si="27"/>
        <v>247.83634933123525</v>
      </c>
      <c r="D39" s="2198">
        <f t="shared" si="20"/>
        <v>247.83634933123525</v>
      </c>
      <c r="E39" s="2198">
        <f t="shared" ref="E39:F41" si="28">E38/(1+P38)</f>
        <v>401.09836226341076</v>
      </c>
      <c r="F39" s="2198">
        <f t="shared" si="28"/>
        <v>225.04213343908003</v>
      </c>
      <c r="G39" s="3372"/>
      <c r="H39" s="2219">
        <v>3</v>
      </c>
      <c r="I39" s="2219">
        <v>1.86</v>
      </c>
      <c r="J39" s="2219">
        <v>1.72</v>
      </c>
      <c r="K39" s="2219">
        <v>1.98</v>
      </c>
      <c r="L39" s="2220">
        <v>0.88</v>
      </c>
      <c r="N39" s="2200">
        <f t="shared" si="22"/>
        <v>1.8600000000000002E-2</v>
      </c>
      <c r="O39" s="2185">
        <f t="shared" si="18"/>
        <v>1.72E-2</v>
      </c>
      <c r="P39" s="2185">
        <f t="shared" si="18"/>
        <v>1.9799999999999998E-2</v>
      </c>
      <c r="Q39" s="2185">
        <f t="shared" si="18"/>
        <v>8.8000000000000005E-3</v>
      </c>
      <c r="R39" s="2201"/>
      <c r="S39" s="2200"/>
      <c r="T39" s="2988"/>
      <c r="U39" s="2185"/>
      <c r="V39" s="2185"/>
    </row>
    <row r="40" spans="1:34">
      <c r="A40" s="2197" t="s">
        <v>892</v>
      </c>
      <c r="B40" s="2198">
        <f t="shared" si="27"/>
        <v>288.2649053828776</v>
      </c>
      <c r="C40" s="2198">
        <f t="shared" si="27"/>
        <v>243.64564425013293</v>
      </c>
      <c r="D40" s="2198">
        <f t="shared" si="20"/>
        <v>243.64564425013293</v>
      </c>
      <c r="E40" s="2198">
        <f t="shared" si="28"/>
        <v>393.31080825986544</v>
      </c>
      <c r="F40" s="2198">
        <f t="shared" si="28"/>
        <v>223.07903790551154</v>
      </c>
      <c r="G40" s="3372"/>
      <c r="H40" s="2208">
        <v>2</v>
      </c>
      <c r="I40" s="2208">
        <v>2.04</v>
      </c>
      <c r="J40" s="2208">
        <v>2.33</v>
      </c>
      <c r="K40" s="2208">
        <v>2.0699999999999998</v>
      </c>
      <c r="L40" s="2209">
        <v>0.69</v>
      </c>
      <c r="N40" s="2200">
        <f t="shared" si="22"/>
        <v>2.0400000000000001E-2</v>
      </c>
      <c r="O40" s="2185">
        <f t="shared" si="18"/>
        <v>2.3300000000000001E-2</v>
      </c>
      <c r="P40" s="2185">
        <f t="shared" si="18"/>
        <v>2.07E-2</v>
      </c>
      <c r="Q40" s="2185">
        <f t="shared" si="18"/>
        <v>6.8999999999999999E-3</v>
      </c>
      <c r="R40" s="2201"/>
      <c r="S40" s="2200"/>
      <c r="T40" s="2988"/>
      <c r="U40" s="2185"/>
      <c r="V40" s="2185"/>
      <c r="X40" s="2238"/>
      <c r="Y40" s="2239"/>
    </row>
    <row r="41" spans="1:34">
      <c r="A41" s="2197" t="s">
        <v>893</v>
      </c>
      <c r="B41" s="2198">
        <f t="shared" si="27"/>
        <v>282.50186729015837</v>
      </c>
      <c r="C41" s="2198">
        <f t="shared" si="27"/>
        <v>238.09796174155468</v>
      </c>
      <c r="D41" s="2198">
        <f t="shared" si="20"/>
        <v>238.09796174155468</v>
      </c>
      <c r="E41" s="2198">
        <f t="shared" si="28"/>
        <v>385.33438646014054</v>
      </c>
      <c r="F41" s="2198">
        <f t="shared" si="28"/>
        <v>221.55034055567739</v>
      </c>
      <c r="G41" s="3373"/>
      <c r="H41" s="2199">
        <v>1</v>
      </c>
      <c r="I41" s="2199">
        <v>1.67</v>
      </c>
      <c r="J41" s="2199">
        <v>1.31</v>
      </c>
      <c r="K41" s="2199">
        <v>1.85</v>
      </c>
      <c r="L41" s="2203">
        <v>0.96</v>
      </c>
      <c r="N41" s="2212">
        <f t="shared" si="22"/>
        <v>1.67E-2</v>
      </c>
      <c r="O41" s="2213">
        <f t="shared" si="22"/>
        <v>1.3100000000000001E-2</v>
      </c>
      <c r="P41" s="2213">
        <f t="shared" si="22"/>
        <v>1.8500000000000003E-2</v>
      </c>
      <c r="Q41" s="2213">
        <f t="shared" si="22"/>
        <v>9.5999999999999992E-3</v>
      </c>
      <c r="R41" s="2201"/>
      <c r="S41" s="2212">
        <f>B41/B42-1</f>
        <v>1.6193767230785472E-2</v>
      </c>
      <c r="T41" s="2990">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0"/>
        <v>234</v>
      </c>
      <c r="E42" s="2240">
        <v>379</v>
      </c>
      <c r="F42" s="2241">
        <v>220</v>
      </c>
      <c r="G42" s="3366">
        <v>2012</v>
      </c>
      <c r="H42" s="2214">
        <v>4</v>
      </c>
      <c r="I42" s="2214">
        <v>0.91</v>
      </c>
      <c r="J42" s="2214">
        <v>0.68</v>
      </c>
      <c r="K42" s="2214">
        <v>0.98</v>
      </c>
      <c r="L42" s="2215">
        <v>0.9</v>
      </c>
      <c r="N42" s="2200">
        <f t="shared" si="22"/>
        <v>9.1000000000000004E-3</v>
      </c>
      <c r="O42" s="2185">
        <f t="shared" si="22"/>
        <v>6.8000000000000005E-3</v>
      </c>
      <c r="P42" s="2185">
        <f t="shared" si="22"/>
        <v>9.7999999999999997E-3</v>
      </c>
      <c r="Q42" s="2185">
        <f t="shared" si="22"/>
        <v>9.0000000000000011E-3</v>
      </c>
      <c r="R42" s="2201"/>
      <c r="S42" s="2210"/>
      <c r="T42" s="2989"/>
      <c r="U42" s="2211"/>
      <c r="V42" s="2211"/>
      <c r="X42" s="2211"/>
      <c r="Y42" s="2211"/>
      <c r="Z42" s="2211"/>
    </row>
    <row r="43" spans="1:34">
      <c r="A43" s="2197" t="s">
        <v>895</v>
      </c>
      <c r="B43" s="2198">
        <f>B42/(1+N42)</f>
        <v>275.49301357645425</v>
      </c>
      <c r="C43" s="2198">
        <f>C42/(1+O42)</f>
        <v>232.41954707985698</v>
      </c>
      <c r="D43" s="2198">
        <f t="shared" si="20"/>
        <v>232.41954707985698</v>
      </c>
      <c r="E43" s="2198">
        <f t="shared" ref="E43:F45" si="29">E42/(1+P42)</f>
        <v>375.32184591008121</v>
      </c>
      <c r="F43" s="2198">
        <f t="shared" si="29"/>
        <v>218.03766105054513</v>
      </c>
      <c r="G43" s="3367"/>
      <c r="H43" s="2219">
        <v>3</v>
      </c>
      <c r="I43" s="2219">
        <v>0.09</v>
      </c>
      <c r="J43" s="2219">
        <v>0.28999999999999998</v>
      </c>
      <c r="K43" s="2219">
        <v>-0.01</v>
      </c>
      <c r="L43" s="2220">
        <v>0.57999999999999996</v>
      </c>
      <c r="N43" s="2200">
        <f t="shared" si="22"/>
        <v>8.9999999999999998E-4</v>
      </c>
      <c r="O43" s="2185">
        <f t="shared" si="22"/>
        <v>2.8999999999999998E-3</v>
      </c>
      <c r="P43" s="2185">
        <f t="shared" si="22"/>
        <v>-1E-4</v>
      </c>
      <c r="Q43" s="2185">
        <f t="shared" si="22"/>
        <v>5.7999999999999996E-3</v>
      </c>
      <c r="R43" s="2201"/>
      <c r="S43" s="2200"/>
      <c r="T43" s="2988"/>
      <c r="U43" s="2185"/>
      <c r="V43" s="2185"/>
    </row>
    <row r="44" spans="1:34">
      <c r="A44" s="2197" t="s">
        <v>896</v>
      </c>
      <c r="B44" s="2198">
        <f>B43/(1+N43)</f>
        <v>275.24529281292263</v>
      </c>
      <c r="C44" s="2198">
        <f>C43/(1+O43)</f>
        <v>231.74747938962707</v>
      </c>
      <c r="D44" s="2198">
        <f t="shared" si="20"/>
        <v>231.74747938962707</v>
      </c>
      <c r="E44" s="2198">
        <f t="shared" si="29"/>
        <v>375.35938184826603</v>
      </c>
      <c r="F44" s="2198">
        <f t="shared" si="29"/>
        <v>216.78033510692495</v>
      </c>
      <c r="G44" s="3367"/>
      <c r="H44" s="2208">
        <v>2</v>
      </c>
      <c r="I44" s="2208">
        <v>0.02</v>
      </c>
      <c r="J44" s="2208">
        <v>0.12</v>
      </c>
      <c r="K44" s="2208">
        <v>-0.08</v>
      </c>
      <c r="L44" s="2209">
        <v>1.24</v>
      </c>
      <c r="N44" s="2200">
        <f t="shared" si="22"/>
        <v>2.0000000000000001E-4</v>
      </c>
      <c r="O44" s="2185">
        <f t="shared" si="22"/>
        <v>1.1999999999999999E-3</v>
      </c>
      <c r="P44" s="2185">
        <f t="shared" si="22"/>
        <v>-8.0000000000000004E-4</v>
      </c>
      <c r="Q44" s="2185">
        <f t="shared" si="22"/>
        <v>1.24E-2</v>
      </c>
      <c r="R44" s="2201"/>
      <c r="S44" s="2200"/>
      <c r="T44" s="2988"/>
      <c r="U44" s="2185"/>
      <c r="V44" s="2185"/>
    </row>
    <row r="45" spans="1:34" ht="13.5" thickBot="1">
      <c r="A45" s="2197" t="s">
        <v>897</v>
      </c>
      <c r="B45" s="2198">
        <f>B44/(1+N44)</f>
        <v>275.19025476197027</v>
      </c>
      <c r="C45" s="2242">
        <v>232</v>
      </c>
      <c r="D45" s="2242">
        <f t="shared" si="20"/>
        <v>232</v>
      </c>
      <c r="E45" s="2198">
        <f t="shared" si="29"/>
        <v>375.65990977608692</v>
      </c>
      <c r="F45" s="2198">
        <f t="shared" si="29"/>
        <v>214.12518283971252</v>
      </c>
      <c r="G45" s="3368"/>
      <c r="H45" s="2199">
        <v>1</v>
      </c>
      <c r="I45" s="2199">
        <v>0.02</v>
      </c>
      <c r="J45" s="2199">
        <v>0.13</v>
      </c>
      <c r="K45" s="2199">
        <v>-0.04</v>
      </c>
      <c r="L45" s="2203">
        <v>0.46</v>
      </c>
      <c r="N45" s="2200">
        <f t="shared" si="22"/>
        <v>2.0000000000000001E-4</v>
      </c>
      <c r="O45" s="2185">
        <f t="shared" si="22"/>
        <v>1.2999999999999999E-3</v>
      </c>
      <c r="P45" s="2185">
        <f t="shared" si="22"/>
        <v>-4.0000000000000002E-4</v>
      </c>
      <c r="Q45" s="2185">
        <f t="shared" si="22"/>
        <v>4.5999999999999999E-3</v>
      </c>
      <c r="R45" s="2201"/>
      <c r="S45" s="2212">
        <f>B45/B46-1</f>
        <v>6.9183549807361189E-4</v>
      </c>
      <c r="T45" s="2990">
        <f>C45/C46-1</f>
        <v>0</v>
      </c>
      <c r="U45" s="2213">
        <f>E45/E46-1</f>
        <v>-9.0449527636460303E-4</v>
      </c>
      <c r="V45" s="2213">
        <f>F45/F46-1</f>
        <v>5.2825485432512753E-3</v>
      </c>
      <c r="X45" s="2185"/>
      <c r="Y45" s="2185"/>
      <c r="Z45" s="2185"/>
    </row>
    <row r="46" spans="1:34" ht="13.5" thickBot="1">
      <c r="A46" s="2197" t="s">
        <v>898</v>
      </c>
      <c r="B46" s="2206">
        <v>275</v>
      </c>
      <c r="C46" s="2206">
        <v>232</v>
      </c>
      <c r="D46" s="2206">
        <f t="shared" si="20"/>
        <v>232</v>
      </c>
      <c r="E46" s="2206">
        <v>376</v>
      </c>
      <c r="F46" s="2207">
        <v>213</v>
      </c>
      <c r="G46" s="3366">
        <v>2011</v>
      </c>
      <c r="H46" s="2214">
        <v>4</v>
      </c>
      <c r="I46" s="2214">
        <v>-0.2</v>
      </c>
      <c r="J46" s="2214">
        <v>0.04</v>
      </c>
      <c r="K46" s="2214">
        <v>-0.34</v>
      </c>
      <c r="L46" s="2215">
        <v>0.46</v>
      </c>
      <c r="N46" s="2216">
        <f t="shared" si="22"/>
        <v>-2E-3</v>
      </c>
      <c r="O46" s="2217">
        <f t="shared" si="22"/>
        <v>4.0000000000000002E-4</v>
      </c>
      <c r="P46" s="2217">
        <f t="shared" si="22"/>
        <v>-3.4000000000000002E-3</v>
      </c>
      <c r="Q46" s="2217">
        <f t="shared" si="22"/>
        <v>4.5999999999999999E-3</v>
      </c>
      <c r="R46" s="2201"/>
      <c r="S46" s="2210"/>
      <c r="T46" s="2989"/>
      <c r="U46" s="2211"/>
      <c r="V46" s="2211"/>
      <c r="X46" s="2211"/>
      <c r="Y46" s="2211"/>
      <c r="Z46" s="2211"/>
    </row>
    <row r="47" spans="1:34">
      <c r="A47" s="2197" t="s">
        <v>899</v>
      </c>
      <c r="B47" s="2198">
        <f t="shared" ref="B47:C49" si="30">B46/(1+N46)</f>
        <v>275.55110220440883</v>
      </c>
      <c r="C47" s="2198">
        <f t="shared" si="30"/>
        <v>231.90723710515795</v>
      </c>
      <c r="D47" s="2198">
        <f t="shared" si="20"/>
        <v>231.90723710515795</v>
      </c>
      <c r="E47" s="2198">
        <f t="shared" ref="E47:F49" si="31">E46/(1+P46)</f>
        <v>377.28276138872161</v>
      </c>
      <c r="F47" s="2198">
        <f t="shared" si="31"/>
        <v>212.02468644236512</v>
      </c>
      <c r="G47" s="3367">
        <v>2011</v>
      </c>
      <c r="H47" s="2219">
        <v>3</v>
      </c>
      <c r="I47" s="2219">
        <v>0.13</v>
      </c>
      <c r="J47" s="2219">
        <v>0.75</v>
      </c>
      <c r="K47" s="2219">
        <v>-0.08</v>
      </c>
      <c r="L47" s="2220">
        <v>0.53</v>
      </c>
      <c r="N47" s="2200">
        <f t="shared" si="22"/>
        <v>1.2999999999999999E-3</v>
      </c>
      <c r="O47" s="2185">
        <f t="shared" si="22"/>
        <v>7.4999999999999997E-3</v>
      </c>
      <c r="P47" s="2185">
        <f t="shared" si="22"/>
        <v>-8.0000000000000004E-4</v>
      </c>
      <c r="Q47" s="2185">
        <f t="shared" si="22"/>
        <v>5.3E-3</v>
      </c>
      <c r="R47" s="2201"/>
      <c r="S47" s="2200"/>
      <c r="T47" s="2988"/>
      <c r="U47" s="2185"/>
      <c r="V47" s="2185"/>
    </row>
    <row r="48" spans="1:34">
      <c r="A48" s="2197" t="s">
        <v>900</v>
      </c>
      <c r="B48" s="2198">
        <f t="shared" si="30"/>
        <v>275.19335084830601</v>
      </c>
      <c r="C48" s="2198">
        <f t="shared" si="30"/>
        <v>230.18088050139744</v>
      </c>
      <c r="D48" s="2198">
        <f t="shared" si="20"/>
        <v>230.18088050139744</v>
      </c>
      <c r="E48" s="2198">
        <f t="shared" si="31"/>
        <v>377.58482925212331</v>
      </c>
      <c r="F48" s="2198">
        <f t="shared" si="31"/>
        <v>210.90687997847917</v>
      </c>
      <c r="G48" s="3367">
        <v>2011</v>
      </c>
      <c r="H48" s="2208">
        <v>2</v>
      </c>
      <c r="I48" s="2208">
        <v>-0.4</v>
      </c>
      <c r="J48" s="2208">
        <v>0.17</v>
      </c>
      <c r="K48" s="2208">
        <v>-0.57999999999999996</v>
      </c>
      <c r="L48" s="2209">
        <v>-0.2</v>
      </c>
      <c r="N48" s="2200">
        <f t="shared" si="22"/>
        <v>-4.0000000000000001E-3</v>
      </c>
      <c r="O48" s="2185">
        <f t="shared" si="22"/>
        <v>1.7000000000000001E-3</v>
      </c>
      <c r="P48" s="2185">
        <f t="shared" si="22"/>
        <v>-5.7999999999999996E-3</v>
      </c>
      <c r="Q48" s="2185">
        <f t="shared" si="22"/>
        <v>-2E-3</v>
      </c>
      <c r="R48" s="2201"/>
      <c r="S48" s="2200"/>
      <c r="T48" s="2988"/>
      <c r="U48" s="2185"/>
      <c r="V48" s="2185"/>
    </row>
    <row r="49" spans="1:26" ht="13.5" thickBot="1">
      <c r="A49" s="2197" t="s">
        <v>901</v>
      </c>
      <c r="B49" s="2198">
        <f t="shared" si="30"/>
        <v>276.29854502841971</v>
      </c>
      <c r="C49" s="2198">
        <f t="shared" si="30"/>
        <v>229.79023709833027</v>
      </c>
      <c r="D49" s="2198">
        <f t="shared" si="20"/>
        <v>229.79023709833027</v>
      </c>
      <c r="E49" s="2198">
        <f t="shared" si="31"/>
        <v>379.78759731655936</v>
      </c>
      <c r="F49" s="2198">
        <f t="shared" si="31"/>
        <v>211.32953905659235</v>
      </c>
      <c r="G49" s="3368">
        <v>2011</v>
      </c>
      <c r="H49" s="2199">
        <v>1</v>
      </c>
      <c r="I49" s="2199">
        <v>2.65</v>
      </c>
      <c r="J49" s="2199">
        <v>3.76</v>
      </c>
      <c r="K49" s="2199">
        <v>1.89</v>
      </c>
      <c r="L49" s="2203">
        <v>7.95</v>
      </c>
      <c r="N49" s="2212">
        <f t="shared" si="22"/>
        <v>2.6499999999999999E-2</v>
      </c>
      <c r="O49" s="2213">
        <f t="shared" si="22"/>
        <v>3.7599999999999995E-2</v>
      </c>
      <c r="P49" s="2213">
        <f t="shared" si="22"/>
        <v>1.89E-2</v>
      </c>
      <c r="Q49" s="2213">
        <f t="shared" si="22"/>
        <v>7.9500000000000001E-2</v>
      </c>
      <c r="R49" s="2201"/>
      <c r="S49" s="2212">
        <f>B49/B50-1</f>
        <v>2.713213765211786E-2</v>
      </c>
      <c r="T49" s="2990">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0"/>
        <v>221</v>
      </c>
      <c r="E50" s="2206">
        <v>373</v>
      </c>
      <c r="F50" s="2207">
        <v>196</v>
      </c>
      <c r="G50" s="3366">
        <v>2010</v>
      </c>
      <c r="H50" s="2214">
        <v>4</v>
      </c>
      <c r="I50" s="2214">
        <v>5.72</v>
      </c>
      <c r="J50" s="2214">
        <v>6.57</v>
      </c>
      <c r="K50" s="2214">
        <v>5.72</v>
      </c>
      <c r="L50" s="2215">
        <v>2.72</v>
      </c>
      <c r="N50" s="2200">
        <f t="shared" si="22"/>
        <v>5.7200000000000001E-2</v>
      </c>
      <c r="O50" s="2185">
        <f t="shared" si="22"/>
        <v>6.5700000000000008E-2</v>
      </c>
      <c r="P50" s="2185">
        <f t="shared" si="22"/>
        <v>5.7200000000000001E-2</v>
      </c>
      <c r="Q50" s="2185">
        <f t="shared" si="22"/>
        <v>2.7200000000000002E-2</v>
      </c>
      <c r="R50" s="2201"/>
      <c r="S50" s="2210"/>
      <c r="T50" s="2989"/>
      <c r="U50" s="2211"/>
      <c r="V50" s="2211"/>
      <c r="X50" s="2211"/>
      <c r="Y50" s="2211"/>
      <c r="Z50" s="2211"/>
    </row>
    <row r="51" spans="1:26">
      <c r="A51" s="2197" t="s">
        <v>903</v>
      </c>
      <c r="B51" s="2198">
        <f t="shared" ref="B51:C53" si="32">B50/(1+N50)</f>
        <v>254.44570563753314</v>
      </c>
      <c r="C51" s="2198">
        <f t="shared" si="32"/>
        <v>207.37543398705074</v>
      </c>
      <c r="D51" s="2198">
        <f t="shared" si="20"/>
        <v>207.37543398705074</v>
      </c>
      <c r="E51" s="2198">
        <f t="shared" ref="E51:F53" si="33">E50/(1+P50)</f>
        <v>352.81876655315932</v>
      </c>
      <c r="F51" s="2198">
        <f t="shared" si="33"/>
        <v>190.809968847352</v>
      </c>
      <c r="G51" s="3367">
        <v>2010</v>
      </c>
      <c r="H51" s="2219">
        <v>3</v>
      </c>
      <c r="I51" s="2219">
        <v>4.7300000000000004</v>
      </c>
      <c r="J51" s="2219">
        <v>3.9</v>
      </c>
      <c r="K51" s="2219">
        <v>5.03</v>
      </c>
      <c r="L51" s="2220">
        <v>4.21</v>
      </c>
      <c r="N51" s="2200">
        <f t="shared" si="22"/>
        <v>4.7300000000000002E-2</v>
      </c>
      <c r="O51" s="2185">
        <f t="shared" si="22"/>
        <v>3.9E-2</v>
      </c>
      <c r="P51" s="2185">
        <f t="shared" si="22"/>
        <v>5.0300000000000004E-2</v>
      </c>
      <c r="Q51" s="2185">
        <f t="shared" si="22"/>
        <v>4.2099999999999999E-2</v>
      </c>
      <c r="R51" s="2201"/>
      <c r="S51" s="2200"/>
      <c r="T51" s="2988"/>
      <c r="U51" s="2185"/>
      <c r="V51" s="2185"/>
    </row>
    <row r="52" spans="1:26">
      <c r="A52" s="2197" t="s">
        <v>904</v>
      </c>
      <c r="B52" s="2198">
        <f t="shared" si="32"/>
        <v>242.95398227588385</v>
      </c>
      <c r="C52" s="2198">
        <f t="shared" si="32"/>
        <v>199.59137053614126</v>
      </c>
      <c r="D52" s="2198">
        <f t="shared" si="20"/>
        <v>199.59137053614126</v>
      </c>
      <c r="E52" s="2198">
        <f t="shared" si="33"/>
        <v>335.92189522342125</v>
      </c>
      <c r="F52" s="2198">
        <f t="shared" si="33"/>
        <v>183.10139991109489</v>
      </c>
      <c r="G52" s="3367">
        <v>2010</v>
      </c>
      <c r="H52" s="2208">
        <v>2</v>
      </c>
      <c r="I52" s="2208">
        <v>4.6900000000000004</v>
      </c>
      <c r="J52" s="2208">
        <v>3.55</v>
      </c>
      <c r="K52" s="2208">
        <v>5.07</v>
      </c>
      <c r="L52" s="2209">
        <v>4.2300000000000004</v>
      </c>
      <c r="N52" s="2200">
        <f t="shared" si="22"/>
        <v>4.6900000000000004E-2</v>
      </c>
      <c r="O52" s="2185">
        <f t="shared" si="22"/>
        <v>3.5499999999999997E-2</v>
      </c>
      <c r="P52" s="2185">
        <f t="shared" si="22"/>
        <v>5.0700000000000002E-2</v>
      </c>
      <c r="Q52" s="2185">
        <f t="shared" si="22"/>
        <v>4.2300000000000004E-2</v>
      </c>
      <c r="R52" s="2201"/>
      <c r="S52" s="2200"/>
      <c r="T52" s="2988"/>
      <c r="U52" s="2185"/>
      <c r="V52" s="2185"/>
    </row>
    <row r="53" spans="1:26" ht="13.5" thickBot="1">
      <c r="A53" s="2197" t="s">
        <v>905</v>
      </c>
      <c r="B53" s="2198">
        <f t="shared" si="32"/>
        <v>232.06990378821649</v>
      </c>
      <c r="C53" s="2198">
        <f t="shared" si="32"/>
        <v>192.74878854286936</v>
      </c>
      <c r="D53" s="2198">
        <f t="shared" si="20"/>
        <v>192.74878854286936</v>
      </c>
      <c r="E53" s="2198">
        <f t="shared" si="33"/>
        <v>319.71247284992984</v>
      </c>
      <c r="F53" s="2198">
        <f t="shared" si="33"/>
        <v>175.67053622862409</v>
      </c>
      <c r="G53" s="3368">
        <v>2010</v>
      </c>
      <c r="H53" s="2199">
        <v>1</v>
      </c>
      <c r="I53" s="2199">
        <v>5.4</v>
      </c>
      <c r="J53" s="2199">
        <v>3.2</v>
      </c>
      <c r="K53" s="2199">
        <v>6.16</v>
      </c>
      <c r="L53" s="2203">
        <v>4.51</v>
      </c>
      <c r="N53" s="2200">
        <f t="shared" si="22"/>
        <v>5.4000000000000006E-2</v>
      </c>
      <c r="O53" s="2185">
        <f t="shared" si="22"/>
        <v>3.2000000000000001E-2</v>
      </c>
      <c r="P53" s="2185">
        <f t="shared" si="22"/>
        <v>6.1600000000000002E-2</v>
      </c>
      <c r="Q53" s="2185">
        <f t="shared" si="22"/>
        <v>4.5100000000000001E-2</v>
      </c>
      <c r="R53" s="2201"/>
      <c r="S53" s="2212">
        <f>B53/B54-1</f>
        <v>5.4863199037347599E-2</v>
      </c>
      <c r="T53" s="2990">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0"/>
        <v>187</v>
      </c>
      <c r="E54" s="2206">
        <v>301</v>
      </c>
      <c r="F54" s="2207">
        <v>168</v>
      </c>
      <c r="G54" s="3366">
        <v>2009</v>
      </c>
      <c r="H54" s="2214">
        <v>4</v>
      </c>
      <c r="I54" s="2214">
        <v>2.2999999999999998</v>
      </c>
      <c r="J54" s="2214">
        <v>1.04</v>
      </c>
      <c r="K54" s="2214">
        <v>2.84</v>
      </c>
      <c r="L54" s="2215">
        <v>0.67</v>
      </c>
      <c r="N54" s="2216">
        <f t="shared" si="22"/>
        <v>2.3E-2</v>
      </c>
      <c r="O54" s="2217">
        <f t="shared" si="22"/>
        <v>1.04E-2</v>
      </c>
      <c r="P54" s="2217">
        <f t="shared" si="22"/>
        <v>2.8399999999999998E-2</v>
      </c>
      <c r="Q54" s="2217">
        <f t="shared" si="22"/>
        <v>6.7000000000000002E-3</v>
      </c>
      <c r="R54" s="2201"/>
      <c r="S54" s="2210"/>
      <c r="T54" s="2989"/>
      <c r="U54" s="2211"/>
      <c r="V54" s="2211"/>
      <c r="X54" s="2211"/>
      <c r="Y54" s="2211"/>
      <c r="Z54" s="2211"/>
    </row>
    <row r="55" spans="1:26">
      <c r="A55" s="2197" t="s">
        <v>907</v>
      </c>
      <c r="B55" s="2198">
        <f t="shared" ref="B55:C57" si="34">B54/(1+N54)</f>
        <v>215.05376344086022</v>
      </c>
      <c r="C55" s="2198">
        <f t="shared" si="34"/>
        <v>185.0752177355503</v>
      </c>
      <c r="D55" s="2198">
        <f t="shared" si="20"/>
        <v>185.0752177355503</v>
      </c>
      <c r="E55" s="2198">
        <f t="shared" ref="E55:F57" si="35">E54/(1+P54)</f>
        <v>292.68767016725008</v>
      </c>
      <c r="F55" s="2198">
        <f t="shared" si="35"/>
        <v>166.88189132810174</v>
      </c>
      <c r="G55" s="3367">
        <v>2009</v>
      </c>
      <c r="H55" s="2219">
        <v>3</v>
      </c>
      <c r="I55" s="2219">
        <v>2.1</v>
      </c>
      <c r="J55" s="2219">
        <v>1.86</v>
      </c>
      <c r="K55" s="2219">
        <v>2.29</v>
      </c>
      <c r="L55" s="2220">
        <v>0.85</v>
      </c>
      <c r="N55" s="2200">
        <f t="shared" si="22"/>
        <v>2.1000000000000001E-2</v>
      </c>
      <c r="O55" s="2185">
        <f t="shared" si="22"/>
        <v>1.8600000000000002E-2</v>
      </c>
      <c r="P55" s="2185">
        <f t="shared" si="22"/>
        <v>2.29E-2</v>
      </c>
      <c r="Q55" s="2185">
        <f t="shared" si="22"/>
        <v>8.5000000000000006E-3</v>
      </c>
      <c r="R55" s="2201"/>
      <c r="S55" s="2200"/>
      <c r="T55" s="2988"/>
      <c r="U55" s="2185"/>
      <c r="V55" s="2185"/>
    </row>
    <row r="56" spans="1:26">
      <c r="A56" s="2197" t="s">
        <v>908</v>
      </c>
      <c r="B56" s="2198">
        <f t="shared" si="34"/>
        <v>210.630522469011</v>
      </c>
      <c r="C56" s="2198">
        <f t="shared" si="34"/>
        <v>181.69567812247232</v>
      </c>
      <c r="D56" s="2198">
        <f t="shared" si="20"/>
        <v>181.69567812247232</v>
      </c>
      <c r="E56" s="2198">
        <f t="shared" si="35"/>
        <v>286.13517466736738</v>
      </c>
      <c r="F56" s="2198">
        <f t="shared" si="35"/>
        <v>165.47535084591149</v>
      </c>
      <c r="G56" s="3367">
        <v>2009</v>
      </c>
      <c r="H56" s="2208">
        <v>2</v>
      </c>
      <c r="I56" s="2208">
        <v>0.86</v>
      </c>
      <c r="J56" s="2208">
        <v>-1.1299999999999999</v>
      </c>
      <c r="K56" s="2208">
        <v>1.79</v>
      </c>
      <c r="L56" s="2209">
        <v>-2.0699999999999998</v>
      </c>
      <c r="N56" s="2200">
        <f t="shared" si="22"/>
        <v>8.6E-3</v>
      </c>
      <c r="O56" s="2185">
        <f t="shared" si="22"/>
        <v>-1.1299999999999999E-2</v>
      </c>
      <c r="P56" s="2185">
        <f t="shared" si="22"/>
        <v>1.7899999999999999E-2</v>
      </c>
      <c r="Q56" s="2185">
        <f t="shared" si="22"/>
        <v>-2.07E-2</v>
      </c>
      <c r="R56" s="2201"/>
      <c r="S56" s="2200"/>
      <c r="T56" s="2988"/>
      <c r="U56" s="2185"/>
      <c r="V56" s="2185"/>
    </row>
    <row r="57" spans="1:26">
      <c r="A57" s="2197" t="s">
        <v>909</v>
      </c>
      <c r="B57" s="2198">
        <f t="shared" si="34"/>
        <v>208.83454537875372</v>
      </c>
      <c r="C57" s="2198">
        <f t="shared" si="34"/>
        <v>183.77230517090351</v>
      </c>
      <c r="D57" s="2198">
        <f t="shared" si="20"/>
        <v>183.77230517090351</v>
      </c>
      <c r="E57" s="2198">
        <f t="shared" si="35"/>
        <v>281.10342338870947</v>
      </c>
      <c r="F57" s="2198">
        <f t="shared" si="35"/>
        <v>168.97309388942256</v>
      </c>
      <c r="G57" s="3368">
        <v>2009</v>
      </c>
      <c r="H57" s="2199">
        <v>1</v>
      </c>
      <c r="I57" s="2199">
        <v>-2.64</v>
      </c>
      <c r="J57" s="2199">
        <v>-2.5299999999999998</v>
      </c>
      <c r="K57" s="2199">
        <v>-3.02</v>
      </c>
      <c r="L57" s="2203">
        <v>1.52</v>
      </c>
      <c r="N57" s="2212">
        <f t="shared" si="22"/>
        <v>-2.64E-2</v>
      </c>
      <c r="O57" s="2213">
        <f t="shared" si="22"/>
        <v>-2.53E-2</v>
      </c>
      <c r="P57" s="2213">
        <f t="shared" si="22"/>
        <v>-3.0200000000000001E-2</v>
      </c>
      <c r="Q57" s="2213">
        <f t="shared" si="22"/>
        <v>1.52E-2</v>
      </c>
      <c r="R57" s="2201"/>
      <c r="S57" s="2212">
        <f>B57/B58-1</f>
        <v>-2.4137638417038754E-2</v>
      </c>
      <c r="T57" s="2990">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0"/>
        <v>188</v>
      </c>
      <c r="E58" s="2240">
        <v>289</v>
      </c>
      <c r="F58" s="2241">
        <v>166</v>
      </c>
      <c r="G58" s="3366">
        <v>2008</v>
      </c>
      <c r="H58" s="2214">
        <v>4</v>
      </c>
      <c r="I58" s="2214">
        <v>1.73</v>
      </c>
      <c r="J58" s="2214">
        <v>0.03</v>
      </c>
      <c r="K58" s="2214">
        <v>2.59</v>
      </c>
      <c r="L58" s="2215">
        <v>-1.66</v>
      </c>
      <c r="N58" s="2200">
        <f t="shared" si="22"/>
        <v>1.7299999999999999E-2</v>
      </c>
      <c r="O58" s="2185">
        <f t="shared" si="22"/>
        <v>2.9999999999999997E-4</v>
      </c>
      <c r="P58" s="2185">
        <f t="shared" si="22"/>
        <v>2.5899999999999999E-2</v>
      </c>
      <c r="Q58" s="2185">
        <f t="shared" si="22"/>
        <v>-1.66E-2</v>
      </c>
      <c r="R58" s="2201"/>
      <c r="S58" s="2210"/>
      <c r="T58" s="2989"/>
      <c r="U58" s="2211"/>
      <c r="V58" s="2211"/>
      <c r="X58" s="2211"/>
      <c r="Y58" s="2211"/>
      <c r="Z58" s="2211"/>
    </row>
    <row r="59" spans="1:26">
      <c r="A59" s="2197" t="s">
        <v>911</v>
      </c>
      <c r="B59" s="2198">
        <f t="shared" ref="B59:C61" si="36">B58/(1+N58)</f>
        <v>210.36075887152265</v>
      </c>
      <c r="C59" s="2198">
        <f t="shared" si="36"/>
        <v>187.94361691492554</v>
      </c>
      <c r="D59" s="2198">
        <f t="shared" si="20"/>
        <v>187.94361691492554</v>
      </c>
      <c r="E59" s="2198">
        <f t="shared" ref="E59:F61" si="37">E58/(1+P58)</f>
        <v>281.70386977288234</v>
      </c>
      <c r="F59" s="2198">
        <f t="shared" si="37"/>
        <v>168.80211511083994</v>
      </c>
      <c r="G59" s="3367">
        <v>2008</v>
      </c>
      <c r="H59" s="2219">
        <v>3</v>
      </c>
      <c r="I59" s="2219">
        <v>1.96</v>
      </c>
      <c r="J59" s="2219">
        <v>2.36</v>
      </c>
      <c r="K59" s="2219">
        <v>1.82</v>
      </c>
      <c r="L59" s="2220">
        <v>2.2200000000000002</v>
      </c>
      <c r="N59" s="2200">
        <f t="shared" si="22"/>
        <v>1.9599999999999999E-2</v>
      </c>
      <c r="O59" s="2185">
        <f t="shared" si="22"/>
        <v>2.3599999999999999E-2</v>
      </c>
      <c r="P59" s="2185">
        <f t="shared" si="22"/>
        <v>1.8200000000000001E-2</v>
      </c>
      <c r="Q59" s="2185">
        <f t="shared" si="22"/>
        <v>2.2200000000000001E-2</v>
      </c>
      <c r="R59" s="2201"/>
      <c r="S59" s="2200"/>
      <c r="T59" s="2988"/>
      <c r="U59" s="2185"/>
      <c r="V59" s="2185"/>
    </row>
    <row r="60" spans="1:26">
      <c r="A60" s="2197" t="s">
        <v>912</v>
      </c>
      <c r="B60" s="2198">
        <f t="shared" si="36"/>
        <v>206.31694671589116</v>
      </c>
      <c r="C60" s="2198">
        <f t="shared" si="36"/>
        <v>183.61041121036101</v>
      </c>
      <c r="D60" s="2198">
        <f t="shared" si="20"/>
        <v>183.61041121036101</v>
      </c>
      <c r="E60" s="2198">
        <f t="shared" si="37"/>
        <v>276.66850301795557</v>
      </c>
      <c r="F60" s="2198">
        <f t="shared" si="37"/>
        <v>165.1360938278614</v>
      </c>
      <c r="G60" s="3367">
        <v>2008</v>
      </c>
      <c r="H60" s="2208">
        <v>2</v>
      </c>
      <c r="I60" s="2208">
        <v>4.93</v>
      </c>
      <c r="J60" s="2208">
        <v>7.38</v>
      </c>
      <c r="K60" s="2208">
        <v>3.98</v>
      </c>
      <c r="L60" s="2209">
        <v>6.86</v>
      </c>
      <c r="N60" s="2200">
        <f t="shared" si="22"/>
        <v>4.9299999999999997E-2</v>
      </c>
      <c r="O60" s="2185">
        <f t="shared" si="22"/>
        <v>7.3800000000000004E-2</v>
      </c>
      <c r="P60" s="2185">
        <f t="shared" si="22"/>
        <v>3.9800000000000002E-2</v>
      </c>
      <c r="Q60" s="2185">
        <f t="shared" si="22"/>
        <v>6.8600000000000008E-2</v>
      </c>
      <c r="R60" s="2201"/>
      <c r="S60" s="2200"/>
      <c r="T60" s="2988"/>
      <c r="U60" s="2185"/>
      <c r="V60" s="2185"/>
    </row>
    <row r="61" spans="1:26" s="2246" customFormat="1" ht="13.5" thickBot="1">
      <c r="A61" s="2197" t="s">
        <v>913</v>
      </c>
      <c r="B61" s="2243">
        <f t="shared" si="36"/>
        <v>196.62341248059772</v>
      </c>
      <c r="C61" s="2243">
        <f t="shared" si="36"/>
        <v>170.99125648199012</v>
      </c>
      <c r="D61" s="2243">
        <f t="shared" si="20"/>
        <v>170.99125648199012</v>
      </c>
      <c r="E61" s="2243">
        <f t="shared" si="37"/>
        <v>266.07857570490052</v>
      </c>
      <c r="F61" s="2243">
        <f t="shared" si="37"/>
        <v>154.53499328828505</v>
      </c>
      <c r="G61" s="3368">
        <v>2008</v>
      </c>
      <c r="H61" s="2244">
        <v>1</v>
      </c>
      <c r="I61" s="2244">
        <v>4.1399999999999997</v>
      </c>
      <c r="J61" s="2244">
        <v>3.45</v>
      </c>
      <c r="K61" s="2244">
        <v>4.95</v>
      </c>
      <c r="L61" s="2245">
        <v>4.82</v>
      </c>
      <c r="N61" s="2247">
        <f t="shared" si="22"/>
        <v>4.1399999999999999E-2</v>
      </c>
      <c r="O61" s="2248">
        <f t="shared" si="22"/>
        <v>3.4500000000000003E-2</v>
      </c>
      <c r="P61" s="2248">
        <f t="shared" si="22"/>
        <v>4.9500000000000002E-2</v>
      </c>
      <c r="Q61" s="2248">
        <f t="shared" si="22"/>
        <v>4.82E-2</v>
      </c>
      <c r="R61" s="2249"/>
      <c r="S61" s="2247">
        <f>B61/B62-1</f>
        <v>4.5869215322328349E-2</v>
      </c>
      <c r="T61" s="2992">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0"/>
        <v>165</v>
      </c>
      <c r="E62" s="2206">
        <v>254</v>
      </c>
      <c r="F62" s="2207">
        <v>148</v>
      </c>
      <c r="G62" s="3366">
        <v>2007</v>
      </c>
      <c r="H62" s="2250">
        <v>4</v>
      </c>
      <c r="I62" s="2250">
        <v>5.51</v>
      </c>
      <c r="J62" s="2250">
        <v>4.8899999999999997</v>
      </c>
      <c r="K62" s="2250">
        <v>6.43</v>
      </c>
      <c r="L62" s="2251">
        <v>5.36</v>
      </c>
      <c r="N62" s="2252">
        <f t="shared" ref="N62:O65" si="38">B62/B63-1</f>
        <v>4.1339718365245526E-2</v>
      </c>
      <c r="O62" s="2253">
        <f t="shared" si="38"/>
        <v>4.0324492593776018E-2</v>
      </c>
      <c r="P62" s="2253">
        <f t="shared" ref="P62:Q65" si="39">E62/E63-1</f>
        <v>6.1625555347990968E-2</v>
      </c>
      <c r="Q62" s="2253">
        <f t="shared" si="39"/>
        <v>4.6757569250590603E-2</v>
      </c>
      <c r="R62" s="2201"/>
      <c r="S62" s="2210"/>
      <c r="T62" s="2989"/>
      <c r="U62" s="2211"/>
      <c r="V62" s="2211"/>
      <c r="X62" s="2211"/>
      <c r="Y62" s="2211"/>
      <c r="Z62" s="2211"/>
    </row>
    <row r="63" spans="1:26">
      <c r="A63" s="2197" t="s">
        <v>915</v>
      </c>
      <c r="B63" s="2198">
        <f t="shared" ref="B63:C65" si="40">B64+(B$62-B$66)*I63/SUM(I$62:I$65)</f>
        <v>180.5366651097618</v>
      </c>
      <c r="C63" s="2198">
        <f t="shared" si="40"/>
        <v>158.60435967302453</v>
      </c>
      <c r="D63" s="2198">
        <f t="shared" si="20"/>
        <v>158.60435967302453</v>
      </c>
      <c r="E63" s="2198">
        <f t="shared" ref="E63:F65" si="41">E64+(E$62-E$66)*K63/SUM(K$62:K$65)</f>
        <v>239.25573260785075</v>
      </c>
      <c r="F63" s="2198">
        <f t="shared" si="41"/>
        <v>141.38899430740037</v>
      </c>
      <c r="G63" s="3367">
        <v>2007</v>
      </c>
      <c r="H63" s="2219">
        <v>3</v>
      </c>
      <c r="I63" s="2219">
        <v>8.65</v>
      </c>
      <c r="J63" s="2219">
        <v>8.06</v>
      </c>
      <c r="K63" s="2219">
        <v>9.94</v>
      </c>
      <c r="L63" s="2220">
        <v>5.8</v>
      </c>
      <c r="N63" s="2252">
        <f t="shared" si="38"/>
        <v>6.940217571740015E-2</v>
      </c>
      <c r="O63" s="2253">
        <f t="shared" si="38"/>
        <v>7.1197482471153428E-2</v>
      </c>
      <c r="P63" s="2253">
        <f t="shared" si="39"/>
        <v>0.10529679922579582</v>
      </c>
      <c r="Q63" s="2253">
        <f t="shared" si="39"/>
        <v>5.3292245059512133E-2</v>
      </c>
      <c r="R63" s="2201"/>
      <c r="S63" s="2200"/>
      <c r="T63" s="2988"/>
      <c r="U63" s="2185"/>
      <c r="V63" s="2185"/>
      <c r="X63" s="2254"/>
      <c r="Y63" s="2254"/>
      <c r="Z63" s="2254"/>
    </row>
    <row r="64" spans="1:26">
      <c r="A64" s="2197" t="s">
        <v>916</v>
      </c>
      <c r="B64" s="2198">
        <f t="shared" si="40"/>
        <v>168.82017748715555</v>
      </c>
      <c r="C64" s="2198">
        <f t="shared" si="40"/>
        <v>148.06267029972753</v>
      </c>
      <c r="D64" s="2198">
        <f t="shared" si="20"/>
        <v>148.06267029972753</v>
      </c>
      <c r="E64" s="2198">
        <f t="shared" si="41"/>
        <v>216.46288379323747</v>
      </c>
      <c r="F64" s="2198">
        <f t="shared" si="41"/>
        <v>134.23529411764704</v>
      </c>
      <c r="G64" s="3367">
        <v>2007</v>
      </c>
      <c r="H64" s="2208">
        <v>2</v>
      </c>
      <c r="I64" s="2208">
        <v>3.67</v>
      </c>
      <c r="J64" s="2208">
        <v>2.3199999999999998</v>
      </c>
      <c r="K64" s="2208">
        <v>5.0199999999999996</v>
      </c>
      <c r="L64" s="2209">
        <v>6.71</v>
      </c>
      <c r="N64" s="2252">
        <f t="shared" si="38"/>
        <v>3.0339138143848032E-2</v>
      </c>
      <c r="O64" s="2253">
        <f t="shared" si="38"/>
        <v>2.0922341588790472E-2</v>
      </c>
      <c r="P64" s="2253">
        <f t="shared" si="39"/>
        <v>5.6164796592717003E-2</v>
      </c>
      <c r="Q64" s="2253">
        <f t="shared" si="39"/>
        <v>6.5704536723887319E-2</v>
      </c>
      <c r="R64" s="2201"/>
      <c r="S64" s="2200"/>
      <c r="T64" s="2988"/>
      <c r="U64" s="2185"/>
      <c r="V64" s="2185"/>
      <c r="X64" s="2254"/>
      <c r="Y64" s="2254"/>
      <c r="Z64" s="2254"/>
    </row>
    <row r="65" spans="1:26">
      <c r="A65" s="2197" t="s">
        <v>917</v>
      </c>
      <c r="B65" s="2198">
        <f t="shared" si="40"/>
        <v>163.84913591779542</v>
      </c>
      <c r="C65" s="2198">
        <f t="shared" si="40"/>
        <v>145.0283378746594</v>
      </c>
      <c r="D65" s="2198">
        <f t="shared" si="20"/>
        <v>145.0283378746594</v>
      </c>
      <c r="E65" s="2198">
        <f t="shared" si="41"/>
        <v>204.95180722891567</v>
      </c>
      <c r="F65" s="2198">
        <f t="shared" si="41"/>
        <v>125.95920303605313</v>
      </c>
      <c r="G65" s="3368">
        <v>2007</v>
      </c>
      <c r="H65" s="2199">
        <v>1</v>
      </c>
      <c r="I65" s="2199">
        <v>3.58</v>
      </c>
      <c r="J65" s="2199">
        <v>3.08</v>
      </c>
      <c r="K65" s="2199">
        <v>4.34</v>
      </c>
      <c r="L65" s="2203">
        <v>3.21</v>
      </c>
      <c r="N65" s="2255">
        <f t="shared" si="38"/>
        <v>3.0497710174814063E-2</v>
      </c>
      <c r="O65" s="2256">
        <f t="shared" si="38"/>
        <v>2.8569772160704998E-2</v>
      </c>
      <c r="P65" s="2256">
        <f t="shared" si="39"/>
        <v>5.1034908866234296E-2</v>
      </c>
      <c r="Q65" s="2256">
        <f t="shared" si="39"/>
        <v>3.245248390207478E-2</v>
      </c>
      <c r="R65" s="2201"/>
      <c r="S65" s="2212">
        <f>B65/B66-1</f>
        <v>3.0497710174814063E-2</v>
      </c>
      <c r="T65" s="2990">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0"/>
        <v>141</v>
      </c>
      <c r="E66" s="2221">
        <v>195</v>
      </c>
      <c r="F66" s="2222">
        <v>122</v>
      </c>
      <c r="G66" s="3366">
        <v>2006</v>
      </c>
      <c r="H66" s="2214">
        <v>4</v>
      </c>
      <c r="I66" s="2214">
        <v>3.79</v>
      </c>
      <c r="J66" s="2214">
        <v>2.21</v>
      </c>
      <c r="K66" s="2214">
        <v>5.65</v>
      </c>
      <c r="L66" s="2215">
        <v>5.41</v>
      </c>
      <c r="N66" s="2252">
        <f t="shared" ref="N66:O69" si="42">I66/SUM(I$66:I$69)*(B$66/B$70-1)</f>
        <v>7.245466462748526E-2</v>
      </c>
      <c r="O66" s="2253">
        <f t="shared" si="42"/>
        <v>2.3237230038062766E-2</v>
      </c>
      <c r="P66" s="2253">
        <f t="shared" ref="P66:Q69" si="43">K66/SUM(K$66:K$69)*(E$66/E$70-1)</f>
        <v>0.16146893866323722</v>
      </c>
      <c r="Q66" s="2253">
        <f t="shared" si="43"/>
        <v>5.0755230321793784E-2</v>
      </c>
      <c r="R66" s="2201"/>
      <c r="S66" s="2210"/>
      <c r="T66" s="2989"/>
      <c r="U66" s="2211"/>
      <c r="V66" s="2211"/>
      <c r="X66" s="2254"/>
      <c r="Y66" s="2254"/>
      <c r="Z66" s="2254"/>
    </row>
    <row r="67" spans="1:26">
      <c r="A67" s="2197" t="s">
        <v>919</v>
      </c>
      <c r="B67" s="2198">
        <f t="shared" ref="B67:C69" si="44">B68+(B$66-B$70)*I67/SUM(I$66:I$69)</f>
        <v>149.00125628140702</v>
      </c>
      <c r="C67" s="2198">
        <f t="shared" si="44"/>
        <v>137.95592286501378</v>
      </c>
      <c r="D67" s="2198">
        <f t="shared" si="20"/>
        <v>137.95592286501378</v>
      </c>
      <c r="E67" s="2198">
        <f t="shared" ref="E67:F69" si="45">E68+(E$66-E$70)*K67/SUM(K$66:K$69)</f>
        <v>169.97231450719823</v>
      </c>
      <c r="F67" s="2198">
        <f t="shared" si="45"/>
        <v>116.21390374331551</v>
      </c>
      <c r="G67" s="3367">
        <v>2006</v>
      </c>
      <c r="H67" s="2219">
        <v>3</v>
      </c>
      <c r="I67" s="2219">
        <v>0.92</v>
      </c>
      <c r="J67" s="2219">
        <v>1.08</v>
      </c>
      <c r="K67" s="2219">
        <v>0.73</v>
      </c>
      <c r="L67" s="2220">
        <v>1.08</v>
      </c>
      <c r="N67" s="2252">
        <f t="shared" si="42"/>
        <v>1.7587939698492462E-2</v>
      </c>
      <c r="O67" s="2253">
        <f t="shared" si="42"/>
        <v>1.1355750425840628E-2</v>
      </c>
      <c r="P67" s="2253">
        <f t="shared" si="43"/>
        <v>2.0862358446754544E-2</v>
      </c>
      <c r="Q67" s="2253">
        <f t="shared" si="43"/>
        <v>1.0132282578103011E-2</v>
      </c>
      <c r="R67" s="2201"/>
      <c r="S67" s="2200"/>
      <c r="T67" s="2988"/>
      <c r="U67" s="2185"/>
      <c r="V67" s="2185"/>
      <c r="X67" s="2254"/>
      <c r="Y67" s="2254"/>
      <c r="Z67" s="2254"/>
    </row>
    <row r="68" spans="1:26">
      <c r="A68" s="2197" t="s">
        <v>920</v>
      </c>
      <c r="B68" s="2198">
        <f t="shared" si="44"/>
        <v>146.57412060301507</v>
      </c>
      <c r="C68" s="2198">
        <f t="shared" si="44"/>
        <v>136.46831955922866</v>
      </c>
      <c r="D68" s="2198">
        <f t="shared" si="20"/>
        <v>136.46831955922866</v>
      </c>
      <c r="E68" s="2198">
        <f t="shared" si="45"/>
        <v>166.73864894795128</v>
      </c>
      <c r="F68" s="2198">
        <f t="shared" si="45"/>
        <v>115.05882352941177</v>
      </c>
      <c r="G68" s="3367">
        <v>2006</v>
      </c>
      <c r="H68" s="2208">
        <v>2</v>
      </c>
      <c r="I68" s="2208">
        <v>0.96</v>
      </c>
      <c r="J68" s="2208">
        <v>0.25</v>
      </c>
      <c r="K68" s="2208">
        <v>1.9</v>
      </c>
      <c r="L68" s="2209">
        <v>0.95</v>
      </c>
      <c r="N68" s="2252">
        <f t="shared" si="42"/>
        <v>1.8352632728861701E-2</v>
      </c>
      <c r="O68" s="2253">
        <f t="shared" si="42"/>
        <v>2.6286459319075526E-3</v>
      </c>
      <c r="P68" s="2253">
        <f t="shared" si="43"/>
        <v>5.4299289107991269E-2</v>
      </c>
      <c r="Q68" s="2253">
        <f t="shared" si="43"/>
        <v>8.9126559714794995E-3</v>
      </c>
      <c r="R68" s="2201"/>
      <c r="S68" s="2200"/>
      <c r="T68" s="2988"/>
      <c r="U68" s="2185"/>
      <c r="V68" s="2185"/>
      <c r="X68" s="2254"/>
      <c r="Y68" s="2254"/>
      <c r="Z68" s="2254"/>
    </row>
    <row r="69" spans="1:26">
      <c r="A69" s="2197" t="s">
        <v>921</v>
      </c>
      <c r="B69" s="2198">
        <f t="shared" si="44"/>
        <v>144.04145728643215</v>
      </c>
      <c r="C69" s="2198">
        <f t="shared" si="44"/>
        <v>136.12396694214877</v>
      </c>
      <c r="D69" s="2198">
        <f t="shared" si="20"/>
        <v>136.12396694214877</v>
      </c>
      <c r="E69" s="2198">
        <f t="shared" si="45"/>
        <v>158.32225913621264</v>
      </c>
      <c r="F69" s="2198">
        <f t="shared" si="45"/>
        <v>114.04278074866311</v>
      </c>
      <c r="G69" s="3368">
        <v>2006</v>
      </c>
      <c r="H69" s="2199">
        <v>1</v>
      </c>
      <c r="I69" s="2199">
        <v>2.29</v>
      </c>
      <c r="J69" s="2199">
        <v>3.72</v>
      </c>
      <c r="K69" s="2199">
        <v>0.75</v>
      </c>
      <c r="L69" s="2203">
        <v>0.04</v>
      </c>
      <c r="N69" s="2255">
        <f t="shared" si="42"/>
        <v>4.3778675988638847E-2</v>
      </c>
      <c r="O69" s="2256">
        <f t="shared" si="42"/>
        <v>3.9114251466784385E-2</v>
      </c>
      <c r="P69" s="2256">
        <f t="shared" si="43"/>
        <v>2.1433929911049188E-2</v>
      </c>
      <c r="Q69" s="2256">
        <f t="shared" si="43"/>
        <v>3.7526972511492629E-4</v>
      </c>
      <c r="R69" s="2201"/>
      <c r="S69" s="2212">
        <f>B69/B70-1</f>
        <v>4.3778675988638716E-2</v>
      </c>
      <c r="T69" s="2990">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0"/>
        <v>131</v>
      </c>
      <c r="E70" s="2221">
        <v>155</v>
      </c>
      <c r="F70" s="2222">
        <v>114</v>
      </c>
      <c r="G70" s="3366">
        <v>2005</v>
      </c>
      <c r="H70" s="2214">
        <v>4</v>
      </c>
      <c r="I70" s="2214">
        <v>3.29</v>
      </c>
      <c r="J70" s="2214">
        <v>1.44</v>
      </c>
      <c r="K70" s="2214">
        <v>0.66</v>
      </c>
      <c r="L70" s="2215">
        <v>7.78</v>
      </c>
      <c r="N70" s="2252">
        <f t="shared" ref="N70:O73" si="46">I70/SUM(I$70:I$73)*(B$70/B$74-1)</f>
        <v>9.9404603216919935E-2</v>
      </c>
      <c r="O70" s="2253">
        <f t="shared" si="46"/>
        <v>4.7636550760861554E-2</v>
      </c>
      <c r="P70" s="2253">
        <f t="shared" ref="P70:Q73" si="47">K70/SUM(K$70:K$73)*(E$70/E$74-1)</f>
        <v>8.3756345177664976E-2</v>
      </c>
      <c r="Q70" s="2253">
        <f t="shared" si="47"/>
        <v>5.2148766661559584E-2</v>
      </c>
      <c r="R70" s="2201"/>
      <c r="S70" s="2210"/>
      <c r="T70" s="2989"/>
      <c r="U70" s="2211"/>
      <c r="V70" s="2211"/>
      <c r="X70" s="2254"/>
      <c r="Y70" s="2254"/>
      <c r="Z70" s="2254"/>
    </row>
    <row r="71" spans="1:26">
      <c r="A71" s="2197" t="s">
        <v>923</v>
      </c>
      <c r="B71" s="2198">
        <f t="shared" ref="B71:C73" si="48">B72+(B$70-B$74)*I71/SUM(I$70:I$73)</f>
        <v>125.9720430107527</v>
      </c>
      <c r="C71" s="2198">
        <f t="shared" si="48"/>
        <v>125.1883408071749</v>
      </c>
      <c r="D71" s="2198">
        <f t="shared" si="20"/>
        <v>125.1883408071749</v>
      </c>
      <c r="E71" s="2198">
        <f t="shared" ref="E71:F73" si="49">E72+(E$70-E$74)*K71/SUM(K$70:K$73)</f>
        <v>144.61421319796952</v>
      </c>
      <c r="F71" s="2198">
        <f t="shared" si="49"/>
        <v>108.42008196721311</v>
      </c>
      <c r="G71" s="3367">
        <v>2005</v>
      </c>
      <c r="H71" s="2219">
        <v>3</v>
      </c>
      <c r="I71" s="2219">
        <v>0.46</v>
      </c>
      <c r="J71" s="2219">
        <v>0.32</v>
      </c>
      <c r="K71" s="2219">
        <v>0.42</v>
      </c>
      <c r="L71" s="2220">
        <v>0.64</v>
      </c>
      <c r="N71" s="2252">
        <f t="shared" si="46"/>
        <v>1.3898515951301874E-2</v>
      </c>
      <c r="O71" s="2253">
        <f t="shared" si="46"/>
        <v>1.0585900169080346E-2</v>
      </c>
      <c r="P71" s="2253">
        <f t="shared" si="47"/>
        <v>5.3299492385786795E-2</v>
      </c>
      <c r="Q71" s="2253">
        <f t="shared" si="47"/>
        <v>4.2898728359123568E-3</v>
      </c>
      <c r="R71" s="2201"/>
      <c r="S71" s="2200"/>
      <c r="T71" s="2988"/>
      <c r="U71" s="2185"/>
      <c r="V71" s="2185"/>
      <c r="X71" s="2254"/>
      <c r="Y71" s="2254"/>
      <c r="Z71" s="2254"/>
    </row>
    <row r="72" spans="1:26">
      <c r="A72" s="2197" t="s">
        <v>924</v>
      </c>
      <c r="B72" s="2198">
        <f t="shared" si="48"/>
        <v>124.29032258064517</v>
      </c>
      <c r="C72" s="2198">
        <f t="shared" si="48"/>
        <v>123.8968609865471</v>
      </c>
      <c r="D72" s="2198">
        <f t="shared" si="20"/>
        <v>123.8968609865471</v>
      </c>
      <c r="E72" s="2198">
        <f t="shared" si="49"/>
        <v>138.00507614213197</v>
      </c>
      <c r="F72" s="2198">
        <f t="shared" si="49"/>
        <v>107.96106557377048</v>
      </c>
      <c r="G72" s="3367">
        <v>2005</v>
      </c>
      <c r="H72" s="2208">
        <v>2</v>
      </c>
      <c r="I72" s="2208">
        <v>0.47</v>
      </c>
      <c r="J72" s="2208">
        <v>0.1</v>
      </c>
      <c r="K72" s="2208">
        <v>0.52</v>
      </c>
      <c r="L72" s="2209">
        <v>0.79</v>
      </c>
      <c r="N72" s="2252">
        <f t="shared" si="46"/>
        <v>1.420065760241713E-2</v>
      </c>
      <c r="O72" s="2253">
        <f t="shared" si="46"/>
        <v>3.3080938028376083E-3</v>
      </c>
      <c r="P72" s="2253">
        <f t="shared" si="47"/>
        <v>6.598984771573603E-2</v>
      </c>
      <c r="Q72" s="2253">
        <f t="shared" si="47"/>
        <v>5.2953117818293153E-3</v>
      </c>
      <c r="R72" s="2201"/>
      <c r="S72" s="2200"/>
      <c r="T72" s="2988"/>
      <c r="U72" s="2185"/>
      <c r="V72" s="2185"/>
      <c r="X72" s="2254"/>
      <c r="Y72" s="2254"/>
      <c r="Z72" s="2254"/>
    </row>
    <row r="73" spans="1:26">
      <c r="A73" s="2197" t="s">
        <v>925</v>
      </c>
      <c r="B73" s="2198">
        <f t="shared" si="48"/>
        <v>122.57204301075269</v>
      </c>
      <c r="C73" s="2198">
        <f t="shared" si="48"/>
        <v>123.4932735426009</v>
      </c>
      <c r="D73" s="2198">
        <f t="shared" si="20"/>
        <v>123.4932735426009</v>
      </c>
      <c r="E73" s="2198">
        <f t="shared" si="49"/>
        <v>129.82233502538071</v>
      </c>
      <c r="F73" s="2198">
        <f t="shared" si="49"/>
        <v>107.39446721311475</v>
      </c>
      <c r="G73" s="3368">
        <v>2005</v>
      </c>
      <c r="H73" s="2199">
        <v>1</v>
      </c>
      <c r="I73" s="2199">
        <v>0.43</v>
      </c>
      <c r="J73" s="2199">
        <v>0.37</v>
      </c>
      <c r="K73" s="2199">
        <v>0.37</v>
      </c>
      <c r="L73" s="2203">
        <v>0.55000000000000004</v>
      </c>
      <c r="N73" s="2255">
        <f t="shared" si="46"/>
        <v>1.2992090997956099E-2</v>
      </c>
      <c r="O73" s="2256">
        <f t="shared" si="46"/>
        <v>1.2239947070499151E-2</v>
      </c>
      <c r="P73" s="2256">
        <f t="shared" si="47"/>
        <v>4.6954314720812178E-2</v>
      </c>
      <c r="Q73" s="2256">
        <f t="shared" si="47"/>
        <v>3.6866094683621815E-3</v>
      </c>
      <c r="R73" s="2201"/>
      <c r="S73" s="2212">
        <f>B73/B74-1</f>
        <v>1.2992090997956174E-2</v>
      </c>
      <c r="T73" s="2990">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0"/>
        <v>122</v>
      </c>
      <c r="E74" s="2240">
        <v>124</v>
      </c>
      <c r="F74" s="2241">
        <v>107</v>
      </c>
      <c r="G74" s="3366">
        <v>2004</v>
      </c>
      <c r="H74" s="2214">
        <v>4</v>
      </c>
      <c r="I74" s="2214">
        <v>0.33</v>
      </c>
      <c r="J74" s="2214">
        <v>0.5</v>
      </c>
      <c r="K74" s="2214">
        <v>0.5</v>
      </c>
      <c r="L74" s="2215">
        <v>0</v>
      </c>
      <c r="N74" s="2252">
        <f t="shared" ref="N74:O77" si="50">I74/SUM(I$74:I$77)*(B$74/B$78-1)</f>
        <v>1.3391770148526898E-2</v>
      </c>
      <c r="O74" s="2253">
        <f t="shared" si="50"/>
        <v>1.063264221158958E-2</v>
      </c>
      <c r="P74" s="2253">
        <f t="shared" ref="P74:Q77" si="51">K74/SUM(K$74:K$77)*(E$74/E$78-1)</f>
        <v>2.2244466688911134E-2</v>
      </c>
      <c r="Q74" s="2253">
        <f t="shared" si="51"/>
        <v>0</v>
      </c>
      <c r="R74" s="2201"/>
      <c r="S74" s="2210"/>
      <c r="T74" s="2989"/>
      <c r="U74" s="2211"/>
      <c r="V74" s="2211"/>
      <c r="X74" s="2254"/>
      <c r="Y74" s="2254"/>
      <c r="Z74" s="2254"/>
    </row>
    <row r="75" spans="1:26">
      <c r="A75" s="2197" t="s">
        <v>927</v>
      </c>
      <c r="B75" s="2198">
        <f t="shared" ref="B75:C77" si="52">B76+(B$74-B$78)*I75/SUM(I$74:I$77)</f>
        <v>119.51351351351352</v>
      </c>
      <c r="C75" s="2198">
        <f t="shared" si="52"/>
        <v>120.7878787878788</v>
      </c>
      <c r="D75" s="2198">
        <f t="shared" si="20"/>
        <v>120.7878787878788</v>
      </c>
      <c r="E75" s="2198">
        <f t="shared" ref="E75:F77" si="53">E76+(E$74-E$78)*K75/SUM(K$74:K$77)</f>
        <v>121.5975975975976</v>
      </c>
      <c r="F75" s="2198">
        <f t="shared" si="53"/>
        <v>107</v>
      </c>
      <c r="G75" s="3367">
        <v>2004</v>
      </c>
      <c r="H75" s="2219">
        <v>3</v>
      </c>
      <c r="I75" s="2219">
        <v>0.56000000000000005</v>
      </c>
      <c r="J75" s="2219">
        <v>0.8</v>
      </c>
      <c r="K75" s="2219">
        <v>0.83</v>
      </c>
      <c r="L75" s="2220">
        <v>0.06</v>
      </c>
      <c r="N75" s="2252">
        <f t="shared" si="50"/>
        <v>2.2725428130833527E-2</v>
      </c>
      <c r="O75" s="2253">
        <f t="shared" si="50"/>
        <v>1.7012227538543329E-2</v>
      </c>
      <c r="P75" s="2253">
        <f t="shared" si="51"/>
        <v>3.6925814703592477E-2</v>
      </c>
      <c r="Q75" s="2253">
        <f t="shared" si="51"/>
        <v>2.8846153846153744E-2</v>
      </c>
      <c r="R75" s="2201"/>
      <c r="S75" s="2200"/>
      <c r="T75" s="2988"/>
      <c r="U75" s="2185"/>
      <c r="V75" s="2185"/>
      <c r="X75" s="2254"/>
      <c r="Y75" s="2254"/>
      <c r="Z75" s="2254"/>
    </row>
    <row r="76" spans="1:26">
      <c r="A76" s="2197" t="s">
        <v>928</v>
      </c>
      <c r="B76" s="2198">
        <f t="shared" si="52"/>
        <v>116.99099099099099</v>
      </c>
      <c r="C76" s="2198">
        <f t="shared" si="52"/>
        <v>118.84848484848486</v>
      </c>
      <c r="D76" s="2198">
        <f t="shared" si="20"/>
        <v>118.84848484848486</v>
      </c>
      <c r="E76" s="2198">
        <f t="shared" si="53"/>
        <v>117.60960960960961</v>
      </c>
      <c r="F76" s="2198">
        <f t="shared" si="53"/>
        <v>104</v>
      </c>
      <c r="G76" s="3367">
        <v>2004</v>
      </c>
      <c r="H76" s="2208">
        <v>2</v>
      </c>
      <c r="I76" s="2208">
        <v>1</v>
      </c>
      <c r="J76" s="2208">
        <v>1.5</v>
      </c>
      <c r="K76" s="2208">
        <v>1.5</v>
      </c>
      <c r="L76" s="2209">
        <v>0</v>
      </c>
      <c r="N76" s="2252">
        <f t="shared" si="50"/>
        <v>4.0581121662202721E-2</v>
      </c>
      <c r="O76" s="2253">
        <f t="shared" si="50"/>
        <v>3.1897926634768738E-2</v>
      </c>
      <c r="P76" s="2253">
        <f t="shared" si="51"/>
        <v>6.6733400066733395E-2</v>
      </c>
      <c r="Q76" s="2253">
        <f t="shared" si="51"/>
        <v>0</v>
      </c>
      <c r="R76" s="2201"/>
      <c r="S76" s="2200"/>
      <c r="T76" s="2988"/>
      <c r="U76" s="2185"/>
      <c r="V76" s="2185"/>
      <c r="X76" s="2254"/>
      <c r="Y76" s="2254"/>
      <c r="Z76" s="2254"/>
    </row>
    <row r="77" spans="1:26" s="2246" customFormat="1" ht="13.5" thickBot="1">
      <c r="A77" s="2197" t="s">
        <v>929</v>
      </c>
      <c r="B77" s="2243">
        <f t="shared" si="52"/>
        <v>112.48648648648648</v>
      </c>
      <c r="C77" s="2243">
        <f t="shared" si="52"/>
        <v>115.21212121212122</v>
      </c>
      <c r="D77" s="2243">
        <f t="shared" si="20"/>
        <v>115.21212121212122</v>
      </c>
      <c r="E77" s="2243">
        <f t="shared" si="53"/>
        <v>110.4024024024024</v>
      </c>
      <c r="F77" s="2243">
        <f t="shared" si="53"/>
        <v>104</v>
      </c>
      <c r="G77" s="3368">
        <v>2004</v>
      </c>
      <c r="H77" s="2244">
        <v>1</v>
      </c>
      <c r="I77" s="2244">
        <v>0.33</v>
      </c>
      <c r="J77" s="2244">
        <v>0.5</v>
      </c>
      <c r="K77" s="2244">
        <v>0.5</v>
      </c>
      <c r="L77" s="2245">
        <v>0</v>
      </c>
      <c r="N77" s="2257">
        <f t="shared" si="50"/>
        <v>1.3391770148526898E-2</v>
      </c>
      <c r="O77" s="2258">
        <f t="shared" si="50"/>
        <v>1.063264221158958E-2</v>
      </c>
      <c r="P77" s="2258">
        <f t="shared" si="51"/>
        <v>2.2244466688911134E-2</v>
      </c>
      <c r="Q77" s="2258">
        <f t="shared" si="51"/>
        <v>0</v>
      </c>
      <c r="R77" s="2249"/>
      <c r="S77" s="2247">
        <f>B77/B78-1</f>
        <v>1.3391770148526883E-2</v>
      </c>
      <c r="T77" s="2992">
        <f>C77/C78-1</f>
        <v>1.063264221158966E-2</v>
      </c>
      <c r="U77" s="2248">
        <f>E77/E78-1</f>
        <v>2.2244466688911224E-2</v>
      </c>
      <c r="V77" s="2248">
        <f>F77/F78-1</f>
        <v>0</v>
      </c>
      <c r="X77" s="2259"/>
      <c r="Y77" s="2259"/>
      <c r="Z77" s="2259"/>
    </row>
    <row r="78" spans="1:26" ht="13.5" thickBot="1">
      <c r="A78" s="2197" t="s">
        <v>930</v>
      </c>
      <c r="B78" s="2260">
        <v>111</v>
      </c>
      <c r="C78" s="2260">
        <v>114</v>
      </c>
      <c r="D78" s="2260">
        <f t="shared" si="20"/>
        <v>114</v>
      </c>
      <c r="E78" s="2260">
        <v>108</v>
      </c>
      <c r="F78" s="2261">
        <v>104</v>
      </c>
      <c r="G78" s="3366">
        <v>2003</v>
      </c>
      <c r="H78" s="2250">
        <v>4</v>
      </c>
      <c r="I78" s="2262"/>
      <c r="J78" s="2262"/>
      <c r="K78" s="2262"/>
      <c r="L78" s="2262"/>
      <c r="N78" s="2263"/>
      <c r="O78" s="2262"/>
      <c r="P78" s="2262"/>
      <c r="Q78" s="2262"/>
      <c r="S78" s="2263"/>
      <c r="T78" s="2278"/>
      <c r="U78" s="2262"/>
      <c r="V78" s="2262"/>
      <c r="X78" s="2254"/>
      <c r="Y78" s="2254"/>
      <c r="Z78" s="2254"/>
    </row>
    <row r="79" spans="1:26">
      <c r="A79" s="2197" t="s">
        <v>931</v>
      </c>
      <c r="B79" s="2264">
        <f t="shared" ref="B79:C81" si="54">B80+(B$78-B$82)/4</f>
        <v>109.75</v>
      </c>
      <c r="C79" s="2264">
        <f t="shared" si="54"/>
        <v>112.25</v>
      </c>
      <c r="D79" s="2264">
        <f t="shared" si="20"/>
        <v>112.25</v>
      </c>
      <c r="E79" s="2264">
        <f t="shared" ref="E79:F81" si="55">E80+(E$78-E$82)/4</f>
        <v>107.25</v>
      </c>
      <c r="F79" s="2264">
        <f t="shared" si="55"/>
        <v>103.5</v>
      </c>
      <c r="G79" s="3367">
        <v>2003</v>
      </c>
      <c r="H79" s="2219">
        <v>3</v>
      </c>
      <c r="I79" s="2262"/>
      <c r="J79" s="2262"/>
      <c r="K79" s="2262"/>
      <c r="L79" s="2262"/>
      <c r="X79" s="2254"/>
      <c r="Y79" s="2254"/>
      <c r="Z79" s="2254"/>
    </row>
    <row r="80" spans="1:26">
      <c r="A80" s="2197" t="s">
        <v>932</v>
      </c>
      <c r="B80" s="2264">
        <f t="shared" si="54"/>
        <v>108.5</v>
      </c>
      <c r="C80" s="2264">
        <f t="shared" si="54"/>
        <v>110.5</v>
      </c>
      <c r="D80" s="2264">
        <f t="shared" si="20"/>
        <v>110.5</v>
      </c>
      <c r="E80" s="2264">
        <f t="shared" si="55"/>
        <v>106.5</v>
      </c>
      <c r="F80" s="2264">
        <f t="shared" si="55"/>
        <v>103</v>
      </c>
      <c r="G80" s="3367">
        <v>2003</v>
      </c>
      <c r="H80" s="2208">
        <v>2</v>
      </c>
      <c r="I80" s="2262"/>
      <c r="J80" s="2262"/>
      <c r="K80" s="2262"/>
      <c r="L80" s="2262"/>
      <c r="X80" s="2254"/>
      <c r="Y80" s="2254"/>
      <c r="Z80" s="2254"/>
    </row>
    <row r="81" spans="1:26" ht="13.5" thickBot="1">
      <c r="A81" s="2197" t="s">
        <v>933</v>
      </c>
      <c r="B81" s="2264">
        <f t="shared" si="54"/>
        <v>107.25</v>
      </c>
      <c r="C81" s="2264">
        <f t="shared" si="54"/>
        <v>108.75</v>
      </c>
      <c r="D81" s="2264">
        <f t="shared" si="20"/>
        <v>108.75</v>
      </c>
      <c r="E81" s="2264">
        <f t="shared" si="55"/>
        <v>105.75</v>
      </c>
      <c r="F81" s="2264">
        <f t="shared" si="55"/>
        <v>102.5</v>
      </c>
      <c r="G81" s="3368">
        <v>2003</v>
      </c>
      <c r="H81" s="2265">
        <v>1</v>
      </c>
      <c r="I81" s="2262"/>
      <c r="J81" s="2262"/>
      <c r="K81" s="2262"/>
      <c r="L81" s="2262"/>
      <c r="S81" s="2200"/>
      <c r="T81" s="2988"/>
      <c r="U81" s="2185"/>
      <c r="X81" s="2254"/>
      <c r="Y81" s="2254"/>
      <c r="Z81" s="2254"/>
    </row>
    <row r="82" spans="1:26" ht="13.5" thickBot="1">
      <c r="A82" s="2197" t="s">
        <v>934</v>
      </c>
      <c r="B82" s="2266">
        <v>106</v>
      </c>
      <c r="C82" s="2266">
        <v>107</v>
      </c>
      <c r="D82" s="2266">
        <f t="shared" si="20"/>
        <v>107</v>
      </c>
      <c r="E82" s="2266">
        <v>105</v>
      </c>
      <c r="F82" s="2267">
        <v>102</v>
      </c>
      <c r="G82" s="3366">
        <v>2002</v>
      </c>
      <c r="H82" s="2214">
        <v>4</v>
      </c>
      <c r="I82" s="2262"/>
      <c r="J82" s="2262"/>
      <c r="K82" s="2262"/>
      <c r="L82" s="2262"/>
      <c r="N82" s="2263"/>
      <c r="O82" s="2262"/>
      <c r="P82" s="2262"/>
      <c r="Q82" s="2262"/>
      <c r="S82" s="2263"/>
      <c r="T82" s="2278"/>
      <c r="U82" s="2262"/>
      <c r="V82" s="2262"/>
      <c r="X82" s="2254"/>
      <c r="Y82" s="2254"/>
      <c r="Z82" s="2254"/>
    </row>
    <row r="83" spans="1:26">
      <c r="A83" s="2197" t="s">
        <v>935</v>
      </c>
      <c r="B83" s="2264">
        <f t="shared" ref="B83:C85" si="56">B84+(B$82-B$86)/4</f>
        <v>105</v>
      </c>
      <c r="C83" s="2264">
        <f t="shared" si="56"/>
        <v>106</v>
      </c>
      <c r="D83" s="2264">
        <f t="shared" si="20"/>
        <v>106</v>
      </c>
      <c r="E83" s="2264">
        <f t="shared" ref="E83:F85" si="57">E84+(E$82-E$86)/4</f>
        <v>104.5</v>
      </c>
      <c r="F83" s="2264">
        <f t="shared" si="57"/>
        <v>101.5</v>
      </c>
      <c r="G83" s="3367">
        <v>2002</v>
      </c>
      <c r="H83" s="2219">
        <v>3</v>
      </c>
      <c r="I83" s="2262"/>
      <c r="J83" s="2262"/>
      <c r="K83" s="2262"/>
      <c r="L83" s="2262"/>
      <c r="X83" s="2254"/>
      <c r="Y83" s="2254"/>
      <c r="Z83" s="2254"/>
    </row>
    <row r="84" spans="1:26">
      <c r="A84" s="2197" t="s">
        <v>936</v>
      </c>
      <c r="B84" s="2264">
        <f t="shared" si="56"/>
        <v>104</v>
      </c>
      <c r="C84" s="2264">
        <f t="shared" si="56"/>
        <v>105</v>
      </c>
      <c r="D84" s="2264">
        <f t="shared" si="20"/>
        <v>105</v>
      </c>
      <c r="E84" s="2264">
        <f t="shared" si="57"/>
        <v>104</v>
      </c>
      <c r="F84" s="2264">
        <f t="shared" si="57"/>
        <v>101</v>
      </c>
      <c r="G84" s="3367">
        <v>2002</v>
      </c>
      <c r="H84" s="2208">
        <v>2</v>
      </c>
      <c r="I84" s="2262"/>
      <c r="J84" s="2262"/>
      <c r="K84" s="2262"/>
      <c r="L84" s="2262"/>
      <c r="X84" s="2254"/>
      <c r="Y84" s="2254"/>
      <c r="Z84" s="2254"/>
    </row>
    <row r="85" spans="1:26" s="2229" customFormat="1" ht="13.5" thickBot="1">
      <c r="A85" s="2225" t="s">
        <v>937</v>
      </c>
      <c r="B85" s="2232">
        <f t="shared" si="56"/>
        <v>103</v>
      </c>
      <c r="C85" s="2232">
        <f t="shared" si="56"/>
        <v>104</v>
      </c>
      <c r="D85" s="2232">
        <f t="shared" si="20"/>
        <v>104</v>
      </c>
      <c r="E85" s="2232">
        <f t="shared" si="57"/>
        <v>103.5</v>
      </c>
      <c r="F85" s="2232">
        <f t="shared" si="57"/>
        <v>100.5</v>
      </c>
      <c r="G85" s="3368">
        <v>2002</v>
      </c>
      <c r="H85" s="2268">
        <v>1</v>
      </c>
      <c r="I85" s="2269"/>
      <c r="J85" s="2269"/>
      <c r="K85" s="2269"/>
      <c r="L85" s="2269"/>
      <c r="N85" s="2270"/>
      <c r="S85" s="2270"/>
      <c r="T85" s="2194"/>
      <c r="X85" s="2271"/>
      <c r="Y85" s="2271"/>
      <c r="Z85" s="2271"/>
    </row>
    <row r="86" spans="1:26" ht="13.5" thickBot="1">
      <c r="B86" s="2272">
        <v>102</v>
      </c>
      <c r="C86" s="2273">
        <v>103</v>
      </c>
      <c r="D86" s="2273">
        <f t="shared" si="20"/>
        <v>103</v>
      </c>
      <c r="E86" s="2273">
        <v>103</v>
      </c>
      <c r="F86" s="2274">
        <v>100</v>
      </c>
      <c r="I86" s="2262"/>
      <c r="J86" s="2262"/>
      <c r="K86" s="2262"/>
      <c r="L86" s="2262"/>
      <c r="N86" s="2263"/>
      <c r="O86" s="2262"/>
      <c r="P86" s="2262"/>
      <c r="Q86" s="2262"/>
      <c r="S86" s="2263"/>
      <c r="T86" s="2278"/>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993" t="s">
        <v>3259</v>
      </c>
      <c r="U99" s="2219" t="s">
        <v>943</v>
      </c>
      <c r="V99" s="2219" t="s">
        <v>944</v>
      </c>
    </row>
    <row r="100" spans="7:22">
      <c r="G100" s="2184"/>
      <c r="N100" s="2210"/>
      <c r="O100" s="2211"/>
      <c r="P100" s="2211"/>
      <c r="Q100" s="2211"/>
      <c r="S100" s="2281">
        <v>2006</v>
      </c>
      <c r="T100" s="2994">
        <v>15.1</v>
      </c>
      <c r="U100" s="2208">
        <v>7.43</v>
      </c>
      <c r="V100" s="2208">
        <v>26.26</v>
      </c>
    </row>
    <row r="101" spans="7:22">
      <c r="G101" s="2184"/>
      <c r="N101" s="2210"/>
      <c r="O101" s="2211"/>
      <c r="P101" s="2211"/>
      <c r="Q101" s="2211"/>
      <c r="S101" s="2282">
        <v>2005</v>
      </c>
      <c r="T101" s="2995">
        <v>13.9</v>
      </c>
      <c r="U101" s="2199">
        <v>7.49</v>
      </c>
      <c r="V101" s="2199">
        <v>24.92</v>
      </c>
    </row>
    <row r="102" spans="7:22">
      <c r="G102" s="2184"/>
      <c r="N102" s="2210"/>
      <c r="O102" s="2211"/>
      <c r="P102" s="2211"/>
      <c r="Q102" s="2211"/>
      <c r="S102" s="2281">
        <v>2004</v>
      </c>
      <c r="T102" s="2994">
        <v>9.48</v>
      </c>
      <c r="U102" s="2208">
        <v>7.2</v>
      </c>
      <c r="V102" s="2208">
        <v>14.68</v>
      </c>
    </row>
    <row r="103" spans="7:22">
      <c r="G103" s="2184"/>
      <c r="N103" s="2210"/>
      <c r="O103" s="2211"/>
      <c r="P103" s="2211"/>
      <c r="Q103" s="2211"/>
      <c r="S103" s="2282">
        <v>2003</v>
      </c>
      <c r="T103" s="2995">
        <v>4.5</v>
      </c>
      <c r="U103" s="2199">
        <v>6.12</v>
      </c>
      <c r="V103" s="2199">
        <v>2.34</v>
      </c>
    </row>
    <row r="104" spans="7:22" ht="13.5" thickBot="1">
      <c r="G104" s="2184"/>
      <c r="N104" s="2210"/>
      <c r="O104" s="2211"/>
      <c r="P104" s="2211"/>
      <c r="Q104" s="2211"/>
      <c r="S104" s="2283">
        <v>2002</v>
      </c>
      <c r="T104" s="2996">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2582</v>
      </c>
      <c r="C1" s="3378" t="s">
        <v>2583</v>
      </c>
      <c r="D1" s="3379"/>
      <c r="E1" s="3379"/>
      <c r="F1" s="3379"/>
      <c r="G1" s="3379"/>
      <c r="H1" s="3379"/>
      <c r="I1" s="3379"/>
      <c r="J1" s="3379"/>
      <c r="K1" s="3379"/>
      <c r="L1" s="3379"/>
      <c r="M1" s="3379"/>
      <c r="N1" s="3379"/>
      <c r="O1" s="3379"/>
      <c r="P1" s="3379"/>
      <c r="Q1" s="3379"/>
      <c r="R1" s="3379"/>
      <c r="S1" s="3380"/>
      <c r="T1" s="1036" t="s">
        <v>2584</v>
      </c>
    </row>
    <row r="2" spans="1:45" s="633" customFormat="1">
      <c r="A2" s="1037"/>
      <c r="B2" s="630" t="s">
        <v>2585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R2" si="1">M3&amp;"(含)"&amp;"-"&amp;N3</f>
        <v>(含)-</v>
      </c>
      <c r="N2" s="631" t="str">
        <f t="shared" si="1"/>
        <v>(含)-</v>
      </c>
      <c r="O2" s="631" t="str">
        <f t="shared" si="1"/>
        <v>(含)-</v>
      </c>
      <c r="P2" s="631" t="str">
        <f t="shared" si="1"/>
        <v>(含)-</v>
      </c>
      <c r="Q2" s="631" t="str">
        <f t="shared" si="1"/>
        <v>(含)-</v>
      </c>
      <c r="R2" s="631" t="str">
        <f t="shared" si="1"/>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2586</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2">D6-$T5</f>
        <v>100</v>
      </c>
      <c r="F6" s="1346">
        <f t="shared" si="2"/>
        <v>100</v>
      </c>
      <c r="G6" s="1346">
        <f t="shared" si="2"/>
        <v>100</v>
      </c>
      <c r="H6" s="1346">
        <f t="shared" si="2"/>
        <v>100</v>
      </c>
      <c r="I6" s="1346">
        <f t="shared" si="2"/>
        <v>100</v>
      </c>
      <c r="J6" s="1346">
        <f t="shared" si="2"/>
        <v>100</v>
      </c>
      <c r="K6" s="1346">
        <f t="shared" si="2"/>
        <v>100</v>
      </c>
      <c r="L6" s="1346">
        <f t="shared" si="2"/>
        <v>100</v>
      </c>
      <c r="M6" s="1346">
        <f t="shared" si="2"/>
        <v>100</v>
      </c>
      <c r="N6" s="1346">
        <f t="shared" si="2"/>
        <v>100</v>
      </c>
      <c r="O6" s="1346">
        <f t="shared" si="2"/>
        <v>100</v>
      </c>
      <c r="P6" s="1346">
        <f t="shared" si="2"/>
        <v>100</v>
      </c>
      <c r="Q6" s="1346">
        <f t="shared" si="2"/>
        <v>100</v>
      </c>
      <c r="R6" s="1346">
        <f t="shared" si="2"/>
        <v>100</v>
      </c>
      <c r="S6" s="1346">
        <f t="shared" si="2"/>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2587</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3">D8-$T7</f>
        <v>100</v>
      </c>
      <c r="F8" s="1346">
        <f t="shared" si="3"/>
        <v>100</v>
      </c>
      <c r="G8" s="1346">
        <f t="shared" si="3"/>
        <v>100</v>
      </c>
      <c r="H8" s="1346">
        <f t="shared" si="3"/>
        <v>100</v>
      </c>
      <c r="I8" s="1346">
        <f t="shared" si="3"/>
        <v>100</v>
      </c>
      <c r="J8" s="1346">
        <f t="shared" si="3"/>
        <v>100</v>
      </c>
      <c r="K8" s="1346">
        <f t="shared" si="3"/>
        <v>100</v>
      </c>
      <c r="L8" s="1346">
        <f t="shared" si="3"/>
        <v>100</v>
      </c>
      <c r="M8" s="1346">
        <f t="shared" si="3"/>
        <v>100</v>
      </c>
      <c r="N8" s="1346">
        <f t="shared" si="3"/>
        <v>100</v>
      </c>
      <c r="O8" s="1346">
        <f t="shared" si="3"/>
        <v>100</v>
      </c>
      <c r="P8" s="1346">
        <f t="shared" si="3"/>
        <v>100</v>
      </c>
      <c r="Q8" s="1346">
        <f t="shared" si="3"/>
        <v>100</v>
      </c>
      <c r="R8" s="1346">
        <f t="shared" si="3"/>
        <v>100</v>
      </c>
      <c r="S8" s="1346">
        <f t="shared" si="3"/>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2588</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4">D10-$T9</f>
        <v>100</v>
      </c>
      <c r="F10" s="1355">
        <f t="shared" si="4"/>
        <v>100</v>
      </c>
      <c r="G10" s="1355">
        <f t="shared" si="4"/>
        <v>100</v>
      </c>
      <c r="H10" s="1355">
        <f t="shared" si="4"/>
        <v>100</v>
      </c>
      <c r="I10" s="1355">
        <f t="shared" si="4"/>
        <v>100</v>
      </c>
      <c r="J10" s="1355">
        <f t="shared" si="4"/>
        <v>100</v>
      </c>
      <c r="K10" s="1355">
        <f t="shared" si="4"/>
        <v>100</v>
      </c>
      <c r="L10" s="1355">
        <f t="shared" si="4"/>
        <v>100</v>
      </c>
      <c r="M10" s="1355">
        <f t="shared" si="4"/>
        <v>100</v>
      </c>
      <c r="N10" s="1355">
        <f t="shared" si="4"/>
        <v>100</v>
      </c>
      <c r="O10" s="1355">
        <f t="shared" si="4"/>
        <v>100</v>
      </c>
      <c r="P10" s="1355">
        <f t="shared" si="4"/>
        <v>100</v>
      </c>
      <c r="Q10" s="1355">
        <f t="shared" si="4"/>
        <v>100</v>
      </c>
      <c r="R10" s="1355">
        <f t="shared" si="4"/>
        <v>100</v>
      </c>
      <c r="S10" s="1355">
        <f t="shared" si="4"/>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2589</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5">D12-$T11</f>
        <v>100</v>
      </c>
      <c r="F12" s="956">
        <f t="shared" si="5"/>
        <v>100</v>
      </c>
      <c r="G12" s="956">
        <f t="shared" si="5"/>
        <v>100</v>
      </c>
      <c r="H12" s="956">
        <f t="shared" si="5"/>
        <v>100</v>
      </c>
      <c r="I12" s="956">
        <f t="shared" si="5"/>
        <v>100</v>
      </c>
      <c r="J12" s="956">
        <f t="shared" si="5"/>
        <v>100</v>
      </c>
      <c r="K12" s="956">
        <f t="shared" si="5"/>
        <v>100</v>
      </c>
      <c r="L12" s="956">
        <f t="shared" si="5"/>
        <v>100</v>
      </c>
      <c r="M12" s="956">
        <f t="shared" si="5"/>
        <v>100</v>
      </c>
      <c r="N12" s="956">
        <f t="shared" si="5"/>
        <v>100</v>
      </c>
      <c r="O12" s="956">
        <f t="shared" si="5"/>
        <v>100</v>
      </c>
      <c r="P12" s="956">
        <f t="shared" si="5"/>
        <v>100</v>
      </c>
      <c r="Q12" s="956">
        <f t="shared" si="5"/>
        <v>100</v>
      </c>
      <c r="R12" s="956">
        <f>Q12-$T11</f>
        <v>100</v>
      </c>
      <c r="S12" s="956">
        <f t="shared" si="5"/>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2590</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2591</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2592</v>
      </c>
      <c r="B17" s="2142" t="s">
        <v>2593</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2594</v>
      </c>
      <c r="E19" s="1382"/>
      <c r="F19" s="1382"/>
      <c r="G19" s="1382"/>
      <c r="H19" s="1103"/>
      <c r="I19" s="156"/>
      <c r="J19" s="156"/>
      <c r="K19" s="156"/>
      <c r="L19" s="156"/>
      <c r="M19" s="156"/>
      <c r="N19" s="156"/>
      <c r="O19" s="156"/>
      <c r="P19" s="156"/>
      <c r="Q19" s="156"/>
      <c r="R19" s="156"/>
      <c r="S19" s="126"/>
    </row>
    <row r="20" spans="1:45" ht="16.5" thickBot="1">
      <c r="A20" s="641" t="s">
        <v>2595</v>
      </c>
      <c r="B20" s="292" t="e">
        <f ca="1">IF(D20="——",S22,S22-F20)</f>
        <v>#REF!</v>
      </c>
      <c r="C20" s="156"/>
      <c r="D20" s="2144"/>
      <c r="E20" s="1383"/>
      <c r="F20" s="1036" t="e">
        <f ca="1">SUMIF(INDIRECT("'"&amp;H20&amp;"'"&amp;"!A:A"),"承租人权益价值",INDIRECT("'"&amp;H20&amp;"'"&amp;"!c:c"))</f>
        <v>#REF!</v>
      </c>
      <c r="G20" s="1036" t="s">
        <v>2596</v>
      </c>
      <c r="H20" s="2145"/>
      <c r="I20" s="156"/>
      <c r="J20" s="156"/>
      <c r="K20" s="156"/>
      <c r="L20" s="156"/>
      <c r="M20" s="156"/>
      <c r="N20" s="156"/>
      <c r="O20" s="156"/>
      <c r="P20" s="156"/>
      <c r="Q20" s="156"/>
      <c r="R20" s="156"/>
      <c r="S20" s="126"/>
    </row>
    <row r="21" spans="1:45" ht="15.75">
      <c r="A21" s="641" t="s">
        <v>2597</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2598</v>
      </c>
      <c r="B22" s="24">
        <f>SUM(B24:B10000)</f>
        <v>100</v>
      </c>
      <c r="C22" s="3375" t="s">
        <v>33</v>
      </c>
      <c r="D22" s="3376"/>
      <c r="E22" s="3376"/>
      <c r="F22" s="3376"/>
      <c r="G22" s="3376"/>
      <c r="H22" s="3376"/>
      <c r="I22" s="3376"/>
      <c r="J22" s="3376"/>
      <c r="K22" s="3376"/>
      <c r="L22" s="3376"/>
      <c r="M22" s="3376"/>
      <c r="N22" s="3376"/>
      <c r="O22" s="3376"/>
      <c r="P22" s="3376"/>
      <c r="Q22" s="3377"/>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2604</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6">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6"/>
        <v>0</v>
      </c>
    </row>
    <row r="26" spans="1:45">
      <c r="A26" s="147"/>
      <c r="B26" s="55"/>
      <c r="C26" s="24">
        <f t="shared" ref="C26:C89" si="7">IF(B26="",1,(LOOKUP(B26,$3:$3,$4:$4)-LOOKUP($B$24,$3:$3,$4:$4)+100)/100)</f>
        <v>1</v>
      </c>
      <c r="D26" s="644"/>
      <c r="E26" s="24">
        <f t="shared" ref="E26:E89" si="8">(SUMIF($5:$5,D26,$6:$6)-SUMIF($5:$5,$D$24,$6:$6)+100)/100</f>
        <v>1</v>
      </c>
      <c r="F26" s="644"/>
      <c r="G26" s="24">
        <f t="shared" ref="G26:G89" si="9">(SUMIF($7:$7,F26,$8:$8)-SUMIF($7:$7,$F$24,$8:$8)+100)/100</f>
        <v>1</v>
      </c>
      <c r="H26" s="644"/>
      <c r="I26" s="24">
        <f t="shared" ref="I26:I89" si="10">(SUMIF($9:$9,H26,$10:$10)-SUMIF($9:$9,$H$24,$10:$10)+100)/100</f>
        <v>1</v>
      </c>
      <c r="J26" s="644"/>
      <c r="K26" s="24">
        <f t="shared" ref="K26:K89" si="11">(SUMIF($11:$11,J26,$12:$12)-SUMIF($11:$11,$J$24,$12:$12)+100)/100</f>
        <v>1</v>
      </c>
      <c r="L26" s="644"/>
      <c r="M26" s="24">
        <f t="shared" ref="M26:M89" si="12">(SUMIF($13:$13,L26,$14:$14)-SUMIF($13:$13,$L$24,$14:$14)+100)/100</f>
        <v>1</v>
      </c>
      <c r="N26" s="644"/>
      <c r="O26" s="24">
        <f t="shared" ref="O26:O89" si="13">(SUMIF($15:$15,N26,$16:$16)-SUMIF($15:$15,$N$24,$16:$16)+100)/100</f>
        <v>1</v>
      </c>
      <c r="P26" s="644"/>
      <c r="Q26" s="24">
        <f t="shared" ref="Q26:Q89" si="14">(SUMIF($17:$17,P26,$18:$18)-SUMIF($17:$17,$P$24,$18:$18)+100)/100</f>
        <v>1</v>
      </c>
      <c r="R26" s="24">
        <f t="shared" ref="R26:R89" si="15">IF(B26="",0,ROUND($R$24*C26*E26*G26*I26*K26*M26*O26*Q26,0))</f>
        <v>0</v>
      </c>
      <c r="S26" s="314">
        <f t="shared" si="6"/>
        <v>0</v>
      </c>
    </row>
    <row r="27" spans="1:45">
      <c r="A27" s="147"/>
      <c r="B27" s="55"/>
      <c r="C27" s="24">
        <f t="shared" si="7"/>
        <v>1</v>
      </c>
      <c r="D27" s="644"/>
      <c r="E27" s="24">
        <f t="shared" si="8"/>
        <v>1</v>
      </c>
      <c r="F27" s="644"/>
      <c r="G27" s="24">
        <f t="shared" si="9"/>
        <v>1</v>
      </c>
      <c r="H27" s="644"/>
      <c r="I27" s="24">
        <f t="shared" si="10"/>
        <v>1</v>
      </c>
      <c r="J27" s="644"/>
      <c r="K27" s="24">
        <f t="shared" si="11"/>
        <v>1</v>
      </c>
      <c r="L27" s="644"/>
      <c r="M27" s="24">
        <f t="shared" si="12"/>
        <v>1</v>
      </c>
      <c r="N27" s="644"/>
      <c r="O27" s="24">
        <f t="shared" si="13"/>
        <v>1</v>
      </c>
      <c r="P27" s="644"/>
      <c r="Q27" s="24">
        <f t="shared" si="14"/>
        <v>1</v>
      </c>
      <c r="R27" s="24">
        <f t="shared" si="15"/>
        <v>0</v>
      </c>
      <c r="S27" s="314">
        <f t="shared" si="6"/>
        <v>0</v>
      </c>
    </row>
    <row r="28" spans="1:45">
      <c r="A28" s="147"/>
      <c r="B28" s="55"/>
      <c r="C28" s="24">
        <f t="shared" si="7"/>
        <v>1</v>
      </c>
      <c r="D28" s="644"/>
      <c r="E28" s="24">
        <f t="shared" si="8"/>
        <v>1</v>
      </c>
      <c r="F28" s="644"/>
      <c r="G28" s="24">
        <f t="shared" si="9"/>
        <v>1</v>
      </c>
      <c r="H28" s="644"/>
      <c r="I28" s="24">
        <f t="shared" si="10"/>
        <v>1</v>
      </c>
      <c r="J28" s="644"/>
      <c r="K28" s="24">
        <f t="shared" si="11"/>
        <v>1</v>
      </c>
      <c r="L28" s="644"/>
      <c r="M28" s="24">
        <f t="shared" si="12"/>
        <v>1</v>
      </c>
      <c r="N28" s="644"/>
      <c r="O28" s="24">
        <f t="shared" si="13"/>
        <v>1</v>
      </c>
      <c r="P28" s="644"/>
      <c r="Q28" s="24">
        <f t="shared" si="14"/>
        <v>1</v>
      </c>
      <c r="R28" s="24">
        <f t="shared" si="15"/>
        <v>0</v>
      </c>
      <c r="S28" s="314">
        <f t="shared" si="6"/>
        <v>0</v>
      </c>
    </row>
    <row r="29" spans="1:45">
      <c r="A29" s="147"/>
      <c r="B29" s="55"/>
      <c r="C29" s="24">
        <f t="shared" si="7"/>
        <v>1</v>
      </c>
      <c r="D29" s="644"/>
      <c r="E29" s="24">
        <f t="shared" si="8"/>
        <v>1</v>
      </c>
      <c r="F29" s="644"/>
      <c r="G29" s="24">
        <f t="shared" si="9"/>
        <v>1</v>
      </c>
      <c r="H29" s="644"/>
      <c r="I29" s="24">
        <f t="shared" si="10"/>
        <v>1</v>
      </c>
      <c r="J29" s="644"/>
      <c r="K29" s="24">
        <f t="shared" si="11"/>
        <v>1</v>
      </c>
      <c r="L29" s="644"/>
      <c r="M29" s="24">
        <f t="shared" si="12"/>
        <v>1</v>
      </c>
      <c r="N29" s="644"/>
      <c r="O29" s="24">
        <f t="shared" si="13"/>
        <v>1</v>
      </c>
      <c r="P29" s="644"/>
      <c r="Q29" s="24">
        <f t="shared" si="14"/>
        <v>1</v>
      </c>
      <c r="R29" s="24">
        <f t="shared" si="15"/>
        <v>0</v>
      </c>
      <c r="S29" s="314">
        <f t="shared" si="6"/>
        <v>0</v>
      </c>
    </row>
    <row r="30" spans="1:45">
      <c r="A30" s="147"/>
      <c r="B30" s="55"/>
      <c r="C30" s="24">
        <f t="shared" si="7"/>
        <v>1</v>
      </c>
      <c r="D30" s="644"/>
      <c r="E30" s="24">
        <f t="shared" si="8"/>
        <v>1</v>
      </c>
      <c r="F30" s="644"/>
      <c r="G30" s="24">
        <f t="shared" si="9"/>
        <v>1</v>
      </c>
      <c r="H30" s="644"/>
      <c r="I30" s="24">
        <f t="shared" si="10"/>
        <v>1</v>
      </c>
      <c r="J30" s="644"/>
      <c r="K30" s="24">
        <f t="shared" si="11"/>
        <v>1</v>
      </c>
      <c r="L30" s="644"/>
      <c r="M30" s="24">
        <f t="shared" si="12"/>
        <v>1</v>
      </c>
      <c r="N30" s="644"/>
      <c r="O30" s="24">
        <f t="shared" si="13"/>
        <v>1</v>
      </c>
      <c r="P30" s="644"/>
      <c r="Q30" s="24">
        <f t="shared" si="14"/>
        <v>1</v>
      </c>
      <c r="R30" s="24">
        <f t="shared" si="15"/>
        <v>0</v>
      </c>
      <c r="S30" s="314">
        <f t="shared" si="6"/>
        <v>0</v>
      </c>
    </row>
    <row r="31" spans="1:45">
      <c r="A31" s="147"/>
      <c r="B31" s="55"/>
      <c r="C31" s="24">
        <f t="shared" si="7"/>
        <v>1</v>
      </c>
      <c r="D31" s="644"/>
      <c r="E31" s="24">
        <f t="shared" si="8"/>
        <v>1</v>
      </c>
      <c r="F31" s="644"/>
      <c r="G31" s="24">
        <f t="shared" si="9"/>
        <v>1</v>
      </c>
      <c r="H31" s="644"/>
      <c r="I31" s="24">
        <f t="shared" si="10"/>
        <v>1</v>
      </c>
      <c r="J31" s="644"/>
      <c r="K31" s="24">
        <f t="shared" si="11"/>
        <v>1</v>
      </c>
      <c r="L31" s="644"/>
      <c r="M31" s="24">
        <f t="shared" si="12"/>
        <v>1</v>
      </c>
      <c r="N31" s="644"/>
      <c r="O31" s="24">
        <f t="shared" si="13"/>
        <v>1</v>
      </c>
      <c r="P31" s="644"/>
      <c r="Q31" s="24">
        <f t="shared" si="14"/>
        <v>1</v>
      </c>
      <c r="R31" s="24">
        <f t="shared" si="15"/>
        <v>0</v>
      </c>
      <c r="S31" s="314">
        <f t="shared" si="6"/>
        <v>0</v>
      </c>
    </row>
    <row r="32" spans="1:45">
      <c r="A32" s="147"/>
      <c r="B32" s="55"/>
      <c r="C32" s="24">
        <f t="shared" si="7"/>
        <v>1</v>
      </c>
      <c r="D32" s="644"/>
      <c r="E32" s="24">
        <f t="shared" si="8"/>
        <v>1</v>
      </c>
      <c r="F32" s="644"/>
      <c r="G32" s="24">
        <f t="shared" si="9"/>
        <v>1</v>
      </c>
      <c r="H32" s="644"/>
      <c r="I32" s="24">
        <f t="shared" si="10"/>
        <v>1</v>
      </c>
      <c r="J32" s="644"/>
      <c r="K32" s="24">
        <f t="shared" si="11"/>
        <v>1</v>
      </c>
      <c r="L32" s="644"/>
      <c r="M32" s="24">
        <f t="shared" si="12"/>
        <v>1</v>
      </c>
      <c r="N32" s="644"/>
      <c r="O32" s="24">
        <f t="shared" si="13"/>
        <v>1</v>
      </c>
      <c r="P32" s="644"/>
      <c r="Q32" s="24">
        <f t="shared" si="14"/>
        <v>1</v>
      </c>
      <c r="R32" s="24">
        <f t="shared" si="15"/>
        <v>0</v>
      </c>
      <c r="S32" s="314">
        <f t="shared" si="6"/>
        <v>0</v>
      </c>
    </row>
    <row r="33" spans="1:19">
      <c r="A33" s="147"/>
      <c r="B33" s="55"/>
      <c r="C33" s="24">
        <f t="shared" si="7"/>
        <v>1</v>
      </c>
      <c r="D33" s="644"/>
      <c r="E33" s="24">
        <f t="shared" si="8"/>
        <v>1</v>
      </c>
      <c r="F33" s="644"/>
      <c r="G33" s="24">
        <f t="shared" si="9"/>
        <v>1</v>
      </c>
      <c r="H33" s="644"/>
      <c r="I33" s="24">
        <f t="shared" si="10"/>
        <v>1</v>
      </c>
      <c r="J33" s="644"/>
      <c r="K33" s="24">
        <f t="shared" si="11"/>
        <v>1</v>
      </c>
      <c r="L33" s="644"/>
      <c r="M33" s="24">
        <f t="shared" si="12"/>
        <v>1</v>
      </c>
      <c r="N33" s="644"/>
      <c r="O33" s="24">
        <f t="shared" si="13"/>
        <v>1</v>
      </c>
      <c r="P33" s="644"/>
      <c r="Q33" s="24">
        <f t="shared" si="14"/>
        <v>1</v>
      </c>
      <c r="R33" s="24">
        <f t="shared" si="15"/>
        <v>0</v>
      </c>
      <c r="S33" s="314">
        <f t="shared" si="6"/>
        <v>0</v>
      </c>
    </row>
    <row r="34" spans="1:19">
      <c r="A34" s="147"/>
      <c r="B34" s="55"/>
      <c r="C34" s="24">
        <f t="shared" si="7"/>
        <v>1</v>
      </c>
      <c r="D34" s="644"/>
      <c r="E34" s="24">
        <f t="shared" si="8"/>
        <v>1</v>
      </c>
      <c r="F34" s="644"/>
      <c r="G34" s="24">
        <f t="shared" si="9"/>
        <v>1</v>
      </c>
      <c r="H34" s="644"/>
      <c r="I34" s="24">
        <f t="shared" si="10"/>
        <v>1</v>
      </c>
      <c r="J34" s="644"/>
      <c r="K34" s="24">
        <f t="shared" si="11"/>
        <v>1</v>
      </c>
      <c r="L34" s="644"/>
      <c r="M34" s="24">
        <f t="shared" si="12"/>
        <v>1</v>
      </c>
      <c r="N34" s="644"/>
      <c r="O34" s="24">
        <f t="shared" si="13"/>
        <v>1</v>
      </c>
      <c r="P34" s="644"/>
      <c r="Q34" s="24">
        <f t="shared" si="14"/>
        <v>1</v>
      </c>
      <c r="R34" s="24">
        <f t="shared" si="15"/>
        <v>0</v>
      </c>
      <c r="S34" s="314">
        <f t="shared" si="6"/>
        <v>0</v>
      </c>
    </row>
    <row r="35" spans="1:19">
      <c r="A35" s="147"/>
      <c r="B35" s="55"/>
      <c r="C35" s="24">
        <f t="shared" si="7"/>
        <v>1</v>
      </c>
      <c r="D35" s="644"/>
      <c r="E35" s="24">
        <f t="shared" si="8"/>
        <v>1</v>
      </c>
      <c r="F35" s="644"/>
      <c r="G35" s="24">
        <f t="shared" si="9"/>
        <v>1</v>
      </c>
      <c r="H35" s="644"/>
      <c r="I35" s="24">
        <f t="shared" si="10"/>
        <v>1</v>
      </c>
      <c r="J35" s="644"/>
      <c r="K35" s="24">
        <f t="shared" si="11"/>
        <v>1</v>
      </c>
      <c r="L35" s="644"/>
      <c r="M35" s="24">
        <f t="shared" si="12"/>
        <v>1</v>
      </c>
      <c r="N35" s="644"/>
      <c r="O35" s="24">
        <f t="shared" si="13"/>
        <v>1</v>
      </c>
      <c r="P35" s="644"/>
      <c r="Q35" s="24">
        <f t="shared" si="14"/>
        <v>1</v>
      </c>
      <c r="R35" s="24">
        <f t="shared" si="15"/>
        <v>0</v>
      </c>
      <c r="S35" s="314">
        <f t="shared" si="6"/>
        <v>0</v>
      </c>
    </row>
    <row r="36" spans="1:19">
      <c r="A36" s="147"/>
      <c r="B36" s="55"/>
      <c r="C36" s="24">
        <f t="shared" si="7"/>
        <v>1</v>
      </c>
      <c r="D36" s="644"/>
      <c r="E36" s="24">
        <f t="shared" si="8"/>
        <v>1</v>
      </c>
      <c r="F36" s="644"/>
      <c r="G36" s="24">
        <f t="shared" si="9"/>
        <v>1</v>
      </c>
      <c r="H36" s="644"/>
      <c r="I36" s="24">
        <f t="shared" si="10"/>
        <v>1</v>
      </c>
      <c r="J36" s="644"/>
      <c r="K36" s="24">
        <f t="shared" si="11"/>
        <v>1</v>
      </c>
      <c r="L36" s="644"/>
      <c r="M36" s="24">
        <f t="shared" si="12"/>
        <v>1</v>
      </c>
      <c r="N36" s="644"/>
      <c r="O36" s="24">
        <f t="shared" si="13"/>
        <v>1</v>
      </c>
      <c r="P36" s="644"/>
      <c r="Q36" s="24">
        <f t="shared" si="14"/>
        <v>1</v>
      </c>
      <c r="R36" s="24">
        <f t="shared" si="15"/>
        <v>0</v>
      </c>
      <c r="S36" s="314">
        <f t="shared" si="6"/>
        <v>0</v>
      </c>
    </row>
    <row r="37" spans="1:19">
      <c r="A37" s="147"/>
      <c r="B37" s="55"/>
      <c r="C37" s="24">
        <f t="shared" si="7"/>
        <v>1</v>
      </c>
      <c r="D37" s="644"/>
      <c r="E37" s="24">
        <f t="shared" si="8"/>
        <v>1</v>
      </c>
      <c r="F37" s="644"/>
      <c r="G37" s="24">
        <f t="shared" si="9"/>
        <v>1</v>
      </c>
      <c r="H37" s="644"/>
      <c r="I37" s="24">
        <f t="shared" si="10"/>
        <v>1</v>
      </c>
      <c r="J37" s="644"/>
      <c r="K37" s="24">
        <f t="shared" si="11"/>
        <v>1</v>
      </c>
      <c r="L37" s="644"/>
      <c r="M37" s="24">
        <f t="shared" si="12"/>
        <v>1</v>
      </c>
      <c r="N37" s="644"/>
      <c r="O37" s="24">
        <f t="shared" si="13"/>
        <v>1</v>
      </c>
      <c r="P37" s="644"/>
      <c r="Q37" s="24">
        <f t="shared" si="14"/>
        <v>1</v>
      </c>
      <c r="R37" s="24">
        <f t="shared" si="15"/>
        <v>0</v>
      </c>
      <c r="S37" s="314">
        <f t="shared" si="6"/>
        <v>0</v>
      </c>
    </row>
    <row r="38" spans="1:19">
      <c r="A38" s="147"/>
      <c r="B38" s="55"/>
      <c r="C38" s="24">
        <f t="shared" si="7"/>
        <v>1</v>
      </c>
      <c r="D38" s="644"/>
      <c r="E38" s="24">
        <f t="shared" si="8"/>
        <v>1</v>
      </c>
      <c r="F38" s="644"/>
      <c r="G38" s="24">
        <f t="shared" si="9"/>
        <v>1</v>
      </c>
      <c r="H38" s="644"/>
      <c r="I38" s="24">
        <f t="shared" si="10"/>
        <v>1</v>
      </c>
      <c r="J38" s="644"/>
      <c r="K38" s="24">
        <f t="shared" si="11"/>
        <v>1</v>
      </c>
      <c r="L38" s="644"/>
      <c r="M38" s="24">
        <f t="shared" si="12"/>
        <v>1</v>
      </c>
      <c r="N38" s="644"/>
      <c r="O38" s="24">
        <f t="shared" si="13"/>
        <v>1</v>
      </c>
      <c r="P38" s="644"/>
      <c r="Q38" s="24">
        <f t="shared" si="14"/>
        <v>1</v>
      </c>
      <c r="R38" s="24">
        <f t="shared" si="15"/>
        <v>0</v>
      </c>
      <c r="S38" s="314">
        <f t="shared" si="6"/>
        <v>0</v>
      </c>
    </row>
    <row r="39" spans="1:19">
      <c r="A39" s="147"/>
      <c r="B39" s="55"/>
      <c r="C39" s="24">
        <f t="shared" si="7"/>
        <v>1</v>
      </c>
      <c r="D39" s="644"/>
      <c r="E39" s="24">
        <f t="shared" si="8"/>
        <v>1</v>
      </c>
      <c r="F39" s="644"/>
      <c r="G39" s="24">
        <f t="shared" si="9"/>
        <v>1</v>
      </c>
      <c r="H39" s="644"/>
      <c r="I39" s="24">
        <f t="shared" si="10"/>
        <v>1</v>
      </c>
      <c r="J39" s="644"/>
      <c r="K39" s="24">
        <f t="shared" si="11"/>
        <v>1</v>
      </c>
      <c r="L39" s="644"/>
      <c r="M39" s="24">
        <f t="shared" si="12"/>
        <v>1</v>
      </c>
      <c r="N39" s="644"/>
      <c r="O39" s="24">
        <f t="shared" si="13"/>
        <v>1</v>
      </c>
      <c r="P39" s="644"/>
      <c r="Q39" s="24">
        <f t="shared" si="14"/>
        <v>1</v>
      </c>
      <c r="R39" s="24">
        <f t="shared" si="15"/>
        <v>0</v>
      </c>
      <c r="S39" s="314">
        <f t="shared" si="6"/>
        <v>0</v>
      </c>
    </row>
    <row r="40" spans="1:19">
      <c r="A40" s="147"/>
      <c r="B40" s="55"/>
      <c r="C40" s="24">
        <f t="shared" si="7"/>
        <v>1</v>
      </c>
      <c r="D40" s="644"/>
      <c r="E40" s="24">
        <f t="shared" si="8"/>
        <v>1</v>
      </c>
      <c r="F40" s="644"/>
      <c r="G40" s="24">
        <f t="shared" si="9"/>
        <v>1</v>
      </c>
      <c r="H40" s="644"/>
      <c r="I40" s="24">
        <f t="shared" si="10"/>
        <v>1</v>
      </c>
      <c r="J40" s="644"/>
      <c r="K40" s="24">
        <f t="shared" si="11"/>
        <v>1</v>
      </c>
      <c r="L40" s="644"/>
      <c r="M40" s="24">
        <f t="shared" si="12"/>
        <v>1</v>
      </c>
      <c r="N40" s="644"/>
      <c r="O40" s="24">
        <f t="shared" si="13"/>
        <v>1</v>
      </c>
      <c r="P40" s="644"/>
      <c r="Q40" s="24">
        <f t="shared" si="14"/>
        <v>1</v>
      </c>
      <c r="R40" s="24">
        <f t="shared" si="15"/>
        <v>0</v>
      </c>
      <c r="S40" s="314">
        <f t="shared" si="6"/>
        <v>0</v>
      </c>
    </row>
    <row r="41" spans="1:19">
      <c r="A41" s="147"/>
      <c r="B41" s="55"/>
      <c r="C41" s="24">
        <f t="shared" si="7"/>
        <v>1</v>
      </c>
      <c r="D41" s="644"/>
      <c r="E41" s="24">
        <f t="shared" si="8"/>
        <v>1</v>
      </c>
      <c r="F41" s="644"/>
      <c r="G41" s="24">
        <f t="shared" si="9"/>
        <v>1</v>
      </c>
      <c r="H41" s="644"/>
      <c r="I41" s="24">
        <f t="shared" si="10"/>
        <v>1</v>
      </c>
      <c r="J41" s="644"/>
      <c r="K41" s="24">
        <f t="shared" si="11"/>
        <v>1</v>
      </c>
      <c r="L41" s="644"/>
      <c r="M41" s="24">
        <f t="shared" si="12"/>
        <v>1</v>
      </c>
      <c r="N41" s="644"/>
      <c r="O41" s="24">
        <f t="shared" si="13"/>
        <v>1</v>
      </c>
      <c r="P41" s="644"/>
      <c r="Q41" s="24">
        <f t="shared" si="14"/>
        <v>1</v>
      </c>
      <c r="R41" s="24">
        <f t="shared" si="15"/>
        <v>0</v>
      </c>
      <c r="S41" s="314">
        <f t="shared" si="6"/>
        <v>0</v>
      </c>
    </row>
    <row r="42" spans="1:19">
      <c r="A42" s="147"/>
      <c r="B42" s="55"/>
      <c r="C42" s="24">
        <f t="shared" si="7"/>
        <v>1</v>
      </c>
      <c r="D42" s="644"/>
      <c r="E42" s="24">
        <f t="shared" si="8"/>
        <v>1</v>
      </c>
      <c r="F42" s="644"/>
      <c r="G42" s="24">
        <f t="shared" si="9"/>
        <v>1</v>
      </c>
      <c r="H42" s="644"/>
      <c r="I42" s="24">
        <f t="shared" si="10"/>
        <v>1</v>
      </c>
      <c r="J42" s="644"/>
      <c r="K42" s="24">
        <f t="shared" si="11"/>
        <v>1</v>
      </c>
      <c r="L42" s="644"/>
      <c r="M42" s="24">
        <f t="shared" si="12"/>
        <v>1</v>
      </c>
      <c r="N42" s="644"/>
      <c r="O42" s="24">
        <f t="shared" si="13"/>
        <v>1</v>
      </c>
      <c r="P42" s="644"/>
      <c r="Q42" s="24">
        <f t="shared" si="14"/>
        <v>1</v>
      </c>
      <c r="R42" s="24">
        <f t="shared" si="15"/>
        <v>0</v>
      </c>
      <c r="S42" s="314">
        <f t="shared" si="6"/>
        <v>0</v>
      </c>
    </row>
    <row r="43" spans="1:19">
      <c r="A43" s="147"/>
      <c r="B43" s="55"/>
      <c r="C43" s="24">
        <f t="shared" si="7"/>
        <v>1</v>
      </c>
      <c r="D43" s="644"/>
      <c r="E43" s="24">
        <f t="shared" si="8"/>
        <v>1</v>
      </c>
      <c r="F43" s="644"/>
      <c r="G43" s="24">
        <f t="shared" si="9"/>
        <v>1</v>
      </c>
      <c r="H43" s="644"/>
      <c r="I43" s="24">
        <f t="shared" si="10"/>
        <v>1</v>
      </c>
      <c r="J43" s="644"/>
      <c r="K43" s="24">
        <f t="shared" si="11"/>
        <v>1</v>
      </c>
      <c r="L43" s="644"/>
      <c r="M43" s="24">
        <f t="shared" si="12"/>
        <v>1</v>
      </c>
      <c r="N43" s="644"/>
      <c r="O43" s="24">
        <f t="shared" si="13"/>
        <v>1</v>
      </c>
      <c r="P43" s="644"/>
      <c r="Q43" s="24">
        <f t="shared" si="14"/>
        <v>1</v>
      </c>
      <c r="R43" s="24">
        <f t="shared" si="15"/>
        <v>0</v>
      </c>
      <c r="S43" s="314">
        <f t="shared" si="6"/>
        <v>0</v>
      </c>
    </row>
    <row r="44" spans="1:19">
      <c r="A44" s="147"/>
      <c r="B44" s="55"/>
      <c r="C44" s="24">
        <f t="shared" si="7"/>
        <v>1</v>
      </c>
      <c r="D44" s="644"/>
      <c r="E44" s="24">
        <f t="shared" si="8"/>
        <v>1</v>
      </c>
      <c r="F44" s="644"/>
      <c r="G44" s="24">
        <f t="shared" si="9"/>
        <v>1</v>
      </c>
      <c r="H44" s="644"/>
      <c r="I44" s="24">
        <f t="shared" si="10"/>
        <v>1</v>
      </c>
      <c r="J44" s="644"/>
      <c r="K44" s="24">
        <f t="shared" si="11"/>
        <v>1</v>
      </c>
      <c r="L44" s="644"/>
      <c r="M44" s="24">
        <f t="shared" si="12"/>
        <v>1</v>
      </c>
      <c r="N44" s="644"/>
      <c r="O44" s="24">
        <f t="shared" si="13"/>
        <v>1</v>
      </c>
      <c r="P44" s="644"/>
      <c r="Q44" s="24">
        <f t="shared" si="14"/>
        <v>1</v>
      </c>
      <c r="R44" s="24">
        <f t="shared" si="15"/>
        <v>0</v>
      </c>
      <c r="S44" s="314">
        <f t="shared" si="6"/>
        <v>0</v>
      </c>
    </row>
    <row r="45" spans="1:19">
      <c r="A45" s="147"/>
      <c r="B45" s="55"/>
      <c r="C45" s="24">
        <f t="shared" si="7"/>
        <v>1</v>
      </c>
      <c r="D45" s="644"/>
      <c r="E45" s="24">
        <f t="shared" si="8"/>
        <v>1</v>
      </c>
      <c r="F45" s="644"/>
      <c r="G45" s="24">
        <f t="shared" si="9"/>
        <v>1</v>
      </c>
      <c r="H45" s="644"/>
      <c r="I45" s="24">
        <f t="shared" si="10"/>
        <v>1</v>
      </c>
      <c r="J45" s="644"/>
      <c r="K45" s="24">
        <f t="shared" si="11"/>
        <v>1</v>
      </c>
      <c r="L45" s="644"/>
      <c r="M45" s="24">
        <f t="shared" si="12"/>
        <v>1</v>
      </c>
      <c r="N45" s="644"/>
      <c r="O45" s="24">
        <f t="shared" si="13"/>
        <v>1</v>
      </c>
      <c r="P45" s="644"/>
      <c r="Q45" s="24">
        <f t="shared" si="14"/>
        <v>1</v>
      </c>
      <c r="R45" s="24">
        <f t="shared" si="15"/>
        <v>0</v>
      </c>
      <c r="S45" s="314">
        <f t="shared" si="6"/>
        <v>0</v>
      </c>
    </row>
    <row r="46" spans="1:19">
      <c r="A46" s="147"/>
      <c r="B46" s="55"/>
      <c r="C46" s="24">
        <f t="shared" si="7"/>
        <v>1</v>
      </c>
      <c r="D46" s="644"/>
      <c r="E46" s="24">
        <f t="shared" si="8"/>
        <v>1</v>
      </c>
      <c r="F46" s="644"/>
      <c r="G46" s="24">
        <f t="shared" si="9"/>
        <v>1</v>
      </c>
      <c r="H46" s="644"/>
      <c r="I46" s="24">
        <f t="shared" si="10"/>
        <v>1</v>
      </c>
      <c r="J46" s="644"/>
      <c r="K46" s="24">
        <f t="shared" si="11"/>
        <v>1</v>
      </c>
      <c r="L46" s="644"/>
      <c r="M46" s="24">
        <f t="shared" si="12"/>
        <v>1</v>
      </c>
      <c r="N46" s="644"/>
      <c r="O46" s="24">
        <f t="shared" si="13"/>
        <v>1</v>
      </c>
      <c r="P46" s="644"/>
      <c r="Q46" s="24">
        <f t="shared" si="14"/>
        <v>1</v>
      </c>
      <c r="R46" s="24">
        <f t="shared" si="15"/>
        <v>0</v>
      </c>
      <c r="S46" s="314">
        <f t="shared" si="6"/>
        <v>0</v>
      </c>
    </row>
    <row r="47" spans="1:19">
      <c r="A47" s="147"/>
      <c r="B47" s="55"/>
      <c r="C47" s="24">
        <f t="shared" si="7"/>
        <v>1</v>
      </c>
      <c r="D47" s="644"/>
      <c r="E47" s="24">
        <f t="shared" si="8"/>
        <v>1</v>
      </c>
      <c r="F47" s="644"/>
      <c r="G47" s="24">
        <f t="shared" si="9"/>
        <v>1</v>
      </c>
      <c r="H47" s="644"/>
      <c r="I47" s="24">
        <f t="shared" si="10"/>
        <v>1</v>
      </c>
      <c r="J47" s="644"/>
      <c r="K47" s="24">
        <f t="shared" si="11"/>
        <v>1</v>
      </c>
      <c r="L47" s="644"/>
      <c r="M47" s="24">
        <f t="shared" si="12"/>
        <v>1</v>
      </c>
      <c r="N47" s="644"/>
      <c r="O47" s="24">
        <f t="shared" si="13"/>
        <v>1</v>
      </c>
      <c r="P47" s="644"/>
      <c r="Q47" s="24">
        <f t="shared" si="14"/>
        <v>1</v>
      </c>
      <c r="R47" s="24">
        <f t="shared" si="15"/>
        <v>0</v>
      </c>
      <c r="S47" s="314">
        <f t="shared" si="6"/>
        <v>0</v>
      </c>
    </row>
    <row r="48" spans="1:19">
      <c r="A48" s="147"/>
      <c r="B48" s="55"/>
      <c r="C48" s="24">
        <f t="shared" si="7"/>
        <v>1</v>
      </c>
      <c r="D48" s="644"/>
      <c r="E48" s="24">
        <f t="shared" si="8"/>
        <v>1</v>
      </c>
      <c r="F48" s="644"/>
      <c r="G48" s="24">
        <f t="shared" si="9"/>
        <v>1</v>
      </c>
      <c r="H48" s="644"/>
      <c r="I48" s="24">
        <f t="shared" si="10"/>
        <v>1</v>
      </c>
      <c r="J48" s="644"/>
      <c r="K48" s="24">
        <f t="shared" si="11"/>
        <v>1</v>
      </c>
      <c r="L48" s="644"/>
      <c r="M48" s="24">
        <f t="shared" si="12"/>
        <v>1</v>
      </c>
      <c r="N48" s="644"/>
      <c r="O48" s="24">
        <f t="shared" si="13"/>
        <v>1</v>
      </c>
      <c r="P48" s="644"/>
      <c r="Q48" s="24">
        <f t="shared" si="14"/>
        <v>1</v>
      </c>
      <c r="R48" s="24">
        <f t="shared" si="15"/>
        <v>0</v>
      </c>
      <c r="S48" s="314">
        <f t="shared" si="6"/>
        <v>0</v>
      </c>
    </row>
    <row r="49" spans="1:19">
      <c r="A49" s="147"/>
      <c r="B49" s="55"/>
      <c r="C49" s="24">
        <f t="shared" si="7"/>
        <v>1</v>
      </c>
      <c r="D49" s="644"/>
      <c r="E49" s="24">
        <f t="shared" si="8"/>
        <v>1</v>
      </c>
      <c r="F49" s="644"/>
      <c r="G49" s="24">
        <f t="shared" si="9"/>
        <v>1</v>
      </c>
      <c r="H49" s="644"/>
      <c r="I49" s="24">
        <f t="shared" si="10"/>
        <v>1</v>
      </c>
      <c r="J49" s="644"/>
      <c r="K49" s="24">
        <f t="shared" si="11"/>
        <v>1</v>
      </c>
      <c r="L49" s="644"/>
      <c r="M49" s="24">
        <f t="shared" si="12"/>
        <v>1</v>
      </c>
      <c r="N49" s="644"/>
      <c r="O49" s="24">
        <f t="shared" si="13"/>
        <v>1</v>
      </c>
      <c r="P49" s="644"/>
      <c r="Q49" s="24">
        <f t="shared" si="14"/>
        <v>1</v>
      </c>
      <c r="R49" s="24">
        <f t="shared" si="15"/>
        <v>0</v>
      </c>
      <c r="S49" s="314">
        <f t="shared" si="6"/>
        <v>0</v>
      </c>
    </row>
    <row r="50" spans="1:19">
      <c r="A50" s="147"/>
      <c r="B50" s="55"/>
      <c r="C50" s="24">
        <f t="shared" si="7"/>
        <v>1</v>
      </c>
      <c r="D50" s="644"/>
      <c r="E50" s="24">
        <f t="shared" si="8"/>
        <v>1</v>
      </c>
      <c r="F50" s="644"/>
      <c r="G50" s="24">
        <f t="shared" si="9"/>
        <v>1</v>
      </c>
      <c r="H50" s="644"/>
      <c r="I50" s="24">
        <f t="shared" si="10"/>
        <v>1</v>
      </c>
      <c r="J50" s="644"/>
      <c r="K50" s="24">
        <f t="shared" si="11"/>
        <v>1</v>
      </c>
      <c r="L50" s="644"/>
      <c r="M50" s="24">
        <f t="shared" si="12"/>
        <v>1</v>
      </c>
      <c r="N50" s="644"/>
      <c r="O50" s="24">
        <f t="shared" si="13"/>
        <v>1</v>
      </c>
      <c r="P50" s="644"/>
      <c r="Q50" s="24">
        <f t="shared" si="14"/>
        <v>1</v>
      </c>
      <c r="R50" s="24">
        <f t="shared" si="15"/>
        <v>0</v>
      </c>
      <c r="S50" s="314">
        <f t="shared" si="6"/>
        <v>0</v>
      </c>
    </row>
    <row r="51" spans="1:19">
      <c r="A51" s="147"/>
      <c r="B51" s="55"/>
      <c r="C51" s="24">
        <f t="shared" si="7"/>
        <v>1</v>
      </c>
      <c r="D51" s="644"/>
      <c r="E51" s="24">
        <f t="shared" si="8"/>
        <v>1</v>
      </c>
      <c r="F51" s="644"/>
      <c r="G51" s="24">
        <f t="shared" si="9"/>
        <v>1</v>
      </c>
      <c r="H51" s="644"/>
      <c r="I51" s="24">
        <f t="shared" si="10"/>
        <v>1</v>
      </c>
      <c r="J51" s="644"/>
      <c r="K51" s="24">
        <f t="shared" si="11"/>
        <v>1</v>
      </c>
      <c r="L51" s="644"/>
      <c r="M51" s="24">
        <f t="shared" si="12"/>
        <v>1</v>
      </c>
      <c r="N51" s="644"/>
      <c r="O51" s="24">
        <f t="shared" si="13"/>
        <v>1</v>
      </c>
      <c r="P51" s="644"/>
      <c r="Q51" s="24">
        <f t="shared" si="14"/>
        <v>1</v>
      </c>
      <c r="R51" s="24">
        <f t="shared" si="15"/>
        <v>0</v>
      </c>
      <c r="S51" s="314">
        <f t="shared" si="6"/>
        <v>0</v>
      </c>
    </row>
    <row r="52" spans="1:19">
      <c r="A52" s="147"/>
      <c r="B52" s="55"/>
      <c r="C52" s="24">
        <f t="shared" si="7"/>
        <v>1</v>
      </c>
      <c r="D52" s="644"/>
      <c r="E52" s="24">
        <f t="shared" si="8"/>
        <v>1</v>
      </c>
      <c r="F52" s="644"/>
      <c r="G52" s="24">
        <f t="shared" si="9"/>
        <v>1</v>
      </c>
      <c r="H52" s="644"/>
      <c r="I52" s="24">
        <f t="shared" si="10"/>
        <v>1</v>
      </c>
      <c r="J52" s="644"/>
      <c r="K52" s="24">
        <f t="shared" si="11"/>
        <v>1</v>
      </c>
      <c r="L52" s="644"/>
      <c r="M52" s="24">
        <f t="shared" si="12"/>
        <v>1</v>
      </c>
      <c r="N52" s="644"/>
      <c r="O52" s="24">
        <f t="shared" si="13"/>
        <v>1</v>
      </c>
      <c r="P52" s="644"/>
      <c r="Q52" s="24">
        <f t="shared" si="14"/>
        <v>1</v>
      </c>
      <c r="R52" s="24">
        <f t="shared" si="15"/>
        <v>0</v>
      </c>
      <c r="S52" s="314">
        <f t="shared" si="6"/>
        <v>0</v>
      </c>
    </row>
    <row r="53" spans="1:19">
      <c r="A53" s="147"/>
      <c r="B53" s="55"/>
      <c r="C53" s="24">
        <f t="shared" si="7"/>
        <v>1</v>
      </c>
      <c r="D53" s="644"/>
      <c r="E53" s="24">
        <f t="shared" si="8"/>
        <v>1</v>
      </c>
      <c r="F53" s="644"/>
      <c r="G53" s="24">
        <f t="shared" si="9"/>
        <v>1</v>
      </c>
      <c r="H53" s="644"/>
      <c r="I53" s="24">
        <f t="shared" si="10"/>
        <v>1</v>
      </c>
      <c r="J53" s="644"/>
      <c r="K53" s="24">
        <f t="shared" si="11"/>
        <v>1</v>
      </c>
      <c r="L53" s="644"/>
      <c r="M53" s="24">
        <f t="shared" si="12"/>
        <v>1</v>
      </c>
      <c r="N53" s="644"/>
      <c r="O53" s="24">
        <f t="shared" si="13"/>
        <v>1</v>
      </c>
      <c r="P53" s="644"/>
      <c r="Q53" s="24">
        <f t="shared" si="14"/>
        <v>1</v>
      </c>
      <c r="R53" s="24">
        <f t="shared" si="15"/>
        <v>0</v>
      </c>
      <c r="S53" s="314">
        <f t="shared" si="6"/>
        <v>0</v>
      </c>
    </row>
    <row r="54" spans="1:19">
      <c r="A54" s="147"/>
      <c r="B54" s="55"/>
      <c r="C54" s="24">
        <f t="shared" si="7"/>
        <v>1</v>
      </c>
      <c r="D54" s="644"/>
      <c r="E54" s="24">
        <f t="shared" si="8"/>
        <v>1</v>
      </c>
      <c r="F54" s="644"/>
      <c r="G54" s="24">
        <f t="shared" si="9"/>
        <v>1</v>
      </c>
      <c r="H54" s="644"/>
      <c r="I54" s="24">
        <f t="shared" si="10"/>
        <v>1</v>
      </c>
      <c r="J54" s="644"/>
      <c r="K54" s="24">
        <f t="shared" si="11"/>
        <v>1</v>
      </c>
      <c r="L54" s="644"/>
      <c r="M54" s="24">
        <f t="shared" si="12"/>
        <v>1</v>
      </c>
      <c r="N54" s="644"/>
      <c r="O54" s="24">
        <f t="shared" si="13"/>
        <v>1</v>
      </c>
      <c r="P54" s="644"/>
      <c r="Q54" s="24">
        <f t="shared" si="14"/>
        <v>1</v>
      </c>
      <c r="R54" s="24">
        <f t="shared" si="15"/>
        <v>0</v>
      </c>
      <c r="S54" s="314">
        <f t="shared" si="6"/>
        <v>0</v>
      </c>
    </row>
    <row r="55" spans="1:19">
      <c r="A55" s="147"/>
      <c r="B55" s="55"/>
      <c r="C55" s="24">
        <f t="shared" si="7"/>
        <v>1</v>
      </c>
      <c r="D55" s="644"/>
      <c r="E55" s="24">
        <f t="shared" si="8"/>
        <v>1</v>
      </c>
      <c r="F55" s="644"/>
      <c r="G55" s="24">
        <f t="shared" si="9"/>
        <v>1</v>
      </c>
      <c r="H55" s="644"/>
      <c r="I55" s="24">
        <f t="shared" si="10"/>
        <v>1</v>
      </c>
      <c r="J55" s="644"/>
      <c r="K55" s="24">
        <f t="shared" si="11"/>
        <v>1</v>
      </c>
      <c r="L55" s="644"/>
      <c r="M55" s="24">
        <f t="shared" si="12"/>
        <v>1</v>
      </c>
      <c r="N55" s="644"/>
      <c r="O55" s="24">
        <f t="shared" si="13"/>
        <v>1</v>
      </c>
      <c r="P55" s="644"/>
      <c r="Q55" s="24">
        <f t="shared" si="14"/>
        <v>1</v>
      </c>
      <c r="R55" s="24">
        <f t="shared" si="15"/>
        <v>0</v>
      </c>
      <c r="S55" s="314">
        <f t="shared" ref="S55:S77" si="16">ROUND(R55*B55/10000,0)</f>
        <v>0</v>
      </c>
    </row>
    <row r="56" spans="1:19">
      <c r="A56" s="147"/>
      <c r="B56" s="55"/>
      <c r="C56" s="24">
        <f t="shared" si="7"/>
        <v>1</v>
      </c>
      <c r="D56" s="644"/>
      <c r="E56" s="24">
        <f t="shared" si="8"/>
        <v>1</v>
      </c>
      <c r="F56" s="644"/>
      <c r="G56" s="24">
        <f t="shared" si="9"/>
        <v>1</v>
      </c>
      <c r="H56" s="644"/>
      <c r="I56" s="24">
        <f t="shared" si="10"/>
        <v>1</v>
      </c>
      <c r="J56" s="644"/>
      <c r="K56" s="24">
        <f t="shared" si="11"/>
        <v>1</v>
      </c>
      <c r="L56" s="644"/>
      <c r="M56" s="24">
        <f t="shared" si="12"/>
        <v>1</v>
      </c>
      <c r="N56" s="644"/>
      <c r="O56" s="24">
        <f t="shared" si="13"/>
        <v>1</v>
      </c>
      <c r="P56" s="644"/>
      <c r="Q56" s="24">
        <f t="shared" si="14"/>
        <v>1</v>
      </c>
      <c r="R56" s="24">
        <f t="shared" si="15"/>
        <v>0</v>
      </c>
      <c r="S56" s="314">
        <f t="shared" si="16"/>
        <v>0</v>
      </c>
    </row>
    <row r="57" spans="1:19">
      <c r="A57" s="147"/>
      <c r="B57" s="55"/>
      <c r="C57" s="24">
        <f t="shared" si="7"/>
        <v>1</v>
      </c>
      <c r="D57" s="644"/>
      <c r="E57" s="24">
        <f t="shared" si="8"/>
        <v>1</v>
      </c>
      <c r="F57" s="644"/>
      <c r="G57" s="24">
        <f t="shared" si="9"/>
        <v>1</v>
      </c>
      <c r="H57" s="644"/>
      <c r="I57" s="24">
        <f t="shared" si="10"/>
        <v>1</v>
      </c>
      <c r="J57" s="644"/>
      <c r="K57" s="24">
        <f t="shared" si="11"/>
        <v>1</v>
      </c>
      <c r="L57" s="644"/>
      <c r="M57" s="24">
        <f t="shared" si="12"/>
        <v>1</v>
      </c>
      <c r="N57" s="644"/>
      <c r="O57" s="24">
        <f t="shared" si="13"/>
        <v>1</v>
      </c>
      <c r="P57" s="644"/>
      <c r="Q57" s="24">
        <f t="shared" si="14"/>
        <v>1</v>
      </c>
      <c r="R57" s="24">
        <f t="shared" si="15"/>
        <v>0</v>
      </c>
      <c r="S57" s="314">
        <f t="shared" si="16"/>
        <v>0</v>
      </c>
    </row>
    <row r="58" spans="1:19">
      <c r="A58" s="147"/>
      <c r="B58" s="55"/>
      <c r="C58" s="24">
        <f t="shared" si="7"/>
        <v>1</v>
      </c>
      <c r="D58" s="644"/>
      <c r="E58" s="24">
        <f t="shared" si="8"/>
        <v>1</v>
      </c>
      <c r="F58" s="644"/>
      <c r="G58" s="24">
        <f t="shared" si="9"/>
        <v>1</v>
      </c>
      <c r="H58" s="644"/>
      <c r="I58" s="24">
        <f t="shared" si="10"/>
        <v>1</v>
      </c>
      <c r="J58" s="644"/>
      <c r="K58" s="24">
        <f t="shared" si="11"/>
        <v>1</v>
      </c>
      <c r="L58" s="644"/>
      <c r="M58" s="24">
        <f t="shared" si="12"/>
        <v>1</v>
      </c>
      <c r="N58" s="644"/>
      <c r="O58" s="24">
        <f t="shared" si="13"/>
        <v>1</v>
      </c>
      <c r="P58" s="644"/>
      <c r="Q58" s="24">
        <f t="shared" si="14"/>
        <v>1</v>
      </c>
      <c r="R58" s="24">
        <f t="shared" si="15"/>
        <v>0</v>
      </c>
      <c r="S58" s="314">
        <f t="shared" si="16"/>
        <v>0</v>
      </c>
    </row>
    <row r="59" spans="1:19">
      <c r="A59" s="147"/>
      <c r="B59" s="55"/>
      <c r="C59" s="24">
        <f t="shared" si="7"/>
        <v>1</v>
      </c>
      <c r="D59" s="644"/>
      <c r="E59" s="24">
        <f t="shared" si="8"/>
        <v>1</v>
      </c>
      <c r="F59" s="644"/>
      <c r="G59" s="24">
        <f t="shared" si="9"/>
        <v>1</v>
      </c>
      <c r="H59" s="644"/>
      <c r="I59" s="24">
        <f t="shared" si="10"/>
        <v>1</v>
      </c>
      <c r="J59" s="644"/>
      <c r="K59" s="24">
        <f t="shared" si="11"/>
        <v>1</v>
      </c>
      <c r="L59" s="644"/>
      <c r="M59" s="24">
        <f t="shared" si="12"/>
        <v>1</v>
      </c>
      <c r="N59" s="644"/>
      <c r="O59" s="24">
        <f t="shared" si="13"/>
        <v>1</v>
      </c>
      <c r="P59" s="644"/>
      <c r="Q59" s="24">
        <f t="shared" si="14"/>
        <v>1</v>
      </c>
      <c r="R59" s="24">
        <f t="shared" si="15"/>
        <v>0</v>
      </c>
      <c r="S59" s="314">
        <f t="shared" si="16"/>
        <v>0</v>
      </c>
    </row>
    <row r="60" spans="1:19">
      <c r="A60" s="147"/>
      <c r="B60" s="55"/>
      <c r="C60" s="24">
        <f t="shared" si="7"/>
        <v>1</v>
      </c>
      <c r="D60" s="644"/>
      <c r="E60" s="24">
        <f t="shared" si="8"/>
        <v>1</v>
      </c>
      <c r="F60" s="644"/>
      <c r="G60" s="24">
        <f t="shared" si="9"/>
        <v>1</v>
      </c>
      <c r="H60" s="644"/>
      <c r="I60" s="24">
        <f t="shared" si="10"/>
        <v>1</v>
      </c>
      <c r="J60" s="644"/>
      <c r="K60" s="24">
        <f t="shared" si="11"/>
        <v>1</v>
      </c>
      <c r="L60" s="644"/>
      <c r="M60" s="24">
        <f t="shared" si="12"/>
        <v>1</v>
      </c>
      <c r="N60" s="644"/>
      <c r="O60" s="24">
        <f t="shared" si="13"/>
        <v>1</v>
      </c>
      <c r="P60" s="644"/>
      <c r="Q60" s="24">
        <f t="shared" si="14"/>
        <v>1</v>
      </c>
      <c r="R60" s="24">
        <f t="shared" si="15"/>
        <v>0</v>
      </c>
      <c r="S60" s="314">
        <f t="shared" si="16"/>
        <v>0</v>
      </c>
    </row>
    <row r="61" spans="1:19">
      <c r="A61" s="147"/>
      <c r="B61" s="55"/>
      <c r="C61" s="24">
        <f t="shared" si="7"/>
        <v>1</v>
      </c>
      <c r="D61" s="644"/>
      <c r="E61" s="24">
        <f t="shared" si="8"/>
        <v>1</v>
      </c>
      <c r="F61" s="644"/>
      <c r="G61" s="24">
        <f t="shared" si="9"/>
        <v>1</v>
      </c>
      <c r="H61" s="644"/>
      <c r="I61" s="24">
        <f t="shared" si="10"/>
        <v>1</v>
      </c>
      <c r="J61" s="644"/>
      <c r="K61" s="24">
        <f t="shared" si="11"/>
        <v>1</v>
      </c>
      <c r="L61" s="644"/>
      <c r="M61" s="24">
        <f t="shared" si="12"/>
        <v>1</v>
      </c>
      <c r="N61" s="644"/>
      <c r="O61" s="24">
        <f t="shared" si="13"/>
        <v>1</v>
      </c>
      <c r="P61" s="644"/>
      <c r="Q61" s="24">
        <f t="shared" si="14"/>
        <v>1</v>
      </c>
      <c r="R61" s="24">
        <f t="shared" si="15"/>
        <v>0</v>
      </c>
      <c r="S61" s="314">
        <f t="shared" si="16"/>
        <v>0</v>
      </c>
    </row>
    <row r="62" spans="1:19">
      <c r="A62" s="147"/>
      <c r="B62" s="55"/>
      <c r="C62" s="24">
        <f t="shared" si="7"/>
        <v>1</v>
      </c>
      <c r="D62" s="644"/>
      <c r="E62" s="24">
        <f t="shared" si="8"/>
        <v>1</v>
      </c>
      <c r="F62" s="644"/>
      <c r="G62" s="24">
        <f t="shared" si="9"/>
        <v>1</v>
      </c>
      <c r="H62" s="644"/>
      <c r="I62" s="24">
        <f t="shared" si="10"/>
        <v>1</v>
      </c>
      <c r="J62" s="644"/>
      <c r="K62" s="24">
        <f t="shared" si="11"/>
        <v>1</v>
      </c>
      <c r="L62" s="644"/>
      <c r="M62" s="24">
        <f t="shared" si="12"/>
        <v>1</v>
      </c>
      <c r="N62" s="644"/>
      <c r="O62" s="24">
        <f t="shared" si="13"/>
        <v>1</v>
      </c>
      <c r="P62" s="644"/>
      <c r="Q62" s="24">
        <f t="shared" si="14"/>
        <v>1</v>
      </c>
      <c r="R62" s="24">
        <f t="shared" si="15"/>
        <v>0</v>
      </c>
      <c r="S62" s="314">
        <f t="shared" si="16"/>
        <v>0</v>
      </c>
    </row>
    <row r="63" spans="1:19">
      <c r="A63" s="147"/>
      <c r="B63" s="55"/>
      <c r="C63" s="24">
        <f t="shared" si="7"/>
        <v>1</v>
      </c>
      <c r="D63" s="644"/>
      <c r="E63" s="24">
        <f t="shared" si="8"/>
        <v>1</v>
      </c>
      <c r="F63" s="644"/>
      <c r="G63" s="24">
        <f t="shared" si="9"/>
        <v>1</v>
      </c>
      <c r="H63" s="644"/>
      <c r="I63" s="24">
        <f t="shared" si="10"/>
        <v>1</v>
      </c>
      <c r="J63" s="644"/>
      <c r="K63" s="24">
        <f t="shared" si="11"/>
        <v>1</v>
      </c>
      <c r="L63" s="644"/>
      <c r="M63" s="24">
        <f t="shared" si="12"/>
        <v>1</v>
      </c>
      <c r="N63" s="644"/>
      <c r="O63" s="24">
        <f t="shared" si="13"/>
        <v>1</v>
      </c>
      <c r="P63" s="644"/>
      <c r="Q63" s="24">
        <f t="shared" si="14"/>
        <v>1</v>
      </c>
      <c r="R63" s="24">
        <f t="shared" si="15"/>
        <v>0</v>
      </c>
      <c r="S63" s="314">
        <f t="shared" si="16"/>
        <v>0</v>
      </c>
    </row>
    <row r="64" spans="1:19">
      <c r="A64" s="147"/>
      <c r="B64" s="55"/>
      <c r="C64" s="24">
        <f t="shared" si="7"/>
        <v>1</v>
      </c>
      <c r="D64" s="644"/>
      <c r="E64" s="24">
        <f t="shared" si="8"/>
        <v>1</v>
      </c>
      <c r="F64" s="644"/>
      <c r="G64" s="24">
        <f t="shared" si="9"/>
        <v>1</v>
      </c>
      <c r="H64" s="644"/>
      <c r="I64" s="24">
        <f t="shared" si="10"/>
        <v>1</v>
      </c>
      <c r="J64" s="644"/>
      <c r="K64" s="24">
        <f t="shared" si="11"/>
        <v>1</v>
      </c>
      <c r="L64" s="644"/>
      <c r="M64" s="24">
        <f t="shared" si="12"/>
        <v>1</v>
      </c>
      <c r="N64" s="644"/>
      <c r="O64" s="24">
        <f t="shared" si="13"/>
        <v>1</v>
      </c>
      <c r="P64" s="644"/>
      <c r="Q64" s="24">
        <f t="shared" si="14"/>
        <v>1</v>
      </c>
      <c r="R64" s="24">
        <f t="shared" si="15"/>
        <v>0</v>
      </c>
      <c r="S64" s="314">
        <f t="shared" si="16"/>
        <v>0</v>
      </c>
    </row>
    <row r="65" spans="1:19">
      <c r="A65" s="147"/>
      <c r="B65" s="55"/>
      <c r="C65" s="24">
        <f t="shared" si="7"/>
        <v>1</v>
      </c>
      <c r="D65" s="644"/>
      <c r="E65" s="24">
        <f t="shared" si="8"/>
        <v>1</v>
      </c>
      <c r="F65" s="644"/>
      <c r="G65" s="24">
        <f t="shared" si="9"/>
        <v>1</v>
      </c>
      <c r="H65" s="644"/>
      <c r="I65" s="24">
        <f t="shared" si="10"/>
        <v>1</v>
      </c>
      <c r="J65" s="644"/>
      <c r="K65" s="24">
        <f t="shared" si="11"/>
        <v>1</v>
      </c>
      <c r="L65" s="644"/>
      <c r="M65" s="24">
        <f t="shared" si="12"/>
        <v>1</v>
      </c>
      <c r="N65" s="644"/>
      <c r="O65" s="24">
        <f t="shared" si="13"/>
        <v>1</v>
      </c>
      <c r="P65" s="644"/>
      <c r="Q65" s="24">
        <f t="shared" si="14"/>
        <v>1</v>
      </c>
      <c r="R65" s="24">
        <f t="shared" si="15"/>
        <v>0</v>
      </c>
      <c r="S65" s="314">
        <f t="shared" si="16"/>
        <v>0</v>
      </c>
    </row>
    <row r="66" spans="1:19">
      <c r="A66" s="147"/>
      <c r="B66" s="55"/>
      <c r="C66" s="24">
        <f t="shared" si="7"/>
        <v>1</v>
      </c>
      <c r="D66" s="644"/>
      <c r="E66" s="24">
        <f t="shared" si="8"/>
        <v>1</v>
      </c>
      <c r="F66" s="644"/>
      <c r="G66" s="24">
        <f t="shared" si="9"/>
        <v>1</v>
      </c>
      <c r="H66" s="644"/>
      <c r="I66" s="24">
        <f t="shared" si="10"/>
        <v>1</v>
      </c>
      <c r="J66" s="644"/>
      <c r="K66" s="24">
        <f t="shared" si="11"/>
        <v>1</v>
      </c>
      <c r="L66" s="644"/>
      <c r="M66" s="24">
        <f t="shared" si="12"/>
        <v>1</v>
      </c>
      <c r="N66" s="644"/>
      <c r="O66" s="24">
        <f t="shared" si="13"/>
        <v>1</v>
      </c>
      <c r="P66" s="644"/>
      <c r="Q66" s="24">
        <f t="shared" si="14"/>
        <v>1</v>
      </c>
      <c r="R66" s="24">
        <f t="shared" si="15"/>
        <v>0</v>
      </c>
      <c r="S66" s="314">
        <f t="shared" si="16"/>
        <v>0</v>
      </c>
    </row>
    <row r="67" spans="1:19">
      <c r="A67" s="147"/>
      <c r="B67" s="55"/>
      <c r="C67" s="24">
        <f t="shared" si="7"/>
        <v>1</v>
      </c>
      <c r="D67" s="644"/>
      <c r="E67" s="24">
        <f t="shared" si="8"/>
        <v>1</v>
      </c>
      <c r="F67" s="644"/>
      <c r="G67" s="24">
        <f t="shared" si="9"/>
        <v>1</v>
      </c>
      <c r="H67" s="644"/>
      <c r="I67" s="24">
        <f t="shared" si="10"/>
        <v>1</v>
      </c>
      <c r="J67" s="644"/>
      <c r="K67" s="24">
        <f t="shared" si="11"/>
        <v>1</v>
      </c>
      <c r="L67" s="644"/>
      <c r="M67" s="24">
        <f t="shared" si="12"/>
        <v>1</v>
      </c>
      <c r="N67" s="644"/>
      <c r="O67" s="24">
        <f t="shared" si="13"/>
        <v>1</v>
      </c>
      <c r="P67" s="644"/>
      <c r="Q67" s="24">
        <f t="shared" si="14"/>
        <v>1</v>
      </c>
      <c r="R67" s="24">
        <f t="shared" si="15"/>
        <v>0</v>
      </c>
      <c r="S67" s="314">
        <f t="shared" si="16"/>
        <v>0</v>
      </c>
    </row>
    <row r="68" spans="1:19">
      <c r="A68" s="147"/>
      <c r="B68" s="55"/>
      <c r="C68" s="24">
        <f t="shared" si="7"/>
        <v>1</v>
      </c>
      <c r="D68" s="644"/>
      <c r="E68" s="24">
        <f t="shared" si="8"/>
        <v>1</v>
      </c>
      <c r="F68" s="644"/>
      <c r="G68" s="24">
        <f t="shared" si="9"/>
        <v>1</v>
      </c>
      <c r="H68" s="644"/>
      <c r="I68" s="24">
        <f t="shared" si="10"/>
        <v>1</v>
      </c>
      <c r="J68" s="644"/>
      <c r="K68" s="24">
        <f t="shared" si="11"/>
        <v>1</v>
      </c>
      <c r="L68" s="644"/>
      <c r="M68" s="24">
        <f t="shared" si="12"/>
        <v>1</v>
      </c>
      <c r="N68" s="644"/>
      <c r="O68" s="24">
        <f t="shared" si="13"/>
        <v>1</v>
      </c>
      <c r="P68" s="644"/>
      <c r="Q68" s="24">
        <f t="shared" si="14"/>
        <v>1</v>
      </c>
      <c r="R68" s="24">
        <f t="shared" si="15"/>
        <v>0</v>
      </c>
      <c r="S68" s="314">
        <f t="shared" si="16"/>
        <v>0</v>
      </c>
    </row>
    <row r="69" spans="1:19">
      <c r="A69" s="147"/>
      <c r="B69" s="55"/>
      <c r="C69" s="24">
        <f t="shared" si="7"/>
        <v>1</v>
      </c>
      <c r="D69" s="644"/>
      <c r="E69" s="24">
        <f t="shared" si="8"/>
        <v>1</v>
      </c>
      <c r="F69" s="644"/>
      <c r="G69" s="24">
        <f t="shared" si="9"/>
        <v>1</v>
      </c>
      <c r="H69" s="644"/>
      <c r="I69" s="24">
        <f t="shared" si="10"/>
        <v>1</v>
      </c>
      <c r="J69" s="644"/>
      <c r="K69" s="24">
        <f t="shared" si="11"/>
        <v>1</v>
      </c>
      <c r="L69" s="644"/>
      <c r="M69" s="24">
        <f t="shared" si="12"/>
        <v>1</v>
      </c>
      <c r="N69" s="644"/>
      <c r="O69" s="24">
        <f t="shared" si="13"/>
        <v>1</v>
      </c>
      <c r="P69" s="644"/>
      <c r="Q69" s="24">
        <f t="shared" si="14"/>
        <v>1</v>
      </c>
      <c r="R69" s="24">
        <f t="shared" si="15"/>
        <v>0</v>
      </c>
      <c r="S69" s="314">
        <f t="shared" si="16"/>
        <v>0</v>
      </c>
    </row>
    <row r="70" spans="1:19">
      <c r="A70" s="147"/>
      <c r="B70" s="55"/>
      <c r="C70" s="24">
        <f t="shared" si="7"/>
        <v>1</v>
      </c>
      <c r="D70" s="644"/>
      <c r="E70" s="24">
        <f t="shared" si="8"/>
        <v>1</v>
      </c>
      <c r="F70" s="644"/>
      <c r="G70" s="24">
        <f t="shared" si="9"/>
        <v>1</v>
      </c>
      <c r="H70" s="644"/>
      <c r="I70" s="24">
        <f t="shared" si="10"/>
        <v>1</v>
      </c>
      <c r="J70" s="644"/>
      <c r="K70" s="24">
        <f t="shared" si="11"/>
        <v>1</v>
      </c>
      <c r="L70" s="644"/>
      <c r="M70" s="24">
        <f t="shared" si="12"/>
        <v>1</v>
      </c>
      <c r="N70" s="644"/>
      <c r="O70" s="24">
        <f t="shared" si="13"/>
        <v>1</v>
      </c>
      <c r="P70" s="644"/>
      <c r="Q70" s="24">
        <f t="shared" si="14"/>
        <v>1</v>
      </c>
      <c r="R70" s="24">
        <f t="shared" si="15"/>
        <v>0</v>
      </c>
      <c r="S70" s="314">
        <f t="shared" si="16"/>
        <v>0</v>
      </c>
    </row>
    <row r="71" spans="1:19">
      <c r="A71" s="147"/>
      <c r="B71" s="55"/>
      <c r="C71" s="24">
        <f t="shared" si="7"/>
        <v>1</v>
      </c>
      <c r="D71" s="644"/>
      <c r="E71" s="24">
        <f t="shared" si="8"/>
        <v>1</v>
      </c>
      <c r="F71" s="644"/>
      <c r="G71" s="24">
        <f t="shared" si="9"/>
        <v>1</v>
      </c>
      <c r="H71" s="644"/>
      <c r="I71" s="24">
        <f t="shared" si="10"/>
        <v>1</v>
      </c>
      <c r="J71" s="644"/>
      <c r="K71" s="24">
        <f t="shared" si="11"/>
        <v>1</v>
      </c>
      <c r="L71" s="644"/>
      <c r="M71" s="24">
        <f t="shared" si="12"/>
        <v>1</v>
      </c>
      <c r="N71" s="644"/>
      <c r="O71" s="24">
        <f t="shared" si="13"/>
        <v>1</v>
      </c>
      <c r="P71" s="644"/>
      <c r="Q71" s="24">
        <f t="shared" si="14"/>
        <v>1</v>
      </c>
      <c r="R71" s="24">
        <f t="shared" si="15"/>
        <v>0</v>
      </c>
      <c r="S71" s="314">
        <f t="shared" si="16"/>
        <v>0</v>
      </c>
    </row>
    <row r="72" spans="1:19">
      <c r="A72" s="147"/>
      <c r="B72" s="55"/>
      <c r="C72" s="24">
        <f t="shared" si="7"/>
        <v>1</v>
      </c>
      <c r="D72" s="644"/>
      <c r="E72" s="24">
        <f t="shared" si="8"/>
        <v>1</v>
      </c>
      <c r="F72" s="644"/>
      <c r="G72" s="24">
        <f t="shared" si="9"/>
        <v>1</v>
      </c>
      <c r="H72" s="644"/>
      <c r="I72" s="24">
        <f t="shared" si="10"/>
        <v>1</v>
      </c>
      <c r="J72" s="644"/>
      <c r="K72" s="24">
        <f t="shared" si="11"/>
        <v>1</v>
      </c>
      <c r="L72" s="644"/>
      <c r="M72" s="24">
        <f t="shared" si="12"/>
        <v>1</v>
      </c>
      <c r="N72" s="644"/>
      <c r="O72" s="24">
        <f t="shared" si="13"/>
        <v>1</v>
      </c>
      <c r="P72" s="644"/>
      <c r="Q72" s="24">
        <f t="shared" si="14"/>
        <v>1</v>
      </c>
      <c r="R72" s="24">
        <f t="shared" si="15"/>
        <v>0</v>
      </c>
      <c r="S72" s="314">
        <f t="shared" si="16"/>
        <v>0</v>
      </c>
    </row>
    <row r="73" spans="1:19">
      <c r="A73" s="147"/>
      <c r="B73" s="55"/>
      <c r="C73" s="24">
        <f t="shared" si="7"/>
        <v>1</v>
      </c>
      <c r="D73" s="644"/>
      <c r="E73" s="24">
        <f t="shared" si="8"/>
        <v>1</v>
      </c>
      <c r="F73" s="644"/>
      <c r="G73" s="24">
        <f t="shared" si="9"/>
        <v>1</v>
      </c>
      <c r="H73" s="644"/>
      <c r="I73" s="24">
        <f t="shared" si="10"/>
        <v>1</v>
      </c>
      <c r="J73" s="644"/>
      <c r="K73" s="24">
        <f t="shared" si="11"/>
        <v>1</v>
      </c>
      <c r="L73" s="644"/>
      <c r="M73" s="24">
        <f t="shared" si="12"/>
        <v>1</v>
      </c>
      <c r="N73" s="644"/>
      <c r="O73" s="24">
        <f t="shared" si="13"/>
        <v>1</v>
      </c>
      <c r="P73" s="644"/>
      <c r="Q73" s="24">
        <f t="shared" si="14"/>
        <v>1</v>
      </c>
      <c r="R73" s="24">
        <f t="shared" si="15"/>
        <v>0</v>
      </c>
      <c r="S73" s="314">
        <f t="shared" si="16"/>
        <v>0</v>
      </c>
    </row>
    <row r="74" spans="1:19">
      <c r="A74" s="147"/>
      <c r="B74" s="55"/>
      <c r="C74" s="24">
        <f t="shared" si="7"/>
        <v>1</v>
      </c>
      <c r="D74" s="644"/>
      <c r="E74" s="24">
        <f t="shared" si="8"/>
        <v>1</v>
      </c>
      <c r="F74" s="644"/>
      <c r="G74" s="24">
        <f t="shared" si="9"/>
        <v>1</v>
      </c>
      <c r="H74" s="644"/>
      <c r="I74" s="24">
        <f t="shared" si="10"/>
        <v>1</v>
      </c>
      <c r="J74" s="644"/>
      <c r="K74" s="24">
        <f t="shared" si="11"/>
        <v>1</v>
      </c>
      <c r="L74" s="644"/>
      <c r="M74" s="24">
        <f t="shared" si="12"/>
        <v>1</v>
      </c>
      <c r="N74" s="644"/>
      <c r="O74" s="24">
        <f t="shared" si="13"/>
        <v>1</v>
      </c>
      <c r="P74" s="644"/>
      <c r="Q74" s="24">
        <f t="shared" si="14"/>
        <v>1</v>
      </c>
      <c r="R74" s="24">
        <f t="shared" si="15"/>
        <v>0</v>
      </c>
      <c r="S74" s="314">
        <f t="shared" si="16"/>
        <v>0</v>
      </c>
    </row>
    <row r="75" spans="1:19">
      <c r="A75" s="147"/>
      <c r="B75" s="55"/>
      <c r="C75" s="24">
        <f t="shared" si="7"/>
        <v>1</v>
      </c>
      <c r="D75" s="644"/>
      <c r="E75" s="24">
        <f t="shared" si="8"/>
        <v>1</v>
      </c>
      <c r="F75" s="644"/>
      <c r="G75" s="24">
        <f t="shared" si="9"/>
        <v>1</v>
      </c>
      <c r="H75" s="644"/>
      <c r="I75" s="24">
        <f t="shared" si="10"/>
        <v>1</v>
      </c>
      <c r="J75" s="644"/>
      <c r="K75" s="24">
        <f t="shared" si="11"/>
        <v>1</v>
      </c>
      <c r="L75" s="644"/>
      <c r="M75" s="24">
        <f t="shared" si="12"/>
        <v>1</v>
      </c>
      <c r="N75" s="644"/>
      <c r="O75" s="24">
        <f t="shared" si="13"/>
        <v>1</v>
      </c>
      <c r="P75" s="644"/>
      <c r="Q75" s="24">
        <f t="shared" si="14"/>
        <v>1</v>
      </c>
      <c r="R75" s="24">
        <f t="shared" si="15"/>
        <v>0</v>
      </c>
      <c r="S75" s="314">
        <f t="shared" si="16"/>
        <v>0</v>
      </c>
    </row>
    <row r="76" spans="1:19">
      <c r="A76" s="147"/>
      <c r="B76" s="55"/>
      <c r="C76" s="24">
        <f t="shared" si="7"/>
        <v>1</v>
      </c>
      <c r="D76" s="644"/>
      <c r="E76" s="24">
        <f t="shared" si="8"/>
        <v>1</v>
      </c>
      <c r="F76" s="644"/>
      <c r="G76" s="24">
        <f t="shared" si="9"/>
        <v>1</v>
      </c>
      <c r="H76" s="644"/>
      <c r="I76" s="24">
        <f t="shared" si="10"/>
        <v>1</v>
      </c>
      <c r="J76" s="644"/>
      <c r="K76" s="24">
        <f t="shared" si="11"/>
        <v>1</v>
      </c>
      <c r="L76" s="644"/>
      <c r="M76" s="24">
        <f t="shared" si="12"/>
        <v>1</v>
      </c>
      <c r="N76" s="644"/>
      <c r="O76" s="24">
        <f t="shared" si="13"/>
        <v>1</v>
      </c>
      <c r="P76" s="644"/>
      <c r="Q76" s="24">
        <f t="shared" si="14"/>
        <v>1</v>
      </c>
      <c r="R76" s="24">
        <f t="shared" si="15"/>
        <v>0</v>
      </c>
      <c r="S76" s="314">
        <f t="shared" si="16"/>
        <v>0</v>
      </c>
    </row>
    <row r="77" spans="1:19">
      <c r="A77" s="147"/>
      <c r="B77" s="55"/>
      <c r="C77" s="24">
        <f t="shared" si="7"/>
        <v>1</v>
      </c>
      <c r="D77" s="644"/>
      <c r="E77" s="24">
        <f t="shared" si="8"/>
        <v>1</v>
      </c>
      <c r="F77" s="644"/>
      <c r="G77" s="24">
        <f t="shared" si="9"/>
        <v>1</v>
      </c>
      <c r="H77" s="644"/>
      <c r="I77" s="24">
        <f t="shared" si="10"/>
        <v>1</v>
      </c>
      <c r="J77" s="644"/>
      <c r="K77" s="24">
        <f t="shared" si="11"/>
        <v>1</v>
      </c>
      <c r="L77" s="644"/>
      <c r="M77" s="24">
        <f t="shared" si="12"/>
        <v>1</v>
      </c>
      <c r="N77" s="644"/>
      <c r="O77" s="24">
        <f t="shared" si="13"/>
        <v>1</v>
      </c>
      <c r="P77" s="644"/>
      <c r="Q77" s="24">
        <f t="shared" si="14"/>
        <v>1</v>
      </c>
      <c r="R77" s="24">
        <f t="shared" si="15"/>
        <v>0</v>
      </c>
      <c r="S77" s="314">
        <f t="shared" si="16"/>
        <v>0</v>
      </c>
    </row>
    <row r="78" spans="1:19">
      <c r="A78" s="147"/>
      <c r="B78" s="55"/>
      <c r="C78" s="24">
        <f t="shared" si="7"/>
        <v>1</v>
      </c>
      <c r="D78" s="644"/>
      <c r="E78" s="24">
        <f t="shared" si="8"/>
        <v>1</v>
      </c>
      <c r="F78" s="644"/>
      <c r="G78" s="24">
        <f t="shared" si="9"/>
        <v>1</v>
      </c>
      <c r="H78" s="644"/>
      <c r="I78" s="24">
        <f t="shared" si="10"/>
        <v>1</v>
      </c>
      <c r="J78" s="644"/>
      <c r="K78" s="24">
        <f t="shared" si="11"/>
        <v>1</v>
      </c>
      <c r="L78" s="644"/>
      <c r="M78" s="24">
        <f t="shared" si="12"/>
        <v>1</v>
      </c>
      <c r="N78" s="644"/>
      <c r="O78" s="24">
        <f t="shared" si="13"/>
        <v>1</v>
      </c>
      <c r="P78" s="644"/>
      <c r="Q78" s="24">
        <f t="shared" si="14"/>
        <v>1</v>
      </c>
      <c r="R78" s="24">
        <f t="shared" si="15"/>
        <v>0</v>
      </c>
      <c r="S78" s="314">
        <f t="shared" ref="S78:S122" si="17">ROUND(R78*B78/10000,0)</f>
        <v>0</v>
      </c>
    </row>
    <row r="79" spans="1:19">
      <c r="A79" s="147"/>
      <c r="B79" s="55"/>
      <c r="C79" s="24">
        <f t="shared" si="7"/>
        <v>1</v>
      </c>
      <c r="D79" s="644"/>
      <c r="E79" s="24">
        <f t="shared" si="8"/>
        <v>1</v>
      </c>
      <c r="F79" s="644"/>
      <c r="G79" s="24">
        <f t="shared" si="9"/>
        <v>1</v>
      </c>
      <c r="H79" s="644"/>
      <c r="I79" s="24">
        <f t="shared" si="10"/>
        <v>1</v>
      </c>
      <c r="J79" s="644"/>
      <c r="K79" s="24">
        <f t="shared" si="11"/>
        <v>1</v>
      </c>
      <c r="L79" s="644"/>
      <c r="M79" s="24">
        <f t="shared" si="12"/>
        <v>1</v>
      </c>
      <c r="N79" s="644"/>
      <c r="O79" s="24">
        <f t="shared" si="13"/>
        <v>1</v>
      </c>
      <c r="P79" s="644"/>
      <c r="Q79" s="24">
        <f t="shared" si="14"/>
        <v>1</v>
      </c>
      <c r="R79" s="24">
        <f t="shared" si="15"/>
        <v>0</v>
      </c>
      <c r="S79" s="314">
        <f t="shared" si="17"/>
        <v>0</v>
      </c>
    </row>
    <row r="80" spans="1:19">
      <c r="A80" s="147"/>
      <c r="B80" s="55"/>
      <c r="C80" s="24">
        <f t="shared" si="7"/>
        <v>1</v>
      </c>
      <c r="D80" s="644"/>
      <c r="E80" s="24">
        <f t="shared" si="8"/>
        <v>1</v>
      </c>
      <c r="F80" s="644"/>
      <c r="G80" s="24">
        <f t="shared" si="9"/>
        <v>1</v>
      </c>
      <c r="H80" s="644"/>
      <c r="I80" s="24">
        <f t="shared" si="10"/>
        <v>1</v>
      </c>
      <c r="J80" s="644"/>
      <c r="K80" s="24">
        <f t="shared" si="11"/>
        <v>1</v>
      </c>
      <c r="L80" s="644"/>
      <c r="M80" s="24">
        <f t="shared" si="12"/>
        <v>1</v>
      </c>
      <c r="N80" s="644"/>
      <c r="O80" s="24">
        <f t="shared" si="13"/>
        <v>1</v>
      </c>
      <c r="P80" s="644"/>
      <c r="Q80" s="24">
        <f t="shared" si="14"/>
        <v>1</v>
      </c>
      <c r="R80" s="24">
        <f t="shared" si="15"/>
        <v>0</v>
      </c>
      <c r="S80" s="314">
        <f t="shared" si="17"/>
        <v>0</v>
      </c>
    </row>
    <row r="81" spans="1:19">
      <c r="A81" s="147"/>
      <c r="B81" s="55"/>
      <c r="C81" s="24">
        <f t="shared" si="7"/>
        <v>1</v>
      </c>
      <c r="D81" s="644"/>
      <c r="E81" s="24">
        <f t="shared" si="8"/>
        <v>1</v>
      </c>
      <c r="F81" s="644"/>
      <c r="G81" s="24">
        <f t="shared" si="9"/>
        <v>1</v>
      </c>
      <c r="H81" s="644"/>
      <c r="I81" s="24">
        <f t="shared" si="10"/>
        <v>1</v>
      </c>
      <c r="J81" s="644"/>
      <c r="K81" s="24">
        <f t="shared" si="11"/>
        <v>1</v>
      </c>
      <c r="L81" s="644"/>
      <c r="M81" s="24">
        <f t="shared" si="12"/>
        <v>1</v>
      </c>
      <c r="N81" s="644"/>
      <c r="O81" s="24">
        <f t="shared" si="13"/>
        <v>1</v>
      </c>
      <c r="P81" s="644"/>
      <c r="Q81" s="24">
        <f t="shared" si="14"/>
        <v>1</v>
      </c>
      <c r="R81" s="24">
        <f t="shared" si="15"/>
        <v>0</v>
      </c>
      <c r="S81" s="314">
        <f t="shared" si="17"/>
        <v>0</v>
      </c>
    </row>
    <row r="82" spans="1:19">
      <c r="A82" s="147"/>
      <c r="B82" s="55"/>
      <c r="C82" s="24">
        <f t="shared" si="7"/>
        <v>1</v>
      </c>
      <c r="D82" s="644"/>
      <c r="E82" s="24">
        <f t="shared" si="8"/>
        <v>1</v>
      </c>
      <c r="F82" s="644"/>
      <c r="G82" s="24">
        <f t="shared" si="9"/>
        <v>1</v>
      </c>
      <c r="H82" s="644"/>
      <c r="I82" s="24">
        <f t="shared" si="10"/>
        <v>1</v>
      </c>
      <c r="J82" s="644"/>
      <c r="K82" s="24">
        <f t="shared" si="11"/>
        <v>1</v>
      </c>
      <c r="L82" s="644"/>
      <c r="M82" s="24">
        <f t="shared" si="12"/>
        <v>1</v>
      </c>
      <c r="N82" s="644"/>
      <c r="O82" s="24">
        <f t="shared" si="13"/>
        <v>1</v>
      </c>
      <c r="P82" s="644"/>
      <c r="Q82" s="24">
        <f t="shared" si="14"/>
        <v>1</v>
      </c>
      <c r="R82" s="24">
        <f t="shared" si="15"/>
        <v>0</v>
      </c>
      <c r="S82" s="314">
        <f t="shared" si="17"/>
        <v>0</v>
      </c>
    </row>
    <row r="83" spans="1:19">
      <c r="A83" s="147"/>
      <c r="B83" s="55"/>
      <c r="C83" s="24">
        <f t="shared" si="7"/>
        <v>1</v>
      </c>
      <c r="D83" s="644"/>
      <c r="E83" s="24">
        <f t="shared" si="8"/>
        <v>1</v>
      </c>
      <c r="F83" s="644"/>
      <c r="G83" s="24">
        <f t="shared" si="9"/>
        <v>1</v>
      </c>
      <c r="H83" s="644"/>
      <c r="I83" s="24">
        <f t="shared" si="10"/>
        <v>1</v>
      </c>
      <c r="J83" s="644"/>
      <c r="K83" s="24">
        <f t="shared" si="11"/>
        <v>1</v>
      </c>
      <c r="L83" s="644"/>
      <c r="M83" s="24">
        <f t="shared" si="12"/>
        <v>1</v>
      </c>
      <c r="N83" s="644"/>
      <c r="O83" s="24">
        <f t="shared" si="13"/>
        <v>1</v>
      </c>
      <c r="P83" s="644"/>
      <c r="Q83" s="24">
        <f t="shared" si="14"/>
        <v>1</v>
      </c>
      <c r="R83" s="24">
        <f t="shared" si="15"/>
        <v>0</v>
      </c>
      <c r="S83" s="314">
        <f t="shared" si="17"/>
        <v>0</v>
      </c>
    </row>
    <row r="84" spans="1:19">
      <c r="A84" s="147"/>
      <c r="B84" s="55"/>
      <c r="C84" s="24">
        <f t="shared" si="7"/>
        <v>1</v>
      </c>
      <c r="D84" s="644"/>
      <c r="E84" s="24">
        <f t="shared" si="8"/>
        <v>1</v>
      </c>
      <c r="F84" s="644"/>
      <c r="G84" s="24">
        <f t="shared" si="9"/>
        <v>1</v>
      </c>
      <c r="H84" s="644"/>
      <c r="I84" s="24">
        <f t="shared" si="10"/>
        <v>1</v>
      </c>
      <c r="J84" s="644"/>
      <c r="K84" s="24">
        <f t="shared" si="11"/>
        <v>1</v>
      </c>
      <c r="L84" s="644"/>
      <c r="M84" s="24">
        <f t="shared" si="12"/>
        <v>1</v>
      </c>
      <c r="N84" s="644"/>
      <c r="O84" s="24">
        <f t="shared" si="13"/>
        <v>1</v>
      </c>
      <c r="P84" s="644"/>
      <c r="Q84" s="24">
        <f t="shared" si="14"/>
        <v>1</v>
      </c>
      <c r="R84" s="24">
        <f t="shared" si="15"/>
        <v>0</v>
      </c>
      <c r="S84" s="314">
        <f t="shared" si="17"/>
        <v>0</v>
      </c>
    </row>
    <row r="85" spans="1:19">
      <c r="A85" s="147"/>
      <c r="B85" s="55"/>
      <c r="C85" s="24">
        <f t="shared" si="7"/>
        <v>1</v>
      </c>
      <c r="D85" s="644"/>
      <c r="E85" s="24">
        <f t="shared" si="8"/>
        <v>1</v>
      </c>
      <c r="F85" s="644"/>
      <c r="G85" s="24">
        <f t="shared" si="9"/>
        <v>1</v>
      </c>
      <c r="H85" s="644"/>
      <c r="I85" s="24">
        <f t="shared" si="10"/>
        <v>1</v>
      </c>
      <c r="J85" s="644"/>
      <c r="K85" s="24">
        <f t="shared" si="11"/>
        <v>1</v>
      </c>
      <c r="L85" s="644"/>
      <c r="M85" s="24">
        <f t="shared" si="12"/>
        <v>1</v>
      </c>
      <c r="N85" s="644"/>
      <c r="O85" s="24">
        <f t="shared" si="13"/>
        <v>1</v>
      </c>
      <c r="P85" s="644"/>
      <c r="Q85" s="24">
        <f t="shared" si="14"/>
        <v>1</v>
      </c>
      <c r="R85" s="24">
        <f t="shared" si="15"/>
        <v>0</v>
      </c>
      <c r="S85" s="314">
        <f t="shared" si="17"/>
        <v>0</v>
      </c>
    </row>
    <row r="86" spans="1:19">
      <c r="A86" s="147"/>
      <c r="B86" s="55"/>
      <c r="C86" s="24">
        <f t="shared" si="7"/>
        <v>1</v>
      </c>
      <c r="D86" s="644"/>
      <c r="E86" s="24">
        <f t="shared" si="8"/>
        <v>1</v>
      </c>
      <c r="F86" s="644"/>
      <c r="G86" s="24">
        <f t="shared" si="9"/>
        <v>1</v>
      </c>
      <c r="H86" s="644"/>
      <c r="I86" s="24">
        <f t="shared" si="10"/>
        <v>1</v>
      </c>
      <c r="J86" s="644"/>
      <c r="K86" s="24">
        <f t="shared" si="11"/>
        <v>1</v>
      </c>
      <c r="L86" s="644"/>
      <c r="M86" s="24">
        <f t="shared" si="12"/>
        <v>1</v>
      </c>
      <c r="N86" s="644"/>
      <c r="O86" s="24">
        <f t="shared" si="13"/>
        <v>1</v>
      </c>
      <c r="P86" s="644"/>
      <c r="Q86" s="24">
        <f t="shared" si="14"/>
        <v>1</v>
      </c>
      <c r="R86" s="24">
        <f t="shared" si="15"/>
        <v>0</v>
      </c>
      <c r="S86" s="314">
        <f t="shared" si="17"/>
        <v>0</v>
      </c>
    </row>
    <row r="87" spans="1:19">
      <c r="A87" s="147"/>
      <c r="B87" s="55"/>
      <c r="C87" s="24">
        <f t="shared" si="7"/>
        <v>1</v>
      </c>
      <c r="D87" s="644"/>
      <c r="E87" s="24">
        <f t="shared" si="8"/>
        <v>1</v>
      </c>
      <c r="F87" s="644"/>
      <c r="G87" s="24">
        <f t="shared" si="9"/>
        <v>1</v>
      </c>
      <c r="H87" s="644"/>
      <c r="I87" s="24">
        <f t="shared" si="10"/>
        <v>1</v>
      </c>
      <c r="J87" s="644"/>
      <c r="K87" s="24">
        <f t="shared" si="11"/>
        <v>1</v>
      </c>
      <c r="L87" s="644"/>
      <c r="M87" s="24">
        <f t="shared" si="12"/>
        <v>1</v>
      </c>
      <c r="N87" s="644"/>
      <c r="O87" s="24">
        <f t="shared" si="13"/>
        <v>1</v>
      </c>
      <c r="P87" s="644"/>
      <c r="Q87" s="24">
        <f t="shared" si="14"/>
        <v>1</v>
      </c>
      <c r="R87" s="24">
        <f t="shared" si="15"/>
        <v>0</v>
      </c>
      <c r="S87" s="314">
        <f t="shared" si="17"/>
        <v>0</v>
      </c>
    </row>
    <row r="88" spans="1:19">
      <c r="A88" s="147"/>
      <c r="B88" s="55"/>
      <c r="C88" s="24">
        <f t="shared" si="7"/>
        <v>1</v>
      </c>
      <c r="D88" s="644"/>
      <c r="E88" s="24">
        <f t="shared" si="8"/>
        <v>1</v>
      </c>
      <c r="F88" s="644"/>
      <c r="G88" s="24">
        <f t="shared" si="9"/>
        <v>1</v>
      </c>
      <c r="H88" s="644"/>
      <c r="I88" s="24">
        <f t="shared" si="10"/>
        <v>1</v>
      </c>
      <c r="J88" s="644"/>
      <c r="K88" s="24">
        <f t="shared" si="11"/>
        <v>1</v>
      </c>
      <c r="L88" s="644"/>
      <c r="M88" s="24">
        <f t="shared" si="12"/>
        <v>1</v>
      </c>
      <c r="N88" s="644"/>
      <c r="O88" s="24">
        <f t="shared" si="13"/>
        <v>1</v>
      </c>
      <c r="P88" s="644"/>
      <c r="Q88" s="24">
        <f t="shared" si="14"/>
        <v>1</v>
      </c>
      <c r="R88" s="24">
        <f t="shared" si="15"/>
        <v>0</v>
      </c>
      <c r="S88" s="314">
        <f t="shared" si="17"/>
        <v>0</v>
      </c>
    </row>
    <row r="89" spans="1:19">
      <c r="A89" s="147"/>
      <c r="B89" s="55"/>
      <c r="C89" s="24">
        <f t="shared" si="7"/>
        <v>1</v>
      </c>
      <c r="D89" s="644"/>
      <c r="E89" s="24">
        <f t="shared" si="8"/>
        <v>1</v>
      </c>
      <c r="F89" s="644"/>
      <c r="G89" s="24">
        <f t="shared" si="9"/>
        <v>1</v>
      </c>
      <c r="H89" s="644"/>
      <c r="I89" s="24">
        <f t="shared" si="10"/>
        <v>1</v>
      </c>
      <c r="J89" s="644"/>
      <c r="K89" s="24">
        <f t="shared" si="11"/>
        <v>1</v>
      </c>
      <c r="L89" s="644"/>
      <c r="M89" s="24">
        <f t="shared" si="12"/>
        <v>1</v>
      </c>
      <c r="N89" s="644"/>
      <c r="O89" s="24">
        <f t="shared" si="13"/>
        <v>1</v>
      </c>
      <c r="P89" s="644"/>
      <c r="Q89" s="24">
        <f t="shared" si="14"/>
        <v>1</v>
      </c>
      <c r="R89" s="24">
        <f t="shared" si="15"/>
        <v>0</v>
      </c>
      <c r="S89" s="314">
        <f t="shared" si="17"/>
        <v>0</v>
      </c>
    </row>
    <row r="90" spans="1:19">
      <c r="A90" s="147"/>
      <c r="B90" s="55"/>
      <c r="C90" s="24">
        <f t="shared" ref="C90:C153" si="18">IF(B90="",1,(LOOKUP(B90,$3:$3,$4:$4)-LOOKUP($B$24,$3:$3,$4:$4)+100)/100)</f>
        <v>1</v>
      </c>
      <c r="D90" s="644"/>
      <c r="E90" s="24">
        <f t="shared" ref="E90:E153" si="19">(SUMIF($5:$5,D90,$6:$6)-SUMIF($5:$5,$D$24,$6:$6)+100)/100</f>
        <v>1</v>
      </c>
      <c r="F90" s="644"/>
      <c r="G90" s="24">
        <f t="shared" ref="G90:G153" si="20">(SUMIF($7:$7,F90,$8:$8)-SUMIF($7:$7,$F$24,$8:$8)+100)/100</f>
        <v>1</v>
      </c>
      <c r="H90" s="644"/>
      <c r="I90" s="24">
        <f t="shared" ref="I90:I153" si="21">(SUMIF($9:$9,H90,$10:$10)-SUMIF($9:$9,$H$24,$10:$10)+100)/100</f>
        <v>1</v>
      </c>
      <c r="J90" s="644"/>
      <c r="K90" s="24">
        <f t="shared" ref="K90:K153" si="22">(SUMIF($11:$11,J90,$12:$12)-SUMIF($11:$11,$J$24,$12:$12)+100)/100</f>
        <v>1</v>
      </c>
      <c r="L90" s="644"/>
      <c r="M90" s="24">
        <f t="shared" ref="M90:M153" si="23">(SUMIF($13:$13,L90,$14:$14)-SUMIF($13:$13,$L$24,$14:$14)+100)/100</f>
        <v>1</v>
      </c>
      <c r="N90" s="644"/>
      <c r="O90" s="24">
        <f t="shared" ref="O90:O153" si="24">(SUMIF($15:$15,N90,$16:$16)-SUMIF($15:$15,$N$24,$16:$16)+100)/100</f>
        <v>1</v>
      </c>
      <c r="P90" s="644"/>
      <c r="Q90" s="24">
        <f t="shared" ref="Q90:Q153" si="25">(SUMIF($17:$17,P90,$18:$18)-SUMIF($17:$17,$P$24,$18:$18)+100)/100</f>
        <v>1</v>
      </c>
      <c r="R90" s="24">
        <f t="shared" ref="R90:R153" si="26">IF(B90="",0,ROUND($R$24*C90*E90*G90*I90*K90*M90*O90*Q90,0))</f>
        <v>0</v>
      </c>
      <c r="S90" s="314">
        <f t="shared" si="17"/>
        <v>0</v>
      </c>
    </row>
    <row r="91" spans="1:19">
      <c r="A91" s="147"/>
      <c r="B91" s="55"/>
      <c r="C91" s="24">
        <f t="shared" si="18"/>
        <v>1</v>
      </c>
      <c r="D91" s="644"/>
      <c r="E91" s="24">
        <f t="shared" si="19"/>
        <v>1</v>
      </c>
      <c r="F91" s="644"/>
      <c r="G91" s="24">
        <f t="shared" si="20"/>
        <v>1</v>
      </c>
      <c r="H91" s="644"/>
      <c r="I91" s="24">
        <f t="shared" si="21"/>
        <v>1</v>
      </c>
      <c r="J91" s="644"/>
      <c r="K91" s="24">
        <f t="shared" si="22"/>
        <v>1</v>
      </c>
      <c r="L91" s="644"/>
      <c r="M91" s="24">
        <f t="shared" si="23"/>
        <v>1</v>
      </c>
      <c r="N91" s="644"/>
      <c r="O91" s="24">
        <f t="shared" si="24"/>
        <v>1</v>
      </c>
      <c r="P91" s="644"/>
      <c r="Q91" s="24">
        <f t="shared" si="25"/>
        <v>1</v>
      </c>
      <c r="R91" s="24">
        <f t="shared" si="26"/>
        <v>0</v>
      </c>
      <c r="S91" s="314">
        <f t="shared" si="17"/>
        <v>0</v>
      </c>
    </row>
    <row r="92" spans="1:19">
      <c r="A92" s="147"/>
      <c r="B92" s="55"/>
      <c r="C92" s="24">
        <f t="shared" si="18"/>
        <v>1</v>
      </c>
      <c r="D92" s="644"/>
      <c r="E92" s="24">
        <f t="shared" si="19"/>
        <v>1</v>
      </c>
      <c r="F92" s="644"/>
      <c r="G92" s="24">
        <f t="shared" si="20"/>
        <v>1</v>
      </c>
      <c r="H92" s="644"/>
      <c r="I92" s="24">
        <f t="shared" si="21"/>
        <v>1</v>
      </c>
      <c r="J92" s="644"/>
      <c r="K92" s="24">
        <f t="shared" si="22"/>
        <v>1</v>
      </c>
      <c r="L92" s="644"/>
      <c r="M92" s="24">
        <f t="shared" si="23"/>
        <v>1</v>
      </c>
      <c r="N92" s="644"/>
      <c r="O92" s="24">
        <f t="shared" si="24"/>
        <v>1</v>
      </c>
      <c r="P92" s="644"/>
      <c r="Q92" s="24">
        <f t="shared" si="25"/>
        <v>1</v>
      </c>
      <c r="R92" s="24">
        <f t="shared" si="26"/>
        <v>0</v>
      </c>
      <c r="S92" s="314">
        <f t="shared" si="17"/>
        <v>0</v>
      </c>
    </row>
    <row r="93" spans="1:19">
      <c r="A93" s="147"/>
      <c r="B93" s="55"/>
      <c r="C93" s="24">
        <f t="shared" si="18"/>
        <v>1</v>
      </c>
      <c r="D93" s="644"/>
      <c r="E93" s="24">
        <f t="shared" si="19"/>
        <v>1</v>
      </c>
      <c r="F93" s="644"/>
      <c r="G93" s="24">
        <f t="shared" si="20"/>
        <v>1</v>
      </c>
      <c r="H93" s="644"/>
      <c r="I93" s="24">
        <f t="shared" si="21"/>
        <v>1</v>
      </c>
      <c r="J93" s="644"/>
      <c r="K93" s="24">
        <f t="shared" si="22"/>
        <v>1</v>
      </c>
      <c r="L93" s="644"/>
      <c r="M93" s="24">
        <f t="shared" si="23"/>
        <v>1</v>
      </c>
      <c r="N93" s="644"/>
      <c r="O93" s="24">
        <f t="shared" si="24"/>
        <v>1</v>
      </c>
      <c r="P93" s="644"/>
      <c r="Q93" s="24">
        <f t="shared" si="25"/>
        <v>1</v>
      </c>
      <c r="R93" s="24">
        <f t="shared" si="26"/>
        <v>0</v>
      </c>
      <c r="S93" s="314">
        <f t="shared" si="17"/>
        <v>0</v>
      </c>
    </row>
    <row r="94" spans="1:19">
      <c r="A94" s="147"/>
      <c r="B94" s="55"/>
      <c r="C94" s="24">
        <f t="shared" si="18"/>
        <v>1</v>
      </c>
      <c r="D94" s="644"/>
      <c r="E94" s="24">
        <f t="shared" si="19"/>
        <v>1</v>
      </c>
      <c r="F94" s="644"/>
      <c r="G94" s="24">
        <f t="shared" si="20"/>
        <v>1</v>
      </c>
      <c r="H94" s="644"/>
      <c r="I94" s="24">
        <f t="shared" si="21"/>
        <v>1</v>
      </c>
      <c r="J94" s="644"/>
      <c r="K94" s="24">
        <f t="shared" si="22"/>
        <v>1</v>
      </c>
      <c r="L94" s="644"/>
      <c r="M94" s="24">
        <f t="shared" si="23"/>
        <v>1</v>
      </c>
      <c r="N94" s="644"/>
      <c r="O94" s="24">
        <f t="shared" si="24"/>
        <v>1</v>
      </c>
      <c r="P94" s="644"/>
      <c r="Q94" s="24">
        <f t="shared" si="25"/>
        <v>1</v>
      </c>
      <c r="R94" s="24">
        <f t="shared" si="26"/>
        <v>0</v>
      </c>
      <c r="S94" s="314">
        <f t="shared" si="17"/>
        <v>0</v>
      </c>
    </row>
    <row r="95" spans="1:19">
      <c r="A95" s="147"/>
      <c r="B95" s="55"/>
      <c r="C95" s="24">
        <f t="shared" si="18"/>
        <v>1</v>
      </c>
      <c r="D95" s="644"/>
      <c r="E95" s="24">
        <f t="shared" si="19"/>
        <v>1</v>
      </c>
      <c r="F95" s="644"/>
      <c r="G95" s="24">
        <f t="shared" si="20"/>
        <v>1</v>
      </c>
      <c r="H95" s="644"/>
      <c r="I95" s="24">
        <f t="shared" si="21"/>
        <v>1</v>
      </c>
      <c r="J95" s="644"/>
      <c r="K95" s="24">
        <f t="shared" si="22"/>
        <v>1</v>
      </c>
      <c r="L95" s="644"/>
      <c r="M95" s="24">
        <f t="shared" si="23"/>
        <v>1</v>
      </c>
      <c r="N95" s="644"/>
      <c r="O95" s="24">
        <f t="shared" si="24"/>
        <v>1</v>
      </c>
      <c r="P95" s="644"/>
      <c r="Q95" s="24">
        <f t="shared" si="25"/>
        <v>1</v>
      </c>
      <c r="R95" s="24">
        <f t="shared" si="26"/>
        <v>0</v>
      </c>
      <c r="S95" s="314">
        <f t="shared" si="17"/>
        <v>0</v>
      </c>
    </row>
    <row r="96" spans="1:19">
      <c r="A96" s="147"/>
      <c r="B96" s="55"/>
      <c r="C96" s="24">
        <f t="shared" si="18"/>
        <v>1</v>
      </c>
      <c r="D96" s="644"/>
      <c r="E96" s="24">
        <f t="shared" si="19"/>
        <v>1</v>
      </c>
      <c r="F96" s="644"/>
      <c r="G96" s="24">
        <f t="shared" si="20"/>
        <v>1</v>
      </c>
      <c r="H96" s="644"/>
      <c r="I96" s="24">
        <f t="shared" si="21"/>
        <v>1</v>
      </c>
      <c r="J96" s="644"/>
      <c r="K96" s="24">
        <f t="shared" si="22"/>
        <v>1</v>
      </c>
      <c r="L96" s="644"/>
      <c r="M96" s="24">
        <f t="shared" si="23"/>
        <v>1</v>
      </c>
      <c r="N96" s="644"/>
      <c r="O96" s="24">
        <f t="shared" si="24"/>
        <v>1</v>
      </c>
      <c r="P96" s="644"/>
      <c r="Q96" s="24">
        <f t="shared" si="25"/>
        <v>1</v>
      </c>
      <c r="R96" s="24">
        <f t="shared" si="26"/>
        <v>0</v>
      </c>
      <c r="S96" s="314">
        <f t="shared" si="17"/>
        <v>0</v>
      </c>
    </row>
    <row r="97" spans="1:19">
      <c r="A97" s="147"/>
      <c r="B97" s="55"/>
      <c r="C97" s="24">
        <f t="shared" si="18"/>
        <v>1</v>
      </c>
      <c r="D97" s="644"/>
      <c r="E97" s="24">
        <f t="shared" si="19"/>
        <v>1</v>
      </c>
      <c r="F97" s="644"/>
      <c r="G97" s="24">
        <f t="shared" si="20"/>
        <v>1</v>
      </c>
      <c r="H97" s="644"/>
      <c r="I97" s="24">
        <f t="shared" si="21"/>
        <v>1</v>
      </c>
      <c r="J97" s="644"/>
      <c r="K97" s="24">
        <f t="shared" si="22"/>
        <v>1</v>
      </c>
      <c r="L97" s="644"/>
      <c r="M97" s="24">
        <f t="shared" si="23"/>
        <v>1</v>
      </c>
      <c r="N97" s="644"/>
      <c r="O97" s="24">
        <f t="shared" si="24"/>
        <v>1</v>
      </c>
      <c r="P97" s="644"/>
      <c r="Q97" s="24">
        <f t="shared" si="25"/>
        <v>1</v>
      </c>
      <c r="R97" s="24">
        <f t="shared" si="26"/>
        <v>0</v>
      </c>
      <c r="S97" s="314">
        <f t="shared" si="17"/>
        <v>0</v>
      </c>
    </row>
    <row r="98" spans="1:19">
      <c r="A98" s="147"/>
      <c r="B98" s="55"/>
      <c r="C98" s="24">
        <f t="shared" si="18"/>
        <v>1</v>
      </c>
      <c r="D98" s="644"/>
      <c r="E98" s="24">
        <f t="shared" si="19"/>
        <v>1</v>
      </c>
      <c r="F98" s="644"/>
      <c r="G98" s="24">
        <f t="shared" si="20"/>
        <v>1</v>
      </c>
      <c r="H98" s="644"/>
      <c r="I98" s="24">
        <f t="shared" si="21"/>
        <v>1</v>
      </c>
      <c r="J98" s="644"/>
      <c r="K98" s="24">
        <f t="shared" si="22"/>
        <v>1</v>
      </c>
      <c r="L98" s="644"/>
      <c r="M98" s="24">
        <f t="shared" si="23"/>
        <v>1</v>
      </c>
      <c r="N98" s="644"/>
      <c r="O98" s="24">
        <f t="shared" si="24"/>
        <v>1</v>
      </c>
      <c r="P98" s="644"/>
      <c r="Q98" s="24">
        <f t="shared" si="25"/>
        <v>1</v>
      </c>
      <c r="R98" s="24">
        <f t="shared" si="26"/>
        <v>0</v>
      </c>
      <c r="S98" s="314">
        <f t="shared" si="17"/>
        <v>0</v>
      </c>
    </row>
    <row r="99" spans="1:19">
      <c r="A99" s="147"/>
      <c r="B99" s="55"/>
      <c r="C99" s="24">
        <f t="shared" si="18"/>
        <v>1</v>
      </c>
      <c r="D99" s="644"/>
      <c r="E99" s="24">
        <f t="shared" si="19"/>
        <v>1</v>
      </c>
      <c r="F99" s="644"/>
      <c r="G99" s="24">
        <f t="shared" si="20"/>
        <v>1</v>
      </c>
      <c r="H99" s="644"/>
      <c r="I99" s="24">
        <f t="shared" si="21"/>
        <v>1</v>
      </c>
      <c r="J99" s="644"/>
      <c r="K99" s="24">
        <f t="shared" si="22"/>
        <v>1</v>
      </c>
      <c r="L99" s="644"/>
      <c r="M99" s="24">
        <f t="shared" si="23"/>
        <v>1</v>
      </c>
      <c r="N99" s="644"/>
      <c r="O99" s="24">
        <f t="shared" si="24"/>
        <v>1</v>
      </c>
      <c r="P99" s="644"/>
      <c r="Q99" s="24">
        <f t="shared" si="25"/>
        <v>1</v>
      </c>
      <c r="R99" s="24">
        <f t="shared" si="26"/>
        <v>0</v>
      </c>
      <c r="S99" s="314">
        <f t="shared" si="17"/>
        <v>0</v>
      </c>
    </row>
    <row r="100" spans="1:19">
      <c r="A100" s="147"/>
      <c r="B100" s="55"/>
      <c r="C100" s="24">
        <f t="shared" si="18"/>
        <v>1</v>
      </c>
      <c r="D100" s="644"/>
      <c r="E100" s="24">
        <f t="shared" si="19"/>
        <v>1</v>
      </c>
      <c r="F100" s="644"/>
      <c r="G100" s="24">
        <f t="shared" si="20"/>
        <v>1</v>
      </c>
      <c r="H100" s="644"/>
      <c r="I100" s="24">
        <f t="shared" si="21"/>
        <v>1</v>
      </c>
      <c r="J100" s="644"/>
      <c r="K100" s="24">
        <f t="shared" si="22"/>
        <v>1</v>
      </c>
      <c r="L100" s="644"/>
      <c r="M100" s="24">
        <f t="shared" si="23"/>
        <v>1</v>
      </c>
      <c r="N100" s="644"/>
      <c r="O100" s="24">
        <f t="shared" si="24"/>
        <v>1</v>
      </c>
      <c r="P100" s="644"/>
      <c r="Q100" s="24">
        <f t="shared" si="25"/>
        <v>1</v>
      </c>
      <c r="R100" s="24">
        <f t="shared" si="26"/>
        <v>0</v>
      </c>
      <c r="S100" s="314">
        <f t="shared" si="17"/>
        <v>0</v>
      </c>
    </row>
    <row r="101" spans="1:19">
      <c r="A101" s="147"/>
      <c r="B101" s="55"/>
      <c r="C101" s="24">
        <f t="shared" si="18"/>
        <v>1</v>
      </c>
      <c r="D101" s="644"/>
      <c r="E101" s="24">
        <f t="shared" si="19"/>
        <v>1</v>
      </c>
      <c r="F101" s="644"/>
      <c r="G101" s="24">
        <f t="shared" si="20"/>
        <v>1</v>
      </c>
      <c r="H101" s="644"/>
      <c r="I101" s="24">
        <f t="shared" si="21"/>
        <v>1</v>
      </c>
      <c r="J101" s="644"/>
      <c r="K101" s="24">
        <f t="shared" si="22"/>
        <v>1</v>
      </c>
      <c r="L101" s="644"/>
      <c r="M101" s="24">
        <f t="shared" si="23"/>
        <v>1</v>
      </c>
      <c r="N101" s="644"/>
      <c r="O101" s="24">
        <f t="shared" si="24"/>
        <v>1</v>
      </c>
      <c r="P101" s="644"/>
      <c r="Q101" s="24">
        <f t="shared" si="25"/>
        <v>1</v>
      </c>
      <c r="R101" s="24">
        <f t="shared" si="26"/>
        <v>0</v>
      </c>
      <c r="S101" s="314">
        <f t="shared" si="17"/>
        <v>0</v>
      </c>
    </row>
    <row r="102" spans="1:19">
      <c r="A102" s="147"/>
      <c r="B102" s="55"/>
      <c r="C102" s="24">
        <f t="shared" si="18"/>
        <v>1</v>
      </c>
      <c r="D102" s="644"/>
      <c r="E102" s="24">
        <f t="shared" si="19"/>
        <v>1</v>
      </c>
      <c r="F102" s="644"/>
      <c r="G102" s="24">
        <f t="shared" si="20"/>
        <v>1</v>
      </c>
      <c r="H102" s="644"/>
      <c r="I102" s="24">
        <f t="shared" si="21"/>
        <v>1</v>
      </c>
      <c r="J102" s="644"/>
      <c r="K102" s="24">
        <f t="shared" si="22"/>
        <v>1</v>
      </c>
      <c r="L102" s="644"/>
      <c r="M102" s="24">
        <f t="shared" si="23"/>
        <v>1</v>
      </c>
      <c r="N102" s="644"/>
      <c r="O102" s="24">
        <f t="shared" si="24"/>
        <v>1</v>
      </c>
      <c r="P102" s="644"/>
      <c r="Q102" s="24">
        <f t="shared" si="25"/>
        <v>1</v>
      </c>
      <c r="R102" s="24">
        <f t="shared" si="26"/>
        <v>0</v>
      </c>
      <c r="S102" s="314">
        <f t="shared" si="17"/>
        <v>0</v>
      </c>
    </row>
    <row r="103" spans="1:19">
      <c r="A103" s="147"/>
      <c r="B103" s="55"/>
      <c r="C103" s="24">
        <f t="shared" si="18"/>
        <v>1</v>
      </c>
      <c r="D103" s="644"/>
      <c r="E103" s="24">
        <f t="shared" si="19"/>
        <v>1</v>
      </c>
      <c r="F103" s="644"/>
      <c r="G103" s="24">
        <f t="shared" si="20"/>
        <v>1</v>
      </c>
      <c r="H103" s="644"/>
      <c r="I103" s="24">
        <f t="shared" si="21"/>
        <v>1</v>
      </c>
      <c r="J103" s="644"/>
      <c r="K103" s="24">
        <f t="shared" si="22"/>
        <v>1</v>
      </c>
      <c r="L103" s="644"/>
      <c r="M103" s="24">
        <f t="shared" si="23"/>
        <v>1</v>
      </c>
      <c r="N103" s="644"/>
      <c r="O103" s="24">
        <f t="shared" si="24"/>
        <v>1</v>
      </c>
      <c r="P103" s="644"/>
      <c r="Q103" s="24">
        <f t="shared" si="25"/>
        <v>1</v>
      </c>
      <c r="R103" s="24">
        <f t="shared" si="26"/>
        <v>0</v>
      </c>
      <c r="S103" s="314">
        <f t="shared" si="17"/>
        <v>0</v>
      </c>
    </row>
    <row r="104" spans="1:19">
      <c r="A104" s="147"/>
      <c r="B104" s="55"/>
      <c r="C104" s="24">
        <f t="shared" si="18"/>
        <v>1</v>
      </c>
      <c r="D104" s="644"/>
      <c r="E104" s="24">
        <f t="shared" si="19"/>
        <v>1</v>
      </c>
      <c r="F104" s="644"/>
      <c r="G104" s="24">
        <f t="shared" si="20"/>
        <v>1</v>
      </c>
      <c r="H104" s="644"/>
      <c r="I104" s="24">
        <f t="shared" si="21"/>
        <v>1</v>
      </c>
      <c r="J104" s="644"/>
      <c r="K104" s="24">
        <f t="shared" si="22"/>
        <v>1</v>
      </c>
      <c r="L104" s="644"/>
      <c r="M104" s="24">
        <f t="shared" si="23"/>
        <v>1</v>
      </c>
      <c r="N104" s="644"/>
      <c r="O104" s="24">
        <f t="shared" si="24"/>
        <v>1</v>
      </c>
      <c r="P104" s="644"/>
      <c r="Q104" s="24">
        <f t="shared" si="25"/>
        <v>1</v>
      </c>
      <c r="R104" s="24">
        <f t="shared" si="26"/>
        <v>0</v>
      </c>
      <c r="S104" s="314">
        <f t="shared" si="17"/>
        <v>0</v>
      </c>
    </row>
    <row r="105" spans="1:19">
      <c r="A105" s="147"/>
      <c r="B105" s="55"/>
      <c r="C105" s="24">
        <f t="shared" si="18"/>
        <v>1</v>
      </c>
      <c r="D105" s="644"/>
      <c r="E105" s="24">
        <f t="shared" si="19"/>
        <v>1</v>
      </c>
      <c r="F105" s="644"/>
      <c r="G105" s="24">
        <f t="shared" si="20"/>
        <v>1</v>
      </c>
      <c r="H105" s="644"/>
      <c r="I105" s="24">
        <f t="shared" si="21"/>
        <v>1</v>
      </c>
      <c r="J105" s="644"/>
      <c r="K105" s="24">
        <f t="shared" si="22"/>
        <v>1</v>
      </c>
      <c r="L105" s="644"/>
      <c r="M105" s="24">
        <f t="shared" si="23"/>
        <v>1</v>
      </c>
      <c r="N105" s="644"/>
      <c r="O105" s="24">
        <f t="shared" si="24"/>
        <v>1</v>
      </c>
      <c r="P105" s="644"/>
      <c r="Q105" s="24">
        <f t="shared" si="25"/>
        <v>1</v>
      </c>
      <c r="R105" s="24">
        <f t="shared" si="26"/>
        <v>0</v>
      </c>
      <c r="S105" s="314">
        <f t="shared" si="17"/>
        <v>0</v>
      </c>
    </row>
    <row r="106" spans="1:19">
      <c r="A106" s="147"/>
      <c r="B106" s="55"/>
      <c r="C106" s="24">
        <f t="shared" si="18"/>
        <v>1</v>
      </c>
      <c r="D106" s="644"/>
      <c r="E106" s="24">
        <f t="shared" si="19"/>
        <v>1</v>
      </c>
      <c r="F106" s="644"/>
      <c r="G106" s="24">
        <f t="shared" si="20"/>
        <v>1</v>
      </c>
      <c r="H106" s="644"/>
      <c r="I106" s="24">
        <f t="shared" si="21"/>
        <v>1</v>
      </c>
      <c r="J106" s="644"/>
      <c r="K106" s="24">
        <f t="shared" si="22"/>
        <v>1</v>
      </c>
      <c r="L106" s="644"/>
      <c r="M106" s="24">
        <f t="shared" si="23"/>
        <v>1</v>
      </c>
      <c r="N106" s="644"/>
      <c r="O106" s="24">
        <f t="shared" si="24"/>
        <v>1</v>
      </c>
      <c r="P106" s="644"/>
      <c r="Q106" s="24">
        <f t="shared" si="25"/>
        <v>1</v>
      </c>
      <c r="R106" s="24">
        <f t="shared" si="26"/>
        <v>0</v>
      </c>
      <c r="S106" s="314">
        <f t="shared" si="17"/>
        <v>0</v>
      </c>
    </row>
    <row r="107" spans="1:19">
      <c r="A107" s="147"/>
      <c r="B107" s="55"/>
      <c r="C107" s="24">
        <f t="shared" si="18"/>
        <v>1</v>
      </c>
      <c r="D107" s="644"/>
      <c r="E107" s="24">
        <f t="shared" si="19"/>
        <v>1</v>
      </c>
      <c r="F107" s="644"/>
      <c r="G107" s="24">
        <f t="shared" si="20"/>
        <v>1</v>
      </c>
      <c r="H107" s="644"/>
      <c r="I107" s="24">
        <f t="shared" si="21"/>
        <v>1</v>
      </c>
      <c r="J107" s="644"/>
      <c r="K107" s="24">
        <f t="shared" si="22"/>
        <v>1</v>
      </c>
      <c r="L107" s="644"/>
      <c r="M107" s="24">
        <f t="shared" si="23"/>
        <v>1</v>
      </c>
      <c r="N107" s="644"/>
      <c r="O107" s="24">
        <f t="shared" si="24"/>
        <v>1</v>
      </c>
      <c r="P107" s="644"/>
      <c r="Q107" s="24">
        <f t="shared" si="25"/>
        <v>1</v>
      </c>
      <c r="R107" s="24">
        <f t="shared" si="26"/>
        <v>0</v>
      </c>
      <c r="S107" s="314">
        <f t="shared" si="17"/>
        <v>0</v>
      </c>
    </row>
    <row r="108" spans="1:19">
      <c r="A108" s="147"/>
      <c r="B108" s="55"/>
      <c r="C108" s="24">
        <f t="shared" si="18"/>
        <v>1</v>
      </c>
      <c r="D108" s="644"/>
      <c r="E108" s="24">
        <f t="shared" si="19"/>
        <v>1</v>
      </c>
      <c r="F108" s="644"/>
      <c r="G108" s="24">
        <f t="shared" si="20"/>
        <v>1</v>
      </c>
      <c r="H108" s="644"/>
      <c r="I108" s="24">
        <f t="shared" si="21"/>
        <v>1</v>
      </c>
      <c r="J108" s="644"/>
      <c r="K108" s="24">
        <f t="shared" si="22"/>
        <v>1</v>
      </c>
      <c r="L108" s="644"/>
      <c r="M108" s="24">
        <f t="shared" si="23"/>
        <v>1</v>
      </c>
      <c r="N108" s="644"/>
      <c r="O108" s="24">
        <f t="shared" si="24"/>
        <v>1</v>
      </c>
      <c r="P108" s="644"/>
      <c r="Q108" s="24">
        <f t="shared" si="25"/>
        <v>1</v>
      </c>
      <c r="R108" s="24">
        <f t="shared" si="26"/>
        <v>0</v>
      </c>
      <c r="S108" s="314">
        <f t="shared" si="17"/>
        <v>0</v>
      </c>
    </row>
    <row r="109" spans="1:19">
      <c r="A109" s="147"/>
      <c r="B109" s="55"/>
      <c r="C109" s="24">
        <f t="shared" si="18"/>
        <v>1</v>
      </c>
      <c r="D109" s="644"/>
      <c r="E109" s="24">
        <f t="shared" si="19"/>
        <v>1</v>
      </c>
      <c r="F109" s="644"/>
      <c r="G109" s="24">
        <f t="shared" si="20"/>
        <v>1</v>
      </c>
      <c r="H109" s="644"/>
      <c r="I109" s="24">
        <f t="shared" si="21"/>
        <v>1</v>
      </c>
      <c r="J109" s="644"/>
      <c r="K109" s="24">
        <f t="shared" si="22"/>
        <v>1</v>
      </c>
      <c r="L109" s="644"/>
      <c r="M109" s="24">
        <f t="shared" si="23"/>
        <v>1</v>
      </c>
      <c r="N109" s="644"/>
      <c r="O109" s="24">
        <f t="shared" si="24"/>
        <v>1</v>
      </c>
      <c r="P109" s="644"/>
      <c r="Q109" s="24">
        <f t="shared" si="25"/>
        <v>1</v>
      </c>
      <c r="R109" s="24">
        <f t="shared" si="26"/>
        <v>0</v>
      </c>
      <c r="S109" s="314">
        <f t="shared" si="17"/>
        <v>0</v>
      </c>
    </row>
    <row r="110" spans="1:19">
      <c r="A110" s="147"/>
      <c r="B110" s="55"/>
      <c r="C110" s="24">
        <f t="shared" si="18"/>
        <v>1</v>
      </c>
      <c r="D110" s="644"/>
      <c r="E110" s="24">
        <f t="shared" si="19"/>
        <v>1</v>
      </c>
      <c r="F110" s="644"/>
      <c r="G110" s="24">
        <f t="shared" si="20"/>
        <v>1</v>
      </c>
      <c r="H110" s="644"/>
      <c r="I110" s="24">
        <f t="shared" si="21"/>
        <v>1</v>
      </c>
      <c r="J110" s="644"/>
      <c r="K110" s="24">
        <f t="shared" si="22"/>
        <v>1</v>
      </c>
      <c r="L110" s="644"/>
      <c r="M110" s="24">
        <f t="shared" si="23"/>
        <v>1</v>
      </c>
      <c r="N110" s="644"/>
      <c r="O110" s="24">
        <f t="shared" si="24"/>
        <v>1</v>
      </c>
      <c r="P110" s="644"/>
      <c r="Q110" s="24">
        <f t="shared" si="25"/>
        <v>1</v>
      </c>
      <c r="R110" s="24">
        <f t="shared" si="26"/>
        <v>0</v>
      </c>
      <c r="S110" s="314">
        <f t="shared" si="17"/>
        <v>0</v>
      </c>
    </row>
    <row r="111" spans="1:19">
      <c r="A111" s="147"/>
      <c r="B111" s="55"/>
      <c r="C111" s="24">
        <f t="shared" si="18"/>
        <v>1</v>
      </c>
      <c r="D111" s="644"/>
      <c r="E111" s="24">
        <f t="shared" si="19"/>
        <v>1</v>
      </c>
      <c r="F111" s="644"/>
      <c r="G111" s="24">
        <f t="shared" si="20"/>
        <v>1</v>
      </c>
      <c r="H111" s="644"/>
      <c r="I111" s="24">
        <f t="shared" si="21"/>
        <v>1</v>
      </c>
      <c r="J111" s="644"/>
      <c r="K111" s="24">
        <f t="shared" si="22"/>
        <v>1</v>
      </c>
      <c r="L111" s="644"/>
      <c r="M111" s="24">
        <f t="shared" si="23"/>
        <v>1</v>
      </c>
      <c r="N111" s="644"/>
      <c r="O111" s="24">
        <f t="shared" si="24"/>
        <v>1</v>
      </c>
      <c r="P111" s="644"/>
      <c r="Q111" s="24">
        <f t="shared" si="25"/>
        <v>1</v>
      </c>
      <c r="R111" s="24">
        <f t="shared" si="26"/>
        <v>0</v>
      </c>
      <c r="S111" s="314">
        <f t="shared" si="17"/>
        <v>0</v>
      </c>
    </row>
    <row r="112" spans="1:19">
      <c r="A112" s="147"/>
      <c r="B112" s="55"/>
      <c r="C112" s="24">
        <f t="shared" si="18"/>
        <v>1</v>
      </c>
      <c r="D112" s="644"/>
      <c r="E112" s="24">
        <f t="shared" si="19"/>
        <v>1</v>
      </c>
      <c r="F112" s="644"/>
      <c r="G112" s="24">
        <f t="shared" si="20"/>
        <v>1</v>
      </c>
      <c r="H112" s="644"/>
      <c r="I112" s="24">
        <f t="shared" si="21"/>
        <v>1</v>
      </c>
      <c r="J112" s="644"/>
      <c r="K112" s="24">
        <f t="shared" si="22"/>
        <v>1</v>
      </c>
      <c r="L112" s="644"/>
      <c r="M112" s="24">
        <f t="shared" si="23"/>
        <v>1</v>
      </c>
      <c r="N112" s="644"/>
      <c r="O112" s="24">
        <f t="shared" si="24"/>
        <v>1</v>
      </c>
      <c r="P112" s="644"/>
      <c r="Q112" s="24">
        <f t="shared" si="25"/>
        <v>1</v>
      </c>
      <c r="R112" s="24">
        <f t="shared" si="26"/>
        <v>0</v>
      </c>
      <c r="S112" s="314">
        <f t="shared" si="17"/>
        <v>0</v>
      </c>
    </row>
    <row r="113" spans="1:19">
      <c r="A113" s="147"/>
      <c r="B113" s="55"/>
      <c r="C113" s="24">
        <f t="shared" si="18"/>
        <v>1</v>
      </c>
      <c r="D113" s="644"/>
      <c r="E113" s="24">
        <f t="shared" si="19"/>
        <v>1</v>
      </c>
      <c r="F113" s="644"/>
      <c r="G113" s="24">
        <f t="shared" si="20"/>
        <v>1</v>
      </c>
      <c r="H113" s="644"/>
      <c r="I113" s="24">
        <f t="shared" si="21"/>
        <v>1</v>
      </c>
      <c r="J113" s="644"/>
      <c r="K113" s="24">
        <f t="shared" si="22"/>
        <v>1</v>
      </c>
      <c r="L113" s="644"/>
      <c r="M113" s="24">
        <f t="shared" si="23"/>
        <v>1</v>
      </c>
      <c r="N113" s="644"/>
      <c r="O113" s="24">
        <f t="shared" si="24"/>
        <v>1</v>
      </c>
      <c r="P113" s="644"/>
      <c r="Q113" s="24">
        <f t="shared" si="25"/>
        <v>1</v>
      </c>
      <c r="R113" s="24">
        <f t="shared" si="26"/>
        <v>0</v>
      </c>
      <c r="S113" s="314">
        <f t="shared" si="17"/>
        <v>0</v>
      </c>
    </row>
    <row r="114" spans="1:19">
      <c r="A114" s="147"/>
      <c r="B114" s="55"/>
      <c r="C114" s="24">
        <f t="shared" si="18"/>
        <v>1</v>
      </c>
      <c r="D114" s="644"/>
      <c r="E114" s="24">
        <f t="shared" si="19"/>
        <v>1</v>
      </c>
      <c r="F114" s="644"/>
      <c r="G114" s="24">
        <f t="shared" si="20"/>
        <v>1</v>
      </c>
      <c r="H114" s="644"/>
      <c r="I114" s="24">
        <f t="shared" si="21"/>
        <v>1</v>
      </c>
      <c r="J114" s="644"/>
      <c r="K114" s="24">
        <f t="shared" si="22"/>
        <v>1</v>
      </c>
      <c r="L114" s="644"/>
      <c r="M114" s="24">
        <f t="shared" si="23"/>
        <v>1</v>
      </c>
      <c r="N114" s="644"/>
      <c r="O114" s="24">
        <f t="shared" si="24"/>
        <v>1</v>
      </c>
      <c r="P114" s="644"/>
      <c r="Q114" s="24">
        <f t="shared" si="25"/>
        <v>1</v>
      </c>
      <c r="R114" s="24">
        <f t="shared" si="26"/>
        <v>0</v>
      </c>
      <c r="S114" s="314">
        <f t="shared" si="17"/>
        <v>0</v>
      </c>
    </row>
    <row r="115" spans="1:19">
      <c r="A115" s="147"/>
      <c r="B115" s="55"/>
      <c r="C115" s="24">
        <f t="shared" si="18"/>
        <v>1</v>
      </c>
      <c r="D115" s="644"/>
      <c r="E115" s="24">
        <f t="shared" si="19"/>
        <v>1</v>
      </c>
      <c r="F115" s="644"/>
      <c r="G115" s="24">
        <f t="shared" si="20"/>
        <v>1</v>
      </c>
      <c r="H115" s="644"/>
      <c r="I115" s="24">
        <f t="shared" si="21"/>
        <v>1</v>
      </c>
      <c r="J115" s="644"/>
      <c r="K115" s="24">
        <f t="shared" si="22"/>
        <v>1</v>
      </c>
      <c r="L115" s="644"/>
      <c r="M115" s="24">
        <f t="shared" si="23"/>
        <v>1</v>
      </c>
      <c r="N115" s="644"/>
      <c r="O115" s="24">
        <f t="shared" si="24"/>
        <v>1</v>
      </c>
      <c r="P115" s="644"/>
      <c r="Q115" s="24">
        <f t="shared" si="25"/>
        <v>1</v>
      </c>
      <c r="R115" s="24">
        <f t="shared" si="26"/>
        <v>0</v>
      </c>
      <c r="S115" s="314">
        <f t="shared" si="17"/>
        <v>0</v>
      </c>
    </row>
    <row r="116" spans="1:19">
      <c r="A116" s="147"/>
      <c r="B116" s="55"/>
      <c r="C116" s="24">
        <f t="shared" si="18"/>
        <v>1</v>
      </c>
      <c r="D116" s="644"/>
      <c r="E116" s="24">
        <f t="shared" si="19"/>
        <v>1</v>
      </c>
      <c r="F116" s="644"/>
      <c r="G116" s="24">
        <f t="shared" si="20"/>
        <v>1</v>
      </c>
      <c r="H116" s="644"/>
      <c r="I116" s="24">
        <f t="shared" si="21"/>
        <v>1</v>
      </c>
      <c r="J116" s="644"/>
      <c r="K116" s="24">
        <f t="shared" si="22"/>
        <v>1</v>
      </c>
      <c r="L116" s="644"/>
      <c r="M116" s="24">
        <f t="shared" si="23"/>
        <v>1</v>
      </c>
      <c r="N116" s="644"/>
      <c r="O116" s="24">
        <f t="shared" si="24"/>
        <v>1</v>
      </c>
      <c r="P116" s="644"/>
      <c r="Q116" s="24">
        <f t="shared" si="25"/>
        <v>1</v>
      </c>
      <c r="R116" s="24">
        <f t="shared" si="26"/>
        <v>0</v>
      </c>
      <c r="S116" s="314">
        <f t="shared" si="17"/>
        <v>0</v>
      </c>
    </row>
    <row r="117" spans="1:19">
      <c r="A117" s="147"/>
      <c r="B117" s="55"/>
      <c r="C117" s="24">
        <f t="shared" si="18"/>
        <v>1</v>
      </c>
      <c r="D117" s="644"/>
      <c r="E117" s="24">
        <f t="shared" si="19"/>
        <v>1</v>
      </c>
      <c r="F117" s="644"/>
      <c r="G117" s="24">
        <f t="shared" si="20"/>
        <v>1</v>
      </c>
      <c r="H117" s="644"/>
      <c r="I117" s="24">
        <f t="shared" si="21"/>
        <v>1</v>
      </c>
      <c r="J117" s="644"/>
      <c r="K117" s="24">
        <f t="shared" si="22"/>
        <v>1</v>
      </c>
      <c r="L117" s="644"/>
      <c r="M117" s="24">
        <f t="shared" si="23"/>
        <v>1</v>
      </c>
      <c r="N117" s="644"/>
      <c r="O117" s="24">
        <f t="shared" si="24"/>
        <v>1</v>
      </c>
      <c r="P117" s="644"/>
      <c r="Q117" s="24">
        <f t="shared" si="25"/>
        <v>1</v>
      </c>
      <c r="R117" s="24">
        <f t="shared" si="26"/>
        <v>0</v>
      </c>
      <c r="S117" s="314">
        <f t="shared" si="17"/>
        <v>0</v>
      </c>
    </row>
    <row r="118" spans="1:19">
      <c r="A118" s="147"/>
      <c r="B118" s="55"/>
      <c r="C118" s="24">
        <f t="shared" si="18"/>
        <v>1</v>
      </c>
      <c r="D118" s="644"/>
      <c r="E118" s="24">
        <f t="shared" si="19"/>
        <v>1</v>
      </c>
      <c r="F118" s="644"/>
      <c r="G118" s="24">
        <f t="shared" si="20"/>
        <v>1</v>
      </c>
      <c r="H118" s="644"/>
      <c r="I118" s="24">
        <f t="shared" si="21"/>
        <v>1</v>
      </c>
      <c r="J118" s="644"/>
      <c r="K118" s="24">
        <f t="shared" si="22"/>
        <v>1</v>
      </c>
      <c r="L118" s="644"/>
      <c r="M118" s="24">
        <f t="shared" si="23"/>
        <v>1</v>
      </c>
      <c r="N118" s="644"/>
      <c r="O118" s="24">
        <f t="shared" si="24"/>
        <v>1</v>
      </c>
      <c r="P118" s="644"/>
      <c r="Q118" s="24">
        <f t="shared" si="25"/>
        <v>1</v>
      </c>
      <c r="R118" s="24">
        <f t="shared" si="26"/>
        <v>0</v>
      </c>
      <c r="S118" s="314">
        <f t="shared" si="17"/>
        <v>0</v>
      </c>
    </row>
    <row r="119" spans="1:19">
      <c r="A119" s="147"/>
      <c r="B119" s="55"/>
      <c r="C119" s="24">
        <f t="shared" si="18"/>
        <v>1</v>
      </c>
      <c r="D119" s="644"/>
      <c r="E119" s="24">
        <f t="shared" si="19"/>
        <v>1</v>
      </c>
      <c r="F119" s="644"/>
      <c r="G119" s="24">
        <f t="shared" si="20"/>
        <v>1</v>
      </c>
      <c r="H119" s="644"/>
      <c r="I119" s="24">
        <f t="shared" si="21"/>
        <v>1</v>
      </c>
      <c r="J119" s="644"/>
      <c r="K119" s="24">
        <f t="shared" si="22"/>
        <v>1</v>
      </c>
      <c r="L119" s="644"/>
      <c r="M119" s="24">
        <f t="shared" si="23"/>
        <v>1</v>
      </c>
      <c r="N119" s="644"/>
      <c r="O119" s="24">
        <f t="shared" si="24"/>
        <v>1</v>
      </c>
      <c r="P119" s="644"/>
      <c r="Q119" s="24">
        <f t="shared" si="25"/>
        <v>1</v>
      </c>
      <c r="R119" s="24">
        <f t="shared" si="26"/>
        <v>0</v>
      </c>
      <c r="S119" s="314">
        <f t="shared" si="17"/>
        <v>0</v>
      </c>
    </row>
    <row r="120" spans="1:19">
      <c r="A120" s="147"/>
      <c r="B120" s="55"/>
      <c r="C120" s="24">
        <f t="shared" si="18"/>
        <v>1</v>
      </c>
      <c r="D120" s="644"/>
      <c r="E120" s="24">
        <f t="shared" si="19"/>
        <v>1</v>
      </c>
      <c r="F120" s="644"/>
      <c r="G120" s="24">
        <f t="shared" si="20"/>
        <v>1</v>
      </c>
      <c r="H120" s="644"/>
      <c r="I120" s="24">
        <f t="shared" si="21"/>
        <v>1</v>
      </c>
      <c r="J120" s="644"/>
      <c r="K120" s="24">
        <f t="shared" si="22"/>
        <v>1</v>
      </c>
      <c r="L120" s="644"/>
      <c r="M120" s="24">
        <f t="shared" si="23"/>
        <v>1</v>
      </c>
      <c r="N120" s="644"/>
      <c r="O120" s="24">
        <f t="shared" si="24"/>
        <v>1</v>
      </c>
      <c r="P120" s="644"/>
      <c r="Q120" s="24">
        <f t="shared" si="25"/>
        <v>1</v>
      </c>
      <c r="R120" s="24">
        <f t="shared" si="26"/>
        <v>0</v>
      </c>
      <c r="S120" s="314">
        <f t="shared" si="17"/>
        <v>0</v>
      </c>
    </row>
    <row r="121" spans="1:19">
      <c r="A121" s="147"/>
      <c r="B121" s="55"/>
      <c r="C121" s="24">
        <f t="shared" si="18"/>
        <v>1</v>
      </c>
      <c r="D121" s="644"/>
      <c r="E121" s="24">
        <f t="shared" si="19"/>
        <v>1</v>
      </c>
      <c r="F121" s="644"/>
      <c r="G121" s="24">
        <f t="shared" si="20"/>
        <v>1</v>
      </c>
      <c r="H121" s="644"/>
      <c r="I121" s="24">
        <f t="shared" si="21"/>
        <v>1</v>
      </c>
      <c r="J121" s="644"/>
      <c r="K121" s="24">
        <f t="shared" si="22"/>
        <v>1</v>
      </c>
      <c r="L121" s="644"/>
      <c r="M121" s="24">
        <f t="shared" si="23"/>
        <v>1</v>
      </c>
      <c r="N121" s="644"/>
      <c r="O121" s="24">
        <f t="shared" si="24"/>
        <v>1</v>
      </c>
      <c r="P121" s="644"/>
      <c r="Q121" s="24">
        <f t="shared" si="25"/>
        <v>1</v>
      </c>
      <c r="R121" s="24">
        <f t="shared" si="26"/>
        <v>0</v>
      </c>
      <c r="S121" s="314">
        <f t="shared" si="17"/>
        <v>0</v>
      </c>
    </row>
    <row r="122" spans="1:19">
      <c r="A122" s="147"/>
      <c r="B122" s="55"/>
      <c r="C122" s="24">
        <f t="shared" si="18"/>
        <v>1</v>
      </c>
      <c r="D122" s="644"/>
      <c r="E122" s="24">
        <f t="shared" si="19"/>
        <v>1</v>
      </c>
      <c r="F122" s="644"/>
      <c r="G122" s="24">
        <f t="shared" si="20"/>
        <v>1</v>
      </c>
      <c r="H122" s="644"/>
      <c r="I122" s="24">
        <f t="shared" si="21"/>
        <v>1</v>
      </c>
      <c r="J122" s="644"/>
      <c r="K122" s="24">
        <f t="shared" si="22"/>
        <v>1</v>
      </c>
      <c r="L122" s="644"/>
      <c r="M122" s="24">
        <f t="shared" si="23"/>
        <v>1</v>
      </c>
      <c r="N122" s="644"/>
      <c r="O122" s="24">
        <f t="shared" si="24"/>
        <v>1</v>
      </c>
      <c r="P122" s="644"/>
      <c r="Q122" s="24">
        <f t="shared" si="25"/>
        <v>1</v>
      </c>
      <c r="R122" s="24">
        <f t="shared" si="26"/>
        <v>0</v>
      </c>
      <c r="S122" s="314">
        <f t="shared" si="17"/>
        <v>0</v>
      </c>
    </row>
    <row r="123" spans="1:19">
      <c r="A123" s="147"/>
      <c r="B123" s="55"/>
      <c r="C123" s="24">
        <f t="shared" si="18"/>
        <v>1</v>
      </c>
      <c r="D123" s="644"/>
      <c r="E123" s="24">
        <f t="shared" si="19"/>
        <v>1</v>
      </c>
      <c r="F123" s="644"/>
      <c r="G123" s="24">
        <f t="shared" si="20"/>
        <v>1</v>
      </c>
      <c r="H123" s="644"/>
      <c r="I123" s="24">
        <f t="shared" si="21"/>
        <v>1</v>
      </c>
      <c r="J123" s="644"/>
      <c r="K123" s="24">
        <f t="shared" si="22"/>
        <v>1</v>
      </c>
      <c r="L123" s="644"/>
      <c r="M123" s="24">
        <f t="shared" si="23"/>
        <v>1</v>
      </c>
      <c r="N123" s="644"/>
      <c r="O123" s="24">
        <f t="shared" si="24"/>
        <v>1</v>
      </c>
      <c r="P123" s="644"/>
      <c r="Q123" s="24">
        <f t="shared" si="25"/>
        <v>1</v>
      </c>
      <c r="R123" s="24">
        <f t="shared" si="26"/>
        <v>0</v>
      </c>
      <c r="S123" s="314">
        <f t="shared" ref="S123:S186" si="27">ROUND(R123*B123/10000,0)</f>
        <v>0</v>
      </c>
    </row>
    <row r="124" spans="1:19">
      <c r="A124" s="147"/>
      <c r="B124" s="55"/>
      <c r="C124" s="24">
        <f t="shared" si="18"/>
        <v>1</v>
      </c>
      <c r="D124" s="644"/>
      <c r="E124" s="24">
        <f t="shared" si="19"/>
        <v>1</v>
      </c>
      <c r="F124" s="644"/>
      <c r="G124" s="24">
        <f t="shared" si="20"/>
        <v>1</v>
      </c>
      <c r="H124" s="644"/>
      <c r="I124" s="24">
        <f t="shared" si="21"/>
        <v>1</v>
      </c>
      <c r="J124" s="644"/>
      <c r="K124" s="24">
        <f t="shared" si="22"/>
        <v>1</v>
      </c>
      <c r="L124" s="644"/>
      <c r="M124" s="24">
        <f t="shared" si="23"/>
        <v>1</v>
      </c>
      <c r="N124" s="644"/>
      <c r="O124" s="24">
        <f t="shared" si="24"/>
        <v>1</v>
      </c>
      <c r="P124" s="644"/>
      <c r="Q124" s="24">
        <f t="shared" si="25"/>
        <v>1</v>
      </c>
      <c r="R124" s="24">
        <f t="shared" si="26"/>
        <v>0</v>
      </c>
      <c r="S124" s="314">
        <f t="shared" si="27"/>
        <v>0</v>
      </c>
    </row>
    <row r="125" spans="1:19">
      <c r="A125" s="147"/>
      <c r="B125" s="55"/>
      <c r="C125" s="24">
        <f t="shared" si="18"/>
        <v>1</v>
      </c>
      <c r="D125" s="644"/>
      <c r="E125" s="24">
        <f t="shared" si="19"/>
        <v>1</v>
      </c>
      <c r="F125" s="644"/>
      <c r="G125" s="24">
        <f t="shared" si="20"/>
        <v>1</v>
      </c>
      <c r="H125" s="644"/>
      <c r="I125" s="24">
        <f t="shared" si="21"/>
        <v>1</v>
      </c>
      <c r="J125" s="644"/>
      <c r="K125" s="24">
        <f t="shared" si="22"/>
        <v>1</v>
      </c>
      <c r="L125" s="644"/>
      <c r="M125" s="24">
        <f t="shared" si="23"/>
        <v>1</v>
      </c>
      <c r="N125" s="644"/>
      <c r="O125" s="24">
        <f t="shared" si="24"/>
        <v>1</v>
      </c>
      <c r="P125" s="644"/>
      <c r="Q125" s="24">
        <f t="shared" si="25"/>
        <v>1</v>
      </c>
      <c r="R125" s="24">
        <f t="shared" si="26"/>
        <v>0</v>
      </c>
      <c r="S125" s="314">
        <f t="shared" si="27"/>
        <v>0</v>
      </c>
    </row>
    <row r="126" spans="1:19">
      <c r="A126" s="147"/>
      <c r="B126" s="55"/>
      <c r="C126" s="24">
        <f t="shared" si="18"/>
        <v>1</v>
      </c>
      <c r="D126" s="644"/>
      <c r="E126" s="24">
        <f t="shared" si="19"/>
        <v>1</v>
      </c>
      <c r="F126" s="644"/>
      <c r="G126" s="24">
        <f t="shared" si="20"/>
        <v>1</v>
      </c>
      <c r="H126" s="644"/>
      <c r="I126" s="24">
        <f t="shared" si="21"/>
        <v>1</v>
      </c>
      <c r="J126" s="644"/>
      <c r="K126" s="24">
        <f t="shared" si="22"/>
        <v>1</v>
      </c>
      <c r="L126" s="644"/>
      <c r="M126" s="24">
        <f t="shared" si="23"/>
        <v>1</v>
      </c>
      <c r="N126" s="644"/>
      <c r="O126" s="24">
        <f t="shared" si="24"/>
        <v>1</v>
      </c>
      <c r="P126" s="644"/>
      <c r="Q126" s="24">
        <f t="shared" si="25"/>
        <v>1</v>
      </c>
      <c r="R126" s="24">
        <f t="shared" si="26"/>
        <v>0</v>
      </c>
      <c r="S126" s="314">
        <f t="shared" si="27"/>
        <v>0</v>
      </c>
    </row>
    <row r="127" spans="1:19">
      <c r="A127" s="147"/>
      <c r="B127" s="55"/>
      <c r="C127" s="24">
        <f t="shared" si="18"/>
        <v>1</v>
      </c>
      <c r="D127" s="644"/>
      <c r="E127" s="24">
        <f t="shared" si="19"/>
        <v>1</v>
      </c>
      <c r="F127" s="644"/>
      <c r="G127" s="24">
        <f t="shared" si="20"/>
        <v>1</v>
      </c>
      <c r="H127" s="644"/>
      <c r="I127" s="24">
        <f t="shared" si="21"/>
        <v>1</v>
      </c>
      <c r="J127" s="644"/>
      <c r="K127" s="24">
        <f t="shared" si="22"/>
        <v>1</v>
      </c>
      <c r="L127" s="644"/>
      <c r="M127" s="24">
        <f t="shared" si="23"/>
        <v>1</v>
      </c>
      <c r="N127" s="644"/>
      <c r="O127" s="24">
        <f t="shared" si="24"/>
        <v>1</v>
      </c>
      <c r="P127" s="644"/>
      <c r="Q127" s="24">
        <f t="shared" si="25"/>
        <v>1</v>
      </c>
      <c r="R127" s="24">
        <f t="shared" si="26"/>
        <v>0</v>
      </c>
      <c r="S127" s="314">
        <f t="shared" si="27"/>
        <v>0</v>
      </c>
    </row>
    <row r="128" spans="1:19">
      <c r="A128" s="147"/>
      <c r="B128" s="55"/>
      <c r="C128" s="24">
        <f t="shared" si="18"/>
        <v>1</v>
      </c>
      <c r="D128" s="644"/>
      <c r="E128" s="24">
        <f t="shared" si="19"/>
        <v>1</v>
      </c>
      <c r="F128" s="644"/>
      <c r="G128" s="24">
        <f t="shared" si="20"/>
        <v>1</v>
      </c>
      <c r="H128" s="644"/>
      <c r="I128" s="24">
        <f t="shared" si="21"/>
        <v>1</v>
      </c>
      <c r="J128" s="644"/>
      <c r="K128" s="24">
        <f t="shared" si="22"/>
        <v>1</v>
      </c>
      <c r="L128" s="644"/>
      <c r="M128" s="24">
        <f t="shared" si="23"/>
        <v>1</v>
      </c>
      <c r="N128" s="644"/>
      <c r="O128" s="24">
        <f t="shared" si="24"/>
        <v>1</v>
      </c>
      <c r="P128" s="644"/>
      <c r="Q128" s="24">
        <f t="shared" si="25"/>
        <v>1</v>
      </c>
      <c r="R128" s="24">
        <f t="shared" si="26"/>
        <v>0</v>
      </c>
      <c r="S128" s="314">
        <f t="shared" si="27"/>
        <v>0</v>
      </c>
    </row>
    <row r="129" spans="1:19">
      <c r="A129" s="147"/>
      <c r="B129" s="55"/>
      <c r="C129" s="24">
        <f t="shared" si="18"/>
        <v>1</v>
      </c>
      <c r="D129" s="644"/>
      <c r="E129" s="24">
        <f t="shared" si="19"/>
        <v>1</v>
      </c>
      <c r="F129" s="644"/>
      <c r="G129" s="24">
        <f t="shared" si="20"/>
        <v>1</v>
      </c>
      <c r="H129" s="644"/>
      <c r="I129" s="24">
        <f t="shared" si="21"/>
        <v>1</v>
      </c>
      <c r="J129" s="644"/>
      <c r="K129" s="24">
        <f t="shared" si="22"/>
        <v>1</v>
      </c>
      <c r="L129" s="644"/>
      <c r="M129" s="24">
        <f t="shared" si="23"/>
        <v>1</v>
      </c>
      <c r="N129" s="644"/>
      <c r="O129" s="24">
        <f t="shared" si="24"/>
        <v>1</v>
      </c>
      <c r="P129" s="644"/>
      <c r="Q129" s="24">
        <f t="shared" si="25"/>
        <v>1</v>
      </c>
      <c r="R129" s="24">
        <f t="shared" si="26"/>
        <v>0</v>
      </c>
      <c r="S129" s="314">
        <f t="shared" si="27"/>
        <v>0</v>
      </c>
    </row>
    <row r="130" spans="1:19">
      <c r="A130" s="147"/>
      <c r="B130" s="55"/>
      <c r="C130" s="24">
        <f t="shared" si="18"/>
        <v>1</v>
      </c>
      <c r="D130" s="644"/>
      <c r="E130" s="24">
        <f t="shared" si="19"/>
        <v>1</v>
      </c>
      <c r="F130" s="644"/>
      <c r="G130" s="24">
        <f t="shared" si="20"/>
        <v>1</v>
      </c>
      <c r="H130" s="644"/>
      <c r="I130" s="24">
        <f t="shared" si="21"/>
        <v>1</v>
      </c>
      <c r="J130" s="644"/>
      <c r="K130" s="24">
        <f t="shared" si="22"/>
        <v>1</v>
      </c>
      <c r="L130" s="644"/>
      <c r="M130" s="24">
        <f t="shared" si="23"/>
        <v>1</v>
      </c>
      <c r="N130" s="644"/>
      <c r="O130" s="24">
        <f t="shared" si="24"/>
        <v>1</v>
      </c>
      <c r="P130" s="644"/>
      <c r="Q130" s="24">
        <f t="shared" si="25"/>
        <v>1</v>
      </c>
      <c r="R130" s="24">
        <f t="shared" si="26"/>
        <v>0</v>
      </c>
      <c r="S130" s="314">
        <f t="shared" si="27"/>
        <v>0</v>
      </c>
    </row>
    <row r="131" spans="1:19">
      <c r="A131" s="147"/>
      <c r="B131" s="55"/>
      <c r="C131" s="24">
        <f t="shared" si="18"/>
        <v>1</v>
      </c>
      <c r="D131" s="644"/>
      <c r="E131" s="24">
        <f t="shared" si="19"/>
        <v>1</v>
      </c>
      <c r="F131" s="644"/>
      <c r="G131" s="24">
        <f t="shared" si="20"/>
        <v>1</v>
      </c>
      <c r="H131" s="644"/>
      <c r="I131" s="24">
        <f t="shared" si="21"/>
        <v>1</v>
      </c>
      <c r="J131" s="644"/>
      <c r="K131" s="24">
        <f t="shared" si="22"/>
        <v>1</v>
      </c>
      <c r="L131" s="644"/>
      <c r="M131" s="24">
        <f t="shared" si="23"/>
        <v>1</v>
      </c>
      <c r="N131" s="644"/>
      <c r="O131" s="24">
        <f t="shared" si="24"/>
        <v>1</v>
      </c>
      <c r="P131" s="644"/>
      <c r="Q131" s="24">
        <f t="shared" si="25"/>
        <v>1</v>
      </c>
      <c r="R131" s="24">
        <f t="shared" si="26"/>
        <v>0</v>
      </c>
      <c r="S131" s="314">
        <f t="shared" si="27"/>
        <v>0</v>
      </c>
    </row>
    <row r="132" spans="1:19">
      <c r="A132" s="147"/>
      <c r="B132" s="55"/>
      <c r="C132" s="24">
        <f t="shared" si="18"/>
        <v>1</v>
      </c>
      <c r="D132" s="644"/>
      <c r="E132" s="24">
        <f t="shared" si="19"/>
        <v>1</v>
      </c>
      <c r="F132" s="644"/>
      <c r="G132" s="24">
        <f t="shared" si="20"/>
        <v>1</v>
      </c>
      <c r="H132" s="644"/>
      <c r="I132" s="24">
        <f t="shared" si="21"/>
        <v>1</v>
      </c>
      <c r="J132" s="644"/>
      <c r="K132" s="24">
        <f t="shared" si="22"/>
        <v>1</v>
      </c>
      <c r="L132" s="644"/>
      <c r="M132" s="24">
        <f t="shared" si="23"/>
        <v>1</v>
      </c>
      <c r="N132" s="644"/>
      <c r="O132" s="24">
        <f t="shared" si="24"/>
        <v>1</v>
      </c>
      <c r="P132" s="644"/>
      <c r="Q132" s="24">
        <f t="shared" si="25"/>
        <v>1</v>
      </c>
      <c r="R132" s="24">
        <f t="shared" si="26"/>
        <v>0</v>
      </c>
      <c r="S132" s="314">
        <f t="shared" si="27"/>
        <v>0</v>
      </c>
    </row>
    <row r="133" spans="1:19">
      <c r="A133" s="147"/>
      <c r="B133" s="55"/>
      <c r="C133" s="24">
        <f t="shared" si="18"/>
        <v>1</v>
      </c>
      <c r="D133" s="644"/>
      <c r="E133" s="24">
        <f t="shared" si="19"/>
        <v>1</v>
      </c>
      <c r="F133" s="644"/>
      <c r="G133" s="24">
        <f t="shared" si="20"/>
        <v>1</v>
      </c>
      <c r="H133" s="644"/>
      <c r="I133" s="24">
        <f t="shared" si="21"/>
        <v>1</v>
      </c>
      <c r="J133" s="644"/>
      <c r="K133" s="24">
        <f t="shared" si="22"/>
        <v>1</v>
      </c>
      <c r="L133" s="644"/>
      <c r="M133" s="24">
        <f t="shared" si="23"/>
        <v>1</v>
      </c>
      <c r="N133" s="644"/>
      <c r="O133" s="24">
        <f t="shared" si="24"/>
        <v>1</v>
      </c>
      <c r="P133" s="644"/>
      <c r="Q133" s="24">
        <f t="shared" si="25"/>
        <v>1</v>
      </c>
      <c r="R133" s="24">
        <f t="shared" si="26"/>
        <v>0</v>
      </c>
      <c r="S133" s="314">
        <f t="shared" si="27"/>
        <v>0</v>
      </c>
    </row>
    <row r="134" spans="1:19">
      <c r="A134" s="147"/>
      <c r="B134" s="55"/>
      <c r="C134" s="24">
        <f t="shared" si="18"/>
        <v>1</v>
      </c>
      <c r="D134" s="644"/>
      <c r="E134" s="24">
        <f t="shared" si="19"/>
        <v>1</v>
      </c>
      <c r="F134" s="644"/>
      <c r="G134" s="24">
        <f t="shared" si="20"/>
        <v>1</v>
      </c>
      <c r="H134" s="644"/>
      <c r="I134" s="24">
        <f t="shared" si="21"/>
        <v>1</v>
      </c>
      <c r="J134" s="644"/>
      <c r="K134" s="24">
        <f t="shared" si="22"/>
        <v>1</v>
      </c>
      <c r="L134" s="644"/>
      <c r="M134" s="24">
        <f t="shared" si="23"/>
        <v>1</v>
      </c>
      <c r="N134" s="644"/>
      <c r="O134" s="24">
        <f t="shared" si="24"/>
        <v>1</v>
      </c>
      <c r="P134" s="644"/>
      <c r="Q134" s="24">
        <f t="shared" si="25"/>
        <v>1</v>
      </c>
      <c r="R134" s="24">
        <f t="shared" si="26"/>
        <v>0</v>
      </c>
      <c r="S134" s="314">
        <f t="shared" si="27"/>
        <v>0</v>
      </c>
    </row>
    <row r="135" spans="1:19">
      <c r="A135" s="147"/>
      <c r="B135" s="55"/>
      <c r="C135" s="24">
        <f t="shared" si="18"/>
        <v>1</v>
      </c>
      <c r="D135" s="644"/>
      <c r="E135" s="24">
        <f t="shared" si="19"/>
        <v>1</v>
      </c>
      <c r="F135" s="644"/>
      <c r="G135" s="24">
        <f t="shared" si="20"/>
        <v>1</v>
      </c>
      <c r="H135" s="644"/>
      <c r="I135" s="24">
        <f t="shared" si="21"/>
        <v>1</v>
      </c>
      <c r="J135" s="644"/>
      <c r="K135" s="24">
        <f t="shared" si="22"/>
        <v>1</v>
      </c>
      <c r="L135" s="644"/>
      <c r="M135" s="24">
        <f t="shared" si="23"/>
        <v>1</v>
      </c>
      <c r="N135" s="644"/>
      <c r="O135" s="24">
        <f t="shared" si="24"/>
        <v>1</v>
      </c>
      <c r="P135" s="644"/>
      <c r="Q135" s="24">
        <f t="shared" si="25"/>
        <v>1</v>
      </c>
      <c r="R135" s="24">
        <f t="shared" si="26"/>
        <v>0</v>
      </c>
      <c r="S135" s="314">
        <f t="shared" si="27"/>
        <v>0</v>
      </c>
    </row>
    <row r="136" spans="1:19">
      <c r="A136" s="147"/>
      <c r="B136" s="55"/>
      <c r="C136" s="24">
        <f t="shared" si="18"/>
        <v>1</v>
      </c>
      <c r="D136" s="644"/>
      <c r="E136" s="24">
        <f t="shared" si="19"/>
        <v>1</v>
      </c>
      <c r="F136" s="644"/>
      <c r="G136" s="24">
        <f t="shared" si="20"/>
        <v>1</v>
      </c>
      <c r="H136" s="644"/>
      <c r="I136" s="24">
        <f t="shared" si="21"/>
        <v>1</v>
      </c>
      <c r="J136" s="644"/>
      <c r="K136" s="24">
        <f t="shared" si="22"/>
        <v>1</v>
      </c>
      <c r="L136" s="644"/>
      <c r="M136" s="24">
        <f t="shared" si="23"/>
        <v>1</v>
      </c>
      <c r="N136" s="644"/>
      <c r="O136" s="24">
        <f t="shared" si="24"/>
        <v>1</v>
      </c>
      <c r="P136" s="644"/>
      <c r="Q136" s="24">
        <f t="shared" si="25"/>
        <v>1</v>
      </c>
      <c r="R136" s="24">
        <f t="shared" si="26"/>
        <v>0</v>
      </c>
      <c r="S136" s="314">
        <f t="shared" si="27"/>
        <v>0</v>
      </c>
    </row>
    <row r="137" spans="1:19">
      <c r="A137" s="147"/>
      <c r="B137" s="55"/>
      <c r="C137" s="24">
        <f t="shared" si="18"/>
        <v>1</v>
      </c>
      <c r="D137" s="644"/>
      <c r="E137" s="24">
        <f t="shared" si="19"/>
        <v>1</v>
      </c>
      <c r="F137" s="644"/>
      <c r="G137" s="24">
        <f t="shared" si="20"/>
        <v>1</v>
      </c>
      <c r="H137" s="644"/>
      <c r="I137" s="24">
        <f t="shared" si="21"/>
        <v>1</v>
      </c>
      <c r="J137" s="644"/>
      <c r="K137" s="24">
        <f t="shared" si="22"/>
        <v>1</v>
      </c>
      <c r="L137" s="644"/>
      <c r="M137" s="24">
        <f t="shared" si="23"/>
        <v>1</v>
      </c>
      <c r="N137" s="644"/>
      <c r="O137" s="24">
        <f t="shared" si="24"/>
        <v>1</v>
      </c>
      <c r="P137" s="644"/>
      <c r="Q137" s="24">
        <f t="shared" si="25"/>
        <v>1</v>
      </c>
      <c r="R137" s="24">
        <f t="shared" si="26"/>
        <v>0</v>
      </c>
      <c r="S137" s="314">
        <f t="shared" si="27"/>
        <v>0</v>
      </c>
    </row>
    <row r="138" spans="1:19">
      <c r="A138" s="147"/>
      <c r="B138" s="55"/>
      <c r="C138" s="24">
        <f t="shared" si="18"/>
        <v>1</v>
      </c>
      <c r="D138" s="644"/>
      <c r="E138" s="24">
        <f t="shared" si="19"/>
        <v>1</v>
      </c>
      <c r="F138" s="644"/>
      <c r="G138" s="24">
        <f t="shared" si="20"/>
        <v>1</v>
      </c>
      <c r="H138" s="644"/>
      <c r="I138" s="24">
        <f t="shared" si="21"/>
        <v>1</v>
      </c>
      <c r="J138" s="644"/>
      <c r="K138" s="24">
        <f t="shared" si="22"/>
        <v>1</v>
      </c>
      <c r="L138" s="644"/>
      <c r="M138" s="24">
        <f t="shared" si="23"/>
        <v>1</v>
      </c>
      <c r="N138" s="644"/>
      <c r="O138" s="24">
        <f t="shared" si="24"/>
        <v>1</v>
      </c>
      <c r="P138" s="644"/>
      <c r="Q138" s="24">
        <f t="shared" si="25"/>
        <v>1</v>
      </c>
      <c r="R138" s="24">
        <f t="shared" si="26"/>
        <v>0</v>
      </c>
      <c r="S138" s="314">
        <f t="shared" si="27"/>
        <v>0</v>
      </c>
    </row>
    <row r="139" spans="1:19">
      <c r="A139" s="147"/>
      <c r="B139" s="55"/>
      <c r="C139" s="24">
        <f t="shared" si="18"/>
        <v>1</v>
      </c>
      <c r="D139" s="644"/>
      <c r="E139" s="24">
        <f t="shared" si="19"/>
        <v>1</v>
      </c>
      <c r="F139" s="644"/>
      <c r="G139" s="24">
        <f t="shared" si="20"/>
        <v>1</v>
      </c>
      <c r="H139" s="644"/>
      <c r="I139" s="24">
        <f t="shared" si="21"/>
        <v>1</v>
      </c>
      <c r="J139" s="644"/>
      <c r="K139" s="24">
        <f t="shared" si="22"/>
        <v>1</v>
      </c>
      <c r="L139" s="644"/>
      <c r="M139" s="24">
        <f t="shared" si="23"/>
        <v>1</v>
      </c>
      <c r="N139" s="644"/>
      <c r="O139" s="24">
        <f t="shared" si="24"/>
        <v>1</v>
      </c>
      <c r="P139" s="644"/>
      <c r="Q139" s="24">
        <f t="shared" si="25"/>
        <v>1</v>
      </c>
      <c r="R139" s="24">
        <f t="shared" si="26"/>
        <v>0</v>
      </c>
      <c r="S139" s="314">
        <f t="shared" si="27"/>
        <v>0</v>
      </c>
    </row>
    <row r="140" spans="1:19">
      <c r="A140" s="147"/>
      <c r="B140" s="55"/>
      <c r="C140" s="24">
        <f t="shared" si="18"/>
        <v>1</v>
      </c>
      <c r="D140" s="644"/>
      <c r="E140" s="24">
        <f t="shared" si="19"/>
        <v>1</v>
      </c>
      <c r="F140" s="644"/>
      <c r="G140" s="24">
        <f t="shared" si="20"/>
        <v>1</v>
      </c>
      <c r="H140" s="644"/>
      <c r="I140" s="24">
        <f t="shared" si="21"/>
        <v>1</v>
      </c>
      <c r="J140" s="644"/>
      <c r="K140" s="24">
        <f t="shared" si="22"/>
        <v>1</v>
      </c>
      <c r="L140" s="644"/>
      <c r="M140" s="24">
        <f t="shared" si="23"/>
        <v>1</v>
      </c>
      <c r="N140" s="644"/>
      <c r="O140" s="24">
        <f t="shared" si="24"/>
        <v>1</v>
      </c>
      <c r="P140" s="644"/>
      <c r="Q140" s="24">
        <f t="shared" si="25"/>
        <v>1</v>
      </c>
      <c r="R140" s="24">
        <f t="shared" si="26"/>
        <v>0</v>
      </c>
      <c r="S140" s="314">
        <f t="shared" si="27"/>
        <v>0</v>
      </c>
    </row>
    <row r="141" spans="1:19">
      <c r="A141" s="147"/>
      <c r="B141" s="55"/>
      <c r="C141" s="24">
        <f t="shared" si="18"/>
        <v>1</v>
      </c>
      <c r="D141" s="644"/>
      <c r="E141" s="24">
        <f t="shared" si="19"/>
        <v>1</v>
      </c>
      <c r="F141" s="644"/>
      <c r="G141" s="24">
        <f t="shared" si="20"/>
        <v>1</v>
      </c>
      <c r="H141" s="644"/>
      <c r="I141" s="24">
        <f t="shared" si="21"/>
        <v>1</v>
      </c>
      <c r="J141" s="644"/>
      <c r="K141" s="24">
        <f t="shared" si="22"/>
        <v>1</v>
      </c>
      <c r="L141" s="644"/>
      <c r="M141" s="24">
        <f t="shared" si="23"/>
        <v>1</v>
      </c>
      <c r="N141" s="644"/>
      <c r="O141" s="24">
        <f t="shared" si="24"/>
        <v>1</v>
      </c>
      <c r="P141" s="644"/>
      <c r="Q141" s="24">
        <f t="shared" si="25"/>
        <v>1</v>
      </c>
      <c r="R141" s="24">
        <f t="shared" si="26"/>
        <v>0</v>
      </c>
      <c r="S141" s="314">
        <f t="shared" si="27"/>
        <v>0</v>
      </c>
    </row>
    <row r="142" spans="1:19">
      <c r="A142" s="147"/>
      <c r="B142" s="55"/>
      <c r="C142" s="24">
        <f t="shared" si="18"/>
        <v>1</v>
      </c>
      <c r="D142" s="644"/>
      <c r="E142" s="24">
        <f t="shared" si="19"/>
        <v>1</v>
      </c>
      <c r="F142" s="644"/>
      <c r="G142" s="24">
        <f t="shared" si="20"/>
        <v>1</v>
      </c>
      <c r="H142" s="644"/>
      <c r="I142" s="24">
        <f t="shared" si="21"/>
        <v>1</v>
      </c>
      <c r="J142" s="644"/>
      <c r="K142" s="24">
        <f t="shared" si="22"/>
        <v>1</v>
      </c>
      <c r="L142" s="644"/>
      <c r="M142" s="24">
        <f t="shared" si="23"/>
        <v>1</v>
      </c>
      <c r="N142" s="644"/>
      <c r="O142" s="24">
        <f t="shared" si="24"/>
        <v>1</v>
      </c>
      <c r="P142" s="644"/>
      <c r="Q142" s="24">
        <f t="shared" si="25"/>
        <v>1</v>
      </c>
      <c r="R142" s="24">
        <f t="shared" si="26"/>
        <v>0</v>
      </c>
      <c r="S142" s="314">
        <f t="shared" si="27"/>
        <v>0</v>
      </c>
    </row>
    <row r="143" spans="1:19">
      <c r="A143" s="147"/>
      <c r="B143" s="55"/>
      <c r="C143" s="24">
        <f t="shared" si="18"/>
        <v>1</v>
      </c>
      <c r="D143" s="644"/>
      <c r="E143" s="24">
        <f t="shared" si="19"/>
        <v>1</v>
      </c>
      <c r="F143" s="644"/>
      <c r="G143" s="24">
        <f t="shared" si="20"/>
        <v>1</v>
      </c>
      <c r="H143" s="644"/>
      <c r="I143" s="24">
        <f t="shared" si="21"/>
        <v>1</v>
      </c>
      <c r="J143" s="644"/>
      <c r="K143" s="24">
        <f t="shared" si="22"/>
        <v>1</v>
      </c>
      <c r="L143" s="644"/>
      <c r="M143" s="24">
        <f t="shared" si="23"/>
        <v>1</v>
      </c>
      <c r="N143" s="644"/>
      <c r="O143" s="24">
        <f t="shared" si="24"/>
        <v>1</v>
      </c>
      <c r="P143" s="644"/>
      <c r="Q143" s="24">
        <f t="shared" si="25"/>
        <v>1</v>
      </c>
      <c r="R143" s="24">
        <f t="shared" si="26"/>
        <v>0</v>
      </c>
      <c r="S143" s="314">
        <f t="shared" si="27"/>
        <v>0</v>
      </c>
    </row>
    <row r="144" spans="1:19">
      <c r="A144" s="147"/>
      <c r="B144" s="55"/>
      <c r="C144" s="24">
        <f t="shared" si="18"/>
        <v>1</v>
      </c>
      <c r="D144" s="644"/>
      <c r="E144" s="24">
        <f t="shared" si="19"/>
        <v>1</v>
      </c>
      <c r="F144" s="644"/>
      <c r="G144" s="24">
        <f t="shared" si="20"/>
        <v>1</v>
      </c>
      <c r="H144" s="644"/>
      <c r="I144" s="24">
        <f t="shared" si="21"/>
        <v>1</v>
      </c>
      <c r="J144" s="644"/>
      <c r="K144" s="24">
        <f t="shared" si="22"/>
        <v>1</v>
      </c>
      <c r="L144" s="644"/>
      <c r="M144" s="24">
        <f t="shared" si="23"/>
        <v>1</v>
      </c>
      <c r="N144" s="644"/>
      <c r="O144" s="24">
        <f t="shared" si="24"/>
        <v>1</v>
      </c>
      <c r="P144" s="644"/>
      <c r="Q144" s="24">
        <f t="shared" si="25"/>
        <v>1</v>
      </c>
      <c r="R144" s="24">
        <f t="shared" si="26"/>
        <v>0</v>
      </c>
      <c r="S144" s="314">
        <f t="shared" si="27"/>
        <v>0</v>
      </c>
    </row>
    <row r="145" spans="1:19">
      <c r="A145" s="147"/>
      <c r="B145" s="55"/>
      <c r="C145" s="24">
        <f t="shared" si="18"/>
        <v>1</v>
      </c>
      <c r="D145" s="644"/>
      <c r="E145" s="24">
        <f t="shared" si="19"/>
        <v>1</v>
      </c>
      <c r="F145" s="644"/>
      <c r="G145" s="24">
        <f t="shared" si="20"/>
        <v>1</v>
      </c>
      <c r="H145" s="644"/>
      <c r="I145" s="24">
        <f t="shared" si="21"/>
        <v>1</v>
      </c>
      <c r="J145" s="644"/>
      <c r="K145" s="24">
        <f t="shared" si="22"/>
        <v>1</v>
      </c>
      <c r="L145" s="644"/>
      <c r="M145" s="24">
        <f t="shared" si="23"/>
        <v>1</v>
      </c>
      <c r="N145" s="644"/>
      <c r="O145" s="24">
        <f t="shared" si="24"/>
        <v>1</v>
      </c>
      <c r="P145" s="644"/>
      <c r="Q145" s="24">
        <f t="shared" si="25"/>
        <v>1</v>
      </c>
      <c r="R145" s="24">
        <f t="shared" si="26"/>
        <v>0</v>
      </c>
      <c r="S145" s="314">
        <f t="shared" si="27"/>
        <v>0</v>
      </c>
    </row>
    <row r="146" spans="1:19">
      <c r="A146" s="147"/>
      <c r="B146" s="55"/>
      <c r="C146" s="24">
        <f t="shared" si="18"/>
        <v>1</v>
      </c>
      <c r="D146" s="644"/>
      <c r="E146" s="24">
        <f t="shared" si="19"/>
        <v>1</v>
      </c>
      <c r="F146" s="644"/>
      <c r="G146" s="24">
        <f t="shared" si="20"/>
        <v>1</v>
      </c>
      <c r="H146" s="644"/>
      <c r="I146" s="24">
        <f t="shared" si="21"/>
        <v>1</v>
      </c>
      <c r="J146" s="644"/>
      <c r="K146" s="24">
        <f t="shared" si="22"/>
        <v>1</v>
      </c>
      <c r="L146" s="644"/>
      <c r="M146" s="24">
        <f t="shared" si="23"/>
        <v>1</v>
      </c>
      <c r="N146" s="644"/>
      <c r="O146" s="24">
        <f t="shared" si="24"/>
        <v>1</v>
      </c>
      <c r="P146" s="644"/>
      <c r="Q146" s="24">
        <f t="shared" si="25"/>
        <v>1</v>
      </c>
      <c r="R146" s="24">
        <f t="shared" si="26"/>
        <v>0</v>
      </c>
      <c r="S146" s="314">
        <f t="shared" si="27"/>
        <v>0</v>
      </c>
    </row>
    <row r="147" spans="1:19">
      <c r="A147" s="147"/>
      <c r="B147" s="55"/>
      <c r="C147" s="24">
        <f t="shared" si="18"/>
        <v>1</v>
      </c>
      <c r="D147" s="644"/>
      <c r="E147" s="24">
        <f t="shared" si="19"/>
        <v>1</v>
      </c>
      <c r="F147" s="644"/>
      <c r="G147" s="24">
        <f t="shared" si="20"/>
        <v>1</v>
      </c>
      <c r="H147" s="644"/>
      <c r="I147" s="24">
        <f t="shared" si="21"/>
        <v>1</v>
      </c>
      <c r="J147" s="644"/>
      <c r="K147" s="24">
        <f t="shared" si="22"/>
        <v>1</v>
      </c>
      <c r="L147" s="644"/>
      <c r="M147" s="24">
        <f t="shared" si="23"/>
        <v>1</v>
      </c>
      <c r="N147" s="644"/>
      <c r="O147" s="24">
        <f t="shared" si="24"/>
        <v>1</v>
      </c>
      <c r="P147" s="644"/>
      <c r="Q147" s="24">
        <f t="shared" si="25"/>
        <v>1</v>
      </c>
      <c r="R147" s="24">
        <f t="shared" si="26"/>
        <v>0</v>
      </c>
      <c r="S147" s="314">
        <f t="shared" si="27"/>
        <v>0</v>
      </c>
    </row>
    <row r="148" spans="1:19">
      <c r="A148" s="147"/>
      <c r="B148" s="55"/>
      <c r="C148" s="24">
        <f t="shared" si="18"/>
        <v>1</v>
      </c>
      <c r="D148" s="644"/>
      <c r="E148" s="24">
        <f t="shared" si="19"/>
        <v>1</v>
      </c>
      <c r="F148" s="644"/>
      <c r="G148" s="24">
        <f t="shared" si="20"/>
        <v>1</v>
      </c>
      <c r="H148" s="644"/>
      <c r="I148" s="24">
        <f t="shared" si="21"/>
        <v>1</v>
      </c>
      <c r="J148" s="644"/>
      <c r="K148" s="24">
        <f t="shared" si="22"/>
        <v>1</v>
      </c>
      <c r="L148" s="644"/>
      <c r="M148" s="24">
        <f t="shared" si="23"/>
        <v>1</v>
      </c>
      <c r="N148" s="644"/>
      <c r="O148" s="24">
        <f t="shared" si="24"/>
        <v>1</v>
      </c>
      <c r="P148" s="644"/>
      <c r="Q148" s="24">
        <f t="shared" si="25"/>
        <v>1</v>
      </c>
      <c r="R148" s="24">
        <f t="shared" si="26"/>
        <v>0</v>
      </c>
      <c r="S148" s="314">
        <f t="shared" si="27"/>
        <v>0</v>
      </c>
    </row>
    <row r="149" spans="1:19">
      <c r="A149" s="147"/>
      <c r="B149" s="55"/>
      <c r="C149" s="24">
        <f t="shared" si="18"/>
        <v>1</v>
      </c>
      <c r="D149" s="644"/>
      <c r="E149" s="24">
        <f t="shared" si="19"/>
        <v>1</v>
      </c>
      <c r="F149" s="644"/>
      <c r="G149" s="24">
        <f t="shared" si="20"/>
        <v>1</v>
      </c>
      <c r="H149" s="644"/>
      <c r="I149" s="24">
        <f t="shared" si="21"/>
        <v>1</v>
      </c>
      <c r="J149" s="644"/>
      <c r="K149" s="24">
        <f t="shared" si="22"/>
        <v>1</v>
      </c>
      <c r="L149" s="644"/>
      <c r="M149" s="24">
        <f t="shared" si="23"/>
        <v>1</v>
      </c>
      <c r="N149" s="644"/>
      <c r="O149" s="24">
        <f t="shared" si="24"/>
        <v>1</v>
      </c>
      <c r="P149" s="644"/>
      <c r="Q149" s="24">
        <f t="shared" si="25"/>
        <v>1</v>
      </c>
      <c r="R149" s="24">
        <f t="shared" si="26"/>
        <v>0</v>
      </c>
      <c r="S149" s="314">
        <f t="shared" si="27"/>
        <v>0</v>
      </c>
    </row>
    <row r="150" spans="1:19">
      <c r="A150" s="147"/>
      <c r="B150" s="55"/>
      <c r="C150" s="24">
        <f t="shared" si="18"/>
        <v>1</v>
      </c>
      <c r="D150" s="644"/>
      <c r="E150" s="24">
        <f t="shared" si="19"/>
        <v>1</v>
      </c>
      <c r="F150" s="644"/>
      <c r="G150" s="24">
        <f t="shared" si="20"/>
        <v>1</v>
      </c>
      <c r="H150" s="644"/>
      <c r="I150" s="24">
        <f t="shared" si="21"/>
        <v>1</v>
      </c>
      <c r="J150" s="644"/>
      <c r="K150" s="24">
        <f t="shared" si="22"/>
        <v>1</v>
      </c>
      <c r="L150" s="644"/>
      <c r="M150" s="24">
        <f t="shared" si="23"/>
        <v>1</v>
      </c>
      <c r="N150" s="644"/>
      <c r="O150" s="24">
        <f t="shared" si="24"/>
        <v>1</v>
      </c>
      <c r="P150" s="644"/>
      <c r="Q150" s="24">
        <f t="shared" si="25"/>
        <v>1</v>
      </c>
      <c r="R150" s="24">
        <f t="shared" si="26"/>
        <v>0</v>
      </c>
      <c r="S150" s="314">
        <f t="shared" si="27"/>
        <v>0</v>
      </c>
    </row>
    <row r="151" spans="1:19">
      <c r="A151" s="147"/>
      <c r="B151" s="55"/>
      <c r="C151" s="24">
        <f t="shared" si="18"/>
        <v>1</v>
      </c>
      <c r="D151" s="644"/>
      <c r="E151" s="24">
        <f t="shared" si="19"/>
        <v>1</v>
      </c>
      <c r="F151" s="644"/>
      <c r="G151" s="24">
        <f t="shared" si="20"/>
        <v>1</v>
      </c>
      <c r="H151" s="644"/>
      <c r="I151" s="24">
        <f t="shared" si="21"/>
        <v>1</v>
      </c>
      <c r="J151" s="644"/>
      <c r="K151" s="24">
        <f t="shared" si="22"/>
        <v>1</v>
      </c>
      <c r="L151" s="644"/>
      <c r="M151" s="24">
        <f t="shared" si="23"/>
        <v>1</v>
      </c>
      <c r="N151" s="644"/>
      <c r="O151" s="24">
        <f t="shared" si="24"/>
        <v>1</v>
      </c>
      <c r="P151" s="644"/>
      <c r="Q151" s="24">
        <f t="shared" si="25"/>
        <v>1</v>
      </c>
      <c r="R151" s="24">
        <f t="shared" si="26"/>
        <v>0</v>
      </c>
      <c r="S151" s="314">
        <f t="shared" si="27"/>
        <v>0</v>
      </c>
    </row>
    <row r="152" spans="1:19">
      <c r="A152" s="147"/>
      <c r="B152" s="55"/>
      <c r="C152" s="24">
        <f t="shared" si="18"/>
        <v>1</v>
      </c>
      <c r="D152" s="644"/>
      <c r="E152" s="24">
        <f t="shared" si="19"/>
        <v>1</v>
      </c>
      <c r="F152" s="644"/>
      <c r="G152" s="24">
        <f t="shared" si="20"/>
        <v>1</v>
      </c>
      <c r="H152" s="644"/>
      <c r="I152" s="24">
        <f t="shared" si="21"/>
        <v>1</v>
      </c>
      <c r="J152" s="644"/>
      <c r="K152" s="24">
        <f t="shared" si="22"/>
        <v>1</v>
      </c>
      <c r="L152" s="644"/>
      <c r="M152" s="24">
        <f t="shared" si="23"/>
        <v>1</v>
      </c>
      <c r="N152" s="644"/>
      <c r="O152" s="24">
        <f t="shared" si="24"/>
        <v>1</v>
      </c>
      <c r="P152" s="644"/>
      <c r="Q152" s="24">
        <f t="shared" si="25"/>
        <v>1</v>
      </c>
      <c r="R152" s="24">
        <f t="shared" si="26"/>
        <v>0</v>
      </c>
      <c r="S152" s="314">
        <f t="shared" si="27"/>
        <v>0</v>
      </c>
    </row>
    <row r="153" spans="1:19">
      <c r="A153" s="147"/>
      <c r="B153" s="55"/>
      <c r="C153" s="24">
        <f t="shared" si="18"/>
        <v>1</v>
      </c>
      <c r="D153" s="644"/>
      <c r="E153" s="24">
        <f t="shared" si="19"/>
        <v>1</v>
      </c>
      <c r="F153" s="644"/>
      <c r="G153" s="24">
        <f t="shared" si="20"/>
        <v>1</v>
      </c>
      <c r="H153" s="644"/>
      <c r="I153" s="24">
        <f t="shared" si="21"/>
        <v>1</v>
      </c>
      <c r="J153" s="644"/>
      <c r="K153" s="24">
        <f t="shared" si="22"/>
        <v>1</v>
      </c>
      <c r="L153" s="644"/>
      <c r="M153" s="24">
        <f t="shared" si="23"/>
        <v>1</v>
      </c>
      <c r="N153" s="644"/>
      <c r="O153" s="24">
        <f t="shared" si="24"/>
        <v>1</v>
      </c>
      <c r="P153" s="644"/>
      <c r="Q153" s="24">
        <f t="shared" si="25"/>
        <v>1</v>
      </c>
      <c r="R153" s="24">
        <f t="shared" si="26"/>
        <v>0</v>
      </c>
      <c r="S153" s="314">
        <f t="shared" si="27"/>
        <v>0</v>
      </c>
    </row>
    <row r="154" spans="1:19">
      <c r="A154" s="147"/>
      <c r="B154" s="55"/>
      <c r="C154" s="24">
        <f t="shared" ref="C154:C217" si="28">IF(B154="",1,(LOOKUP(B154,$3:$3,$4:$4)-LOOKUP($B$24,$3:$3,$4:$4)+100)/100)</f>
        <v>1</v>
      </c>
      <c r="D154" s="644"/>
      <c r="E154" s="24">
        <f t="shared" ref="E154:E217" si="29">(SUMIF($5:$5,D154,$6:$6)-SUMIF($5:$5,$D$24,$6:$6)+100)/100</f>
        <v>1</v>
      </c>
      <c r="F154" s="644"/>
      <c r="G154" s="24">
        <f t="shared" ref="G154:G217" si="30">(SUMIF($7:$7,F154,$8:$8)-SUMIF($7:$7,$F$24,$8:$8)+100)/100</f>
        <v>1</v>
      </c>
      <c r="H154" s="644"/>
      <c r="I154" s="24">
        <f t="shared" ref="I154:I217" si="31">(SUMIF($9:$9,H154,$10:$10)-SUMIF($9:$9,$H$24,$10:$10)+100)/100</f>
        <v>1</v>
      </c>
      <c r="J154" s="644"/>
      <c r="K154" s="24">
        <f t="shared" ref="K154:K217" si="32">(SUMIF($11:$11,J154,$12:$12)-SUMIF($11:$11,$J$24,$12:$12)+100)/100</f>
        <v>1</v>
      </c>
      <c r="L154" s="644"/>
      <c r="M154" s="24">
        <f t="shared" ref="M154:M217" si="33">(SUMIF($13:$13,L154,$14:$14)-SUMIF($13:$13,$L$24,$14:$14)+100)/100</f>
        <v>1</v>
      </c>
      <c r="N154" s="644"/>
      <c r="O154" s="24">
        <f t="shared" ref="O154:O217" si="34">(SUMIF($15:$15,N154,$16:$16)-SUMIF($15:$15,$N$24,$16:$16)+100)/100</f>
        <v>1</v>
      </c>
      <c r="P154" s="644"/>
      <c r="Q154" s="24">
        <f t="shared" ref="Q154:Q217" si="35">(SUMIF($17:$17,P154,$18:$18)-SUMIF($17:$17,$P$24,$18:$18)+100)/100</f>
        <v>1</v>
      </c>
      <c r="R154" s="24">
        <f t="shared" ref="R154:R217" si="36">IF(B154="",0,ROUND($R$24*C154*E154*G154*I154*K154*M154*O154*Q154,0))</f>
        <v>0</v>
      </c>
      <c r="S154" s="314">
        <f t="shared" si="27"/>
        <v>0</v>
      </c>
    </row>
    <row r="155" spans="1:19">
      <c r="A155" s="147"/>
      <c r="B155" s="55"/>
      <c r="C155" s="24">
        <f t="shared" si="28"/>
        <v>1</v>
      </c>
      <c r="D155" s="644"/>
      <c r="E155" s="24">
        <f t="shared" si="29"/>
        <v>1</v>
      </c>
      <c r="F155" s="644"/>
      <c r="G155" s="24">
        <f t="shared" si="30"/>
        <v>1</v>
      </c>
      <c r="H155" s="644"/>
      <c r="I155" s="24">
        <f t="shared" si="31"/>
        <v>1</v>
      </c>
      <c r="J155" s="644"/>
      <c r="K155" s="24">
        <f t="shared" si="32"/>
        <v>1</v>
      </c>
      <c r="L155" s="644"/>
      <c r="M155" s="24">
        <f t="shared" si="33"/>
        <v>1</v>
      </c>
      <c r="N155" s="644"/>
      <c r="O155" s="24">
        <f t="shared" si="34"/>
        <v>1</v>
      </c>
      <c r="P155" s="644"/>
      <c r="Q155" s="24">
        <f t="shared" si="35"/>
        <v>1</v>
      </c>
      <c r="R155" s="24">
        <f t="shared" si="36"/>
        <v>0</v>
      </c>
      <c r="S155" s="314">
        <f t="shared" si="27"/>
        <v>0</v>
      </c>
    </row>
    <row r="156" spans="1:19">
      <c r="A156" s="147"/>
      <c r="B156" s="55"/>
      <c r="C156" s="24">
        <f t="shared" si="28"/>
        <v>1</v>
      </c>
      <c r="D156" s="644"/>
      <c r="E156" s="24">
        <f t="shared" si="29"/>
        <v>1</v>
      </c>
      <c r="F156" s="644"/>
      <c r="G156" s="24">
        <f t="shared" si="30"/>
        <v>1</v>
      </c>
      <c r="H156" s="644"/>
      <c r="I156" s="24">
        <f t="shared" si="31"/>
        <v>1</v>
      </c>
      <c r="J156" s="644"/>
      <c r="K156" s="24">
        <f t="shared" si="32"/>
        <v>1</v>
      </c>
      <c r="L156" s="644"/>
      <c r="M156" s="24">
        <f t="shared" si="33"/>
        <v>1</v>
      </c>
      <c r="N156" s="644"/>
      <c r="O156" s="24">
        <f t="shared" si="34"/>
        <v>1</v>
      </c>
      <c r="P156" s="644"/>
      <c r="Q156" s="24">
        <f t="shared" si="35"/>
        <v>1</v>
      </c>
      <c r="R156" s="24">
        <f t="shared" si="36"/>
        <v>0</v>
      </c>
      <c r="S156" s="314">
        <f t="shared" si="27"/>
        <v>0</v>
      </c>
    </row>
    <row r="157" spans="1:19">
      <c r="A157" s="147"/>
      <c r="B157" s="55"/>
      <c r="C157" s="24">
        <f t="shared" si="28"/>
        <v>1</v>
      </c>
      <c r="D157" s="644"/>
      <c r="E157" s="24">
        <f t="shared" si="29"/>
        <v>1</v>
      </c>
      <c r="F157" s="644"/>
      <c r="G157" s="24">
        <f t="shared" si="30"/>
        <v>1</v>
      </c>
      <c r="H157" s="644"/>
      <c r="I157" s="24">
        <f t="shared" si="31"/>
        <v>1</v>
      </c>
      <c r="J157" s="644"/>
      <c r="K157" s="24">
        <f t="shared" si="32"/>
        <v>1</v>
      </c>
      <c r="L157" s="644"/>
      <c r="M157" s="24">
        <f t="shared" si="33"/>
        <v>1</v>
      </c>
      <c r="N157" s="644"/>
      <c r="O157" s="24">
        <f t="shared" si="34"/>
        <v>1</v>
      </c>
      <c r="P157" s="644"/>
      <c r="Q157" s="24">
        <f t="shared" si="35"/>
        <v>1</v>
      </c>
      <c r="R157" s="24">
        <f t="shared" si="36"/>
        <v>0</v>
      </c>
      <c r="S157" s="314">
        <f t="shared" si="27"/>
        <v>0</v>
      </c>
    </row>
    <row r="158" spans="1:19">
      <c r="A158" s="147"/>
      <c r="B158" s="55"/>
      <c r="C158" s="24">
        <f t="shared" si="28"/>
        <v>1</v>
      </c>
      <c r="D158" s="644"/>
      <c r="E158" s="24">
        <f t="shared" si="29"/>
        <v>1</v>
      </c>
      <c r="F158" s="644"/>
      <c r="G158" s="24">
        <f t="shared" si="30"/>
        <v>1</v>
      </c>
      <c r="H158" s="644"/>
      <c r="I158" s="24">
        <f t="shared" si="31"/>
        <v>1</v>
      </c>
      <c r="J158" s="644"/>
      <c r="K158" s="24">
        <f t="shared" si="32"/>
        <v>1</v>
      </c>
      <c r="L158" s="644"/>
      <c r="M158" s="24">
        <f t="shared" si="33"/>
        <v>1</v>
      </c>
      <c r="N158" s="644"/>
      <c r="O158" s="24">
        <f t="shared" si="34"/>
        <v>1</v>
      </c>
      <c r="P158" s="644"/>
      <c r="Q158" s="24">
        <f t="shared" si="35"/>
        <v>1</v>
      </c>
      <c r="R158" s="24">
        <f t="shared" si="36"/>
        <v>0</v>
      </c>
      <c r="S158" s="314">
        <f t="shared" si="27"/>
        <v>0</v>
      </c>
    </row>
    <row r="159" spans="1:19">
      <c r="A159" s="147"/>
      <c r="B159" s="55"/>
      <c r="C159" s="24">
        <f t="shared" si="28"/>
        <v>1</v>
      </c>
      <c r="D159" s="644"/>
      <c r="E159" s="24">
        <f t="shared" si="29"/>
        <v>1</v>
      </c>
      <c r="F159" s="644"/>
      <c r="G159" s="24">
        <f t="shared" si="30"/>
        <v>1</v>
      </c>
      <c r="H159" s="644"/>
      <c r="I159" s="24">
        <f t="shared" si="31"/>
        <v>1</v>
      </c>
      <c r="J159" s="644"/>
      <c r="K159" s="24">
        <f t="shared" si="32"/>
        <v>1</v>
      </c>
      <c r="L159" s="644"/>
      <c r="M159" s="24">
        <f t="shared" si="33"/>
        <v>1</v>
      </c>
      <c r="N159" s="644"/>
      <c r="O159" s="24">
        <f t="shared" si="34"/>
        <v>1</v>
      </c>
      <c r="P159" s="644"/>
      <c r="Q159" s="24">
        <f t="shared" si="35"/>
        <v>1</v>
      </c>
      <c r="R159" s="24">
        <f t="shared" si="36"/>
        <v>0</v>
      </c>
      <c r="S159" s="314">
        <f t="shared" si="27"/>
        <v>0</v>
      </c>
    </row>
    <row r="160" spans="1:19">
      <c r="A160" s="147"/>
      <c r="B160" s="55"/>
      <c r="C160" s="24">
        <f t="shared" si="28"/>
        <v>1</v>
      </c>
      <c r="D160" s="644"/>
      <c r="E160" s="24">
        <f t="shared" si="29"/>
        <v>1</v>
      </c>
      <c r="F160" s="644"/>
      <c r="G160" s="24">
        <f t="shared" si="30"/>
        <v>1</v>
      </c>
      <c r="H160" s="644"/>
      <c r="I160" s="24">
        <f t="shared" si="31"/>
        <v>1</v>
      </c>
      <c r="J160" s="644"/>
      <c r="K160" s="24">
        <f t="shared" si="32"/>
        <v>1</v>
      </c>
      <c r="L160" s="644"/>
      <c r="M160" s="24">
        <f t="shared" si="33"/>
        <v>1</v>
      </c>
      <c r="N160" s="644"/>
      <c r="O160" s="24">
        <f t="shared" si="34"/>
        <v>1</v>
      </c>
      <c r="P160" s="644"/>
      <c r="Q160" s="24">
        <f t="shared" si="35"/>
        <v>1</v>
      </c>
      <c r="R160" s="24">
        <f t="shared" si="36"/>
        <v>0</v>
      </c>
      <c r="S160" s="314">
        <f t="shared" si="27"/>
        <v>0</v>
      </c>
    </row>
    <row r="161" spans="1:19">
      <c r="A161" s="147"/>
      <c r="B161" s="55"/>
      <c r="C161" s="24">
        <f t="shared" si="28"/>
        <v>1</v>
      </c>
      <c r="D161" s="644"/>
      <c r="E161" s="24">
        <f t="shared" si="29"/>
        <v>1</v>
      </c>
      <c r="F161" s="644"/>
      <c r="G161" s="24">
        <f t="shared" si="30"/>
        <v>1</v>
      </c>
      <c r="H161" s="644"/>
      <c r="I161" s="24">
        <f t="shared" si="31"/>
        <v>1</v>
      </c>
      <c r="J161" s="644"/>
      <c r="K161" s="24">
        <f t="shared" si="32"/>
        <v>1</v>
      </c>
      <c r="L161" s="644"/>
      <c r="M161" s="24">
        <f t="shared" si="33"/>
        <v>1</v>
      </c>
      <c r="N161" s="644"/>
      <c r="O161" s="24">
        <f t="shared" si="34"/>
        <v>1</v>
      </c>
      <c r="P161" s="644"/>
      <c r="Q161" s="24">
        <f t="shared" si="35"/>
        <v>1</v>
      </c>
      <c r="R161" s="24">
        <f t="shared" si="36"/>
        <v>0</v>
      </c>
      <c r="S161" s="314">
        <f t="shared" si="27"/>
        <v>0</v>
      </c>
    </row>
    <row r="162" spans="1:19">
      <c r="A162" s="147"/>
      <c r="B162" s="55"/>
      <c r="C162" s="24">
        <f t="shared" si="28"/>
        <v>1</v>
      </c>
      <c r="D162" s="644"/>
      <c r="E162" s="24">
        <f t="shared" si="29"/>
        <v>1</v>
      </c>
      <c r="F162" s="644"/>
      <c r="G162" s="24">
        <f t="shared" si="30"/>
        <v>1</v>
      </c>
      <c r="H162" s="644"/>
      <c r="I162" s="24">
        <f t="shared" si="31"/>
        <v>1</v>
      </c>
      <c r="J162" s="644"/>
      <c r="K162" s="24">
        <f t="shared" si="32"/>
        <v>1</v>
      </c>
      <c r="L162" s="644"/>
      <c r="M162" s="24">
        <f t="shared" si="33"/>
        <v>1</v>
      </c>
      <c r="N162" s="644"/>
      <c r="O162" s="24">
        <f t="shared" si="34"/>
        <v>1</v>
      </c>
      <c r="P162" s="644"/>
      <c r="Q162" s="24">
        <f t="shared" si="35"/>
        <v>1</v>
      </c>
      <c r="R162" s="24">
        <f t="shared" si="36"/>
        <v>0</v>
      </c>
      <c r="S162" s="314">
        <f t="shared" si="27"/>
        <v>0</v>
      </c>
    </row>
    <row r="163" spans="1:19">
      <c r="A163" s="147"/>
      <c r="B163" s="55"/>
      <c r="C163" s="24">
        <f t="shared" si="28"/>
        <v>1</v>
      </c>
      <c r="D163" s="644"/>
      <c r="E163" s="24">
        <f t="shared" si="29"/>
        <v>1</v>
      </c>
      <c r="F163" s="644"/>
      <c r="G163" s="24">
        <f t="shared" si="30"/>
        <v>1</v>
      </c>
      <c r="H163" s="644"/>
      <c r="I163" s="24">
        <f t="shared" si="31"/>
        <v>1</v>
      </c>
      <c r="J163" s="644"/>
      <c r="K163" s="24">
        <f t="shared" si="32"/>
        <v>1</v>
      </c>
      <c r="L163" s="644"/>
      <c r="M163" s="24">
        <f t="shared" si="33"/>
        <v>1</v>
      </c>
      <c r="N163" s="644"/>
      <c r="O163" s="24">
        <f t="shared" si="34"/>
        <v>1</v>
      </c>
      <c r="P163" s="644"/>
      <c r="Q163" s="24">
        <f t="shared" si="35"/>
        <v>1</v>
      </c>
      <c r="R163" s="24">
        <f t="shared" si="36"/>
        <v>0</v>
      </c>
      <c r="S163" s="314">
        <f t="shared" si="27"/>
        <v>0</v>
      </c>
    </row>
    <row r="164" spans="1:19">
      <c r="A164" s="147"/>
      <c r="B164" s="55"/>
      <c r="C164" s="24">
        <f t="shared" si="28"/>
        <v>1</v>
      </c>
      <c r="D164" s="644"/>
      <c r="E164" s="24">
        <f t="shared" si="29"/>
        <v>1</v>
      </c>
      <c r="F164" s="644"/>
      <c r="G164" s="24">
        <f t="shared" si="30"/>
        <v>1</v>
      </c>
      <c r="H164" s="644"/>
      <c r="I164" s="24">
        <f t="shared" si="31"/>
        <v>1</v>
      </c>
      <c r="J164" s="644"/>
      <c r="K164" s="24">
        <f t="shared" si="32"/>
        <v>1</v>
      </c>
      <c r="L164" s="644"/>
      <c r="M164" s="24">
        <f t="shared" si="33"/>
        <v>1</v>
      </c>
      <c r="N164" s="644"/>
      <c r="O164" s="24">
        <f t="shared" si="34"/>
        <v>1</v>
      </c>
      <c r="P164" s="644"/>
      <c r="Q164" s="24">
        <f t="shared" si="35"/>
        <v>1</v>
      </c>
      <c r="R164" s="24">
        <f t="shared" si="36"/>
        <v>0</v>
      </c>
      <c r="S164" s="314">
        <f t="shared" si="27"/>
        <v>0</v>
      </c>
    </row>
    <row r="165" spans="1:19">
      <c r="A165" s="147"/>
      <c r="B165" s="55"/>
      <c r="C165" s="24">
        <f t="shared" si="28"/>
        <v>1</v>
      </c>
      <c r="D165" s="644"/>
      <c r="E165" s="24">
        <f t="shared" si="29"/>
        <v>1</v>
      </c>
      <c r="F165" s="644"/>
      <c r="G165" s="24">
        <f t="shared" si="30"/>
        <v>1</v>
      </c>
      <c r="H165" s="644"/>
      <c r="I165" s="24">
        <f t="shared" si="31"/>
        <v>1</v>
      </c>
      <c r="J165" s="644"/>
      <c r="K165" s="24">
        <f t="shared" si="32"/>
        <v>1</v>
      </c>
      <c r="L165" s="644"/>
      <c r="M165" s="24">
        <f t="shared" si="33"/>
        <v>1</v>
      </c>
      <c r="N165" s="644"/>
      <c r="O165" s="24">
        <f t="shared" si="34"/>
        <v>1</v>
      </c>
      <c r="P165" s="644"/>
      <c r="Q165" s="24">
        <f t="shared" si="35"/>
        <v>1</v>
      </c>
      <c r="R165" s="24">
        <f t="shared" si="36"/>
        <v>0</v>
      </c>
      <c r="S165" s="314">
        <f t="shared" si="27"/>
        <v>0</v>
      </c>
    </row>
    <row r="166" spans="1:19">
      <c r="A166" s="147"/>
      <c r="B166" s="55"/>
      <c r="C166" s="24">
        <f t="shared" si="28"/>
        <v>1</v>
      </c>
      <c r="D166" s="644"/>
      <c r="E166" s="24">
        <f t="shared" si="29"/>
        <v>1</v>
      </c>
      <c r="F166" s="644"/>
      <c r="G166" s="24">
        <f t="shared" si="30"/>
        <v>1</v>
      </c>
      <c r="H166" s="644"/>
      <c r="I166" s="24">
        <f t="shared" si="31"/>
        <v>1</v>
      </c>
      <c r="J166" s="644"/>
      <c r="K166" s="24">
        <f t="shared" si="32"/>
        <v>1</v>
      </c>
      <c r="L166" s="644"/>
      <c r="M166" s="24">
        <f t="shared" si="33"/>
        <v>1</v>
      </c>
      <c r="N166" s="644"/>
      <c r="O166" s="24">
        <f t="shared" si="34"/>
        <v>1</v>
      </c>
      <c r="P166" s="644"/>
      <c r="Q166" s="24">
        <f t="shared" si="35"/>
        <v>1</v>
      </c>
      <c r="R166" s="24">
        <f t="shared" si="36"/>
        <v>0</v>
      </c>
      <c r="S166" s="314">
        <f t="shared" si="27"/>
        <v>0</v>
      </c>
    </row>
    <row r="167" spans="1:19">
      <c r="A167" s="147"/>
      <c r="B167" s="55"/>
      <c r="C167" s="24">
        <f t="shared" si="28"/>
        <v>1</v>
      </c>
      <c r="D167" s="644"/>
      <c r="E167" s="24">
        <f t="shared" si="29"/>
        <v>1</v>
      </c>
      <c r="F167" s="644"/>
      <c r="G167" s="24">
        <f t="shared" si="30"/>
        <v>1</v>
      </c>
      <c r="H167" s="644"/>
      <c r="I167" s="24">
        <f t="shared" si="31"/>
        <v>1</v>
      </c>
      <c r="J167" s="644"/>
      <c r="K167" s="24">
        <f t="shared" si="32"/>
        <v>1</v>
      </c>
      <c r="L167" s="644"/>
      <c r="M167" s="24">
        <f t="shared" si="33"/>
        <v>1</v>
      </c>
      <c r="N167" s="644"/>
      <c r="O167" s="24">
        <f t="shared" si="34"/>
        <v>1</v>
      </c>
      <c r="P167" s="644"/>
      <c r="Q167" s="24">
        <f t="shared" si="35"/>
        <v>1</v>
      </c>
      <c r="R167" s="24">
        <f t="shared" si="36"/>
        <v>0</v>
      </c>
      <c r="S167" s="314">
        <f t="shared" si="27"/>
        <v>0</v>
      </c>
    </row>
    <row r="168" spans="1:19">
      <c r="A168" s="147"/>
      <c r="B168" s="55"/>
      <c r="C168" s="24">
        <f t="shared" si="28"/>
        <v>1</v>
      </c>
      <c r="D168" s="644"/>
      <c r="E168" s="24">
        <f t="shared" si="29"/>
        <v>1</v>
      </c>
      <c r="F168" s="644"/>
      <c r="G168" s="24">
        <f t="shared" si="30"/>
        <v>1</v>
      </c>
      <c r="H168" s="644"/>
      <c r="I168" s="24">
        <f t="shared" si="31"/>
        <v>1</v>
      </c>
      <c r="J168" s="644"/>
      <c r="K168" s="24">
        <f t="shared" si="32"/>
        <v>1</v>
      </c>
      <c r="L168" s="644"/>
      <c r="M168" s="24">
        <f t="shared" si="33"/>
        <v>1</v>
      </c>
      <c r="N168" s="644"/>
      <c r="O168" s="24">
        <f t="shared" si="34"/>
        <v>1</v>
      </c>
      <c r="P168" s="644"/>
      <c r="Q168" s="24">
        <f t="shared" si="35"/>
        <v>1</v>
      </c>
      <c r="R168" s="24">
        <f t="shared" si="36"/>
        <v>0</v>
      </c>
      <c r="S168" s="314">
        <f t="shared" si="27"/>
        <v>0</v>
      </c>
    </row>
    <row r="169" spans="1:19">
      <c r="A169" s="147"/>
      <c r="B169" s="55"/>
      <c r="C169" s="24">
        <f t="shared" si="28"/>
        <v>1</v>
      </c>
      <c r="D169" s="644"/>
      <c r="E169" s="24">
        <f t="shared" si="29"/>
        <v>1</v>
      </c>
      <c r="F169" s="644"/>
      <c r="G169" s="24">
        <f t="shared" si="30"/>
        <v>1</v>
      </c>
      <c r="H169" s="644"/>
      <c r="I169" s="24">
        <f t="shared" si="31"/>
        <v>1</v>
      </c>
      <c r="J169" s="644"/>
      <c r="K169" s="24">
        <f t="shared" si="32"/>
        <v>1</v>
      </c>
      <c r="L169" s="644"/>
      <c r="M169" s="24">
        <f t="shared" si="33"/>
        <v>1</v>
      </c>
      <c r="N169" s="644"/>
      <c r="O169" s="24">
        <f t="shared" si="34"/>
        <v>1</v>
      </c>
      <c r="P169" s="644"/>
      <c r="Q169" s="24">
        <f t="shared" si="35"/>
        <v>1</v>
      </c>
      <c r="R169" s="24">
        <f t="shared" si="36"/>
        <v>0</v>
      </c>
      <c r="S169" s="314">
        <f t="shared" si="27"/>
        <v>0</v>
      </c>
    </row>
    <row r="170" spans="1:19">
      <c r="A170" s="147"/>
      <c r="B170" s="55"/>
      <c r="C170" s="24">
        <f t="shared" si="28"/>
        <v>1</v>
      </c>
      <c r="D170" s="644"/>
      <c r="E170" s="24">
        <f t="shared" si="29"/>
        <v>1</v>
      </c>
      <c r="F170" s="644"/>
      <c r="G170" s="24">
        <f t="shared" si="30"/>
        <v>1</v>
      </c>
      <c r="H170" s="644"/>
      <c r="I170" s="24">
        <f t="shared" si="31"/>
        <v>1</v>
      </c>
      <c r="J170" s="644"/>
      <c r="K170" s="24">
        <f t="shared" si="32"/>
        <v>1</v>
      </c>
      <c r="L170" s="644"/>
      <c r="M170" s="24">
        <f t="shared" si="33"/>
        <v>1</v>
      </c>
      <c r="N170" s="644"/>
      <c r="O170" s="24">
        <f t="shared" si="34"/>
        <v>1</v>
      </c>
      <c r="P170" s="644"/>
      <c r="Q170" s="24">
        <f t="shared" si="35"/>
        <v>1</v>
      </c>
      <c r="R170" s="24">
        <f t="shared" si="36"/>
        <v>0</v>
      </c>
      <c r="S170" s="314">
        <f t="shared" si="27"/>
        <v>0</v>
      </c>
    </row>
    <row r="171" spans="1:19">
      <c r="A171" s="147"/>
      <c r="B171" s="55"/>
      <c r="C171" s="24">
        <f t="shared" si="28"/>
        <v>1</v>
      </c>
      <c r="D171" s="644"/>
      <c r="E171" s="24">
        <f t="shared" si="29"/>
        <v>1</v>
      </c>
      <c r="F171" s="644"/>
      <c r="G171" s="24">
        <f t="shared" si="30"/>
        <v>1</v>
      </c>
      <c r="H171" s="644"/>
      <c r="I171" s="24">
        <f t="shared" si="31"/>
        <v>1</v>
      </c>
      <c r="J171" s="644"/>
      <c r="K171" s="24">
        <f t="shared" si="32"/>
        <v>1</v>
      </c>
      <c r="L171" s="644"/>
      <c r="M171" s="24">
        <f t="shared" si="33"/>
        <v>1</v>
      </c>
      <c r="N171" s="644"/>
      <c r="O171" s="24">
        <f t="shared" si="34"/>
        <v>1</v>
      </c>
      <c r="P171" s="644"/>
      <c r="Q171" s="24">
        <f t="shared" si="35"/>
        <v>1</v>
      </c>
      <c r="R171" s="24">
        <f t="shared" si="36"/>
        <v>0</v>
      </c>
      <c r="S171" s="314">
        <f t="shared" si="27"/>
        <v>0</v>
      </c>
    </row>
    <row r="172" spans="1:19">
      <c r="A172" s="147"/>
      <c r="B172" s="55"/>
      <c r="C172" s="24">
        <f t="shared" si="28"/>
        <v>1</v>
      </c>
      <c r="D172" s="644"/>
      <c r="E172" s="24">
        <f t="shared" si="29"/>
        <v>1</v>
      </c>
      <c r="F172" s="644"/>
      <c r="G172" s="24">
        <f t="shared" si="30"/>
        <v>1</v>
      </c>
      <c r="H172" s="644"/>
      <c r="I172" s="24">
        <f t="shared" si="31"/>
        <v>1</v>
      </c>
      <c r="J172" s="644"/>
      <c r="K172" s="24">
        <f t="shared" si="32"/>
        <v>1</v>
      </c>
      <c r="L172" s="644"/>
      <c r="M172" s="24">
        <f t="shared" si="33"/>
        <v>1</v>
      </c>
      <c r="N172" s="644"/>
      <c r="O172" s="24">
        <f t="shared" si="34"/>
        <v>1</v>
      </c>
      <c r="P172" s="644"/>
      <c r="Q172" s="24">
        <f t="shared" si="35"/>
        <v>1</v>
      </c>
      <c r="R172" s="24">
        <f t="shared" si="36"/>
        <v>0</v>
      </c>
      <c r="S172" s="314">
        <f t="shared" si="27"/>
        <v>0</v>
      </c>
    </row>
    <row r="173" spans="1:19">
      <c r="A173" s="147"/>
      <c r="B173" s="55"/>
      <c r="C173" s="24">
        <f t="shared" si="28"/>
        <v>1</v>
      </c>
      <c r="D173" s="644"/>
      <c r="E173" s="24">
        <f t="shared" si="29"/>
        <v>1</v>
      </c>
      <c r="F173" s="644"/>
      <c r="G173" s="24">
        <f t="shared" si="30"/>
        <v>1</v>
      </c>
      <c r="H173" s="644"/>
      <c r="I173" s="24">
        <f t="shared" si="31"/>
        <v>1</v>
      </c>
      <c r="J173" s="644"/>
      <c r="K173" s="24">
        <f t="shared" si="32"/>
        <v>1</v>
      </c>
      <c r="L173" s="644"/>
      <c r="M173" s="24">
        <f t="shared" si="33"/>
        <v>1</v>
      </c>
      <c r="N173" s="644"/>
      <c r="O173" s="24">
        <f t="shared" si="34"/>
        <v>1</v>
      </c>
      <c r="P173" s="644"/>
      <c r="Q173" s="24">
        <f t="shared" si="35"/>
        <v>1</v>
      </c>
      <c r="R173" s="24">
        <f t="shared" si="36"/>
        <v>0</v>
      </c>
      <c r="S173" s="314">
        <f t="shared" si="27"/>
        <v>0</v>
      </c>
    </row>
    <row r="174" spans="1:19">
      <c r="A174" s="147"/>
      <c r="B174" s="55"/>
      <c r="C174" s="24">
        <f t="shared" si="28"/>
        <v>1</v>
      </c>
      <c r="D174" s="644"/>
      <c r="E174" s="24">
        <f t="shared" si="29"/>
        <v>1</v>
      </c>
      <c r="F174" s="644"/>
      <c r="G174" s="24">
        <f t="shared" si="30"/>
        <v>1</v>
      </c>
      <c r="H174" s="644"/>
      <c r="I174" s="24">
        <f t="shared" si="31"/>
        <v>1</v>
      </c>
      <c r="J174" s="644"/>
      <c r="K174" s="24">
        <f t="shared" si="32"/>
        <v>1</v>
      </c>
      <c r="L174" s="644"/>
      <c r="M174" s="24">
        <f t="shared" si="33"/>
        <v>1</v>
      </c>
      <c r="N174" s="644"/>
      <c r="O174" s="24">
        <f t="shared" si="34"/>
        <v>1</v>
      </c>
      <c r="P174" s="644"/>
      <c r="Q174" s="24">
        <f t="shared" si="35"/>
        <v>1</v>
      </c>
      <c r="R174" s="24">
        <f t="shared" si="36"/>
        <v>0</v>
      </c>
      <c r="S174" s="314">
        <f t="shared" si="27"/>
        <v>0</v>
      </c>
    </row>
    <row r="175" spans="1:19">
      <c r="A175" s="147"/>
      <c r="B175" s="55"/>
      <c r="C175" s="24">
        <f t="shared" si="28"/>
        <v>1</v>
      </c>
      <c r="D175" s="644"/>
      <c r="E175" s="24">
        <f t="shared" si="29"/>
        <v>1</v>
      </c>
      <c r="F175" s="644"/>
      <c r="G175" s="24">
        <f t="shared" si="30"/>
        <v>1</v>
      </c>
      <c r="H175" s="644"/>
      <c r="I175" s="24">
        <f t="shared" si="31"/>
        <v>1</v>
      </c>
      <c r="J175" s="644"/>
      <c r="K175" s="24">
        <f t="shared" si="32"/>
        <v>1</v>
      </c>
      <c r="L175" s="644"/>
      <c r="M175" s="24">
        <f t="shared" si="33"/>
        <v>1</v>
      </c>
      <c r="N175" s="644"/>
      <c r="O175" s="24">
        <f t="shared" si="34"/>
        <v>1</v>
      </c>
      <c r="P175" s="644"/>
      <c r="Q175" s="24">
        <f t="shared" si="35"/>
        <v>1</v>
      </c>
      <c r="R175" s="24">
        <f t="shared" si="36"/>
        <v>0</v>
      </c>
      <c r="S175" s="314">
        <f t="shared" si="27"/>
        <v>0</v>
      </c>
    </row>
    <row r="176" spans="1:19">
      <c r="A176" s="147"/>
      <c r="B176" s="55"/>
      <c r="C176" s="24">
        <f t="shared" si="28"/>
        <v>1</v>
      </c>
      <c r="D176" s="644"/>
      <c r="E176" s="24">
        <f t="shared" si="29"/>
        <v>1</v>
      </c>
      <c r="F176" s="644"/>
      <c r="G176" s="24">
        <f t="shared" si="30"/>
        <v>1</v>
      </c>
      <c r="H176" s="644"/>
      <c r="I176" s="24">
        <f t="shared" si="31"/>
        <v>1</v>
      </c>
      <c r="J176" s="644"/>
      <c r="K176" s="24">
        <f t="shared" si="32"/>
        <v>1</v>
      </c>
      <c r="L176" s="644"/>
      <c r="M176" s="24">
        <f t="shared" si="33"/>
        <v>1</v>
      </c>
      <c r="N176" s="644"/>
      <c r="O176" s="24">
        <f t="shared" si="34"/>
        <v>1</v>
      </c>
      <c r="P176" s="644"/>
      <c r="Q176" s="24">
        <f t="shared" si="35"/>
        <v>1</v>
      </c>
      <c r="R176" s="24">
        <f t="shared" si="36"/>
        <v>0</v>
      </c>
      <c r="S176" s="314">
        <f t="shared" si="27"/>
        <v>0</v>
      </c>
    </row>
    <row r="177" spans="1:19">
      <c r="A177" s="147"/>
      <c r="B177" s="55"/>
      <c r="C177" s="24">
        <f t="shared" si="28"/>
        <v>1</v>
      </c>
      <c r="D177" s="644"/>
      <c r="E177" s="24">
        <f t="shared" si="29"/>
        <v>1</v>
      </c>
      <c r="F177" s="644"/>
      <c r="G177" s="24">
        <f t="shared" si="30"/>
        <v>1</v>
      </c>
      <c r="H177" s="644"/>
      <c r="I177" s="24">
        <f t="shared" si="31"/>
        <v>1</v>
      </c>
      <c r="J177" s="644"/>
      <c r="K177" s="24">
        <f t="shared" si="32"/>
        <v>1</v>
      </c>
      <c r="L177" s="644"/>
      <c r="M177" s="24">
        <f t="shared" si="33"/>
        <v>1</v>
      </c>
      <c r="N177" s="644"/>
      <c r="O177" s="24">
        <f t="shared" si="34"/>
        <v>1</v>
      </c>
      <c r="P177" s="644"/>
      <c r="Q177" s="24">
        <f t="shared" si="35"/>
        <v>1</v>
      </c>
      <c r="R177" s="24">
        <f t="shared" si="36"/>
        <v>0</v>
      </c>
      <c r="S177" s="314">
        <f t="shared" si="27"/>
        <v>0</v>
      </c>
    </row>
    <row r="178" spans="1:19">
      <c r="A178" s="147"/>
      <c r="B178" s="55"/>
      <c r="C178" s="24">
        <f t="shared" si="28"/>
        <v>1</v>
      </c>
      <c r="D178" s="644"/>
      <c r="E178" s="24">
        <f t="shared" si="29"/>
        <v>1</v>
      </c>
      <c r="F178" s="644"/>
      <c r="G178" s="24">
        <f t="shared" si="30"/>
        <v>1</v>
      </c>
      <c r="H178" s="644"/>
      <c r="I178" s="24">
        <f t="shared" si="31"/>
        <v>1</v>
      </c>
      <c r="J178" s="644"/>
      <c r="K178" s="24">
        <f t="shared" si="32"/>
        <v>1</v>
      </c>
      <c r="L178" s="644"/>
      <c r="M178" s="24">
        <f t="shared" si="33"/>
        <v>1</v>
      </c>
      <c r="N178" s="644"/>
      <c r="O178" s="24">
        <f t="shared" si="34"/>
        <v>1</v>
      </c>
      <c r="P178" s="644"/>
      <c r="Q178" s="24">
        <f t="shared" si="35"/>
        <v>1</v>
      </c>
      <c r="R178" s="24">
        <f t="shared" si="36"/>
        <v>0</v>
      </c>
      <c r="S178" s="314">
        <f t="shared" si="27"/>
        <v>0</v>
      </c>
    </row>
    <row r="179" spans="1:19">
      <c r="A179" s="147"/>
      <c r="B179" s="55"/>
      <c r="C179" s="24">
        <f t="shared" si="28"/>
        <v>1</v>
      </c>
      <c r="D179" s="644"/>
      <c r="E179" s="24">
        <f t="shared" si="29"/>
        <v>1</v>
      </c>
      <c r="F179" s="644"/>
      <c r="G179" s="24">
        <f t="shared" si="30"/>
        <v>1</v>
      </c>
      <c r="H179" s="644"/>
      <c r="I179" s="24">
        <f t="shared" si="31"/>
        <v>1</v>
      </c>
      <c r="J179" s="644"/>
      <c r="K179" s="24">
        <f t="shared" si="32"/>
        <v>1</v>
      </c>
      <c r="L179" s="644"/>
      <c r="M179" s="24">
        <f t="shared" si="33"/>
        <v>1</v>
      </c>
      <c r="N179" s="644"/>
      <c r="O179" s="24">
        <f t="shared" si="34"/>
        <v>1</v>
      </c>
      <c r="P179" s="644"/>
      <c r="Q179" s="24">
        <f t="shared" si="35"/>
        <v>1</v>
      </c>
      <c r="R179" s="24">
        <f t="shared" si="36"/>
        <v>0</v>
      </c>
      <c r="S179" s="314">
        <f t="shared" si="27"/>
        <v>0</v>
      </c>
    </row>
    <row r="180" spans="1:19">
      <c r="A180" s="147"/>
      <c r="B180" s="55"/>
      <c r="C180" s="24">
        <f t="shared" si="28"/>
        <v>1</v>
      </c>
      <c r="D180" s="644"/>
      <c r="E180" s="24">
        <f t="shared" si="29"/>
        <v>1</v>
      </c>
      <c r="F180" s="644"/>
      <c r="G180" s="24">
        <f t="shared" si="30"/>
        <v>1</v>
      </c>
      <c r="H180" s="644"/>
      <c r="I180" s="24">
        <f t="shared" si="31"/>
        <v>1</v>
      </c>
      <c r="J180" s="644"/>
      <c r="K180" s="24">
        <f t="shared" si="32"/>
        <v>1</v>
      </c>
      <c r="L180" s="644"/>
      <c r="M180" s="24">
        <f t="shared" si="33"/>
        <v>1</v>
      </c>
      <c r="N180" s="644"/>
      <c r="O180" s="24">
        <f t="shared" si="34"/>
        <v>1</v>
      </c>
      <c r="P180" s="644"/>
      <c r="Q180" s="24">
        <f t="shared" si="35"/>
        <v>1</v>
      </c>
      <c r="R180" s="24">
        <f t="shared" si="36"/>
        <v>0</v>
      </c>
      <c r="S180" s="314">
        <f t="shared" si="27"/>
        <v>0</v>
      </c>
    </row>
    <row r="181" spans="1:19">
      <c r="A181" s="147"/>
      <c r="B181" s="55"/>
      <c r="C181" s="24">
        <f t="shared" si="28"/>
        <v>1</v>
      </c>
      <c r="D181" s="644"/>
      <c r="E181" s="24">
        <f t="shared" si="29"/>
        <v>1</v>
      </c>
      <c r="F181" s="644"/>
      <c r="G181" s="24">
        <f t="shared" si="30"/>
        <v>1</v>
      </c>
      <c r="H181" s="644"/>
      <c r="I181" s="24">
        <f t="shared" si="31"/>
        <v>1</v>
      </c>
      <c r="J181" s="644"/>
      <c r="K181" s="24">
        <f t="shared" si="32"/>
        <v>1</v>
      </c>
      <c r="L181" s="644"/>
      <c r="M181" s="24">
        <f t="shared" si="33"/>
        <v>1</v>
      </c>
      <c r="N181" s="644"/>
      <c r="O181" s="24">
        <f t="shared" si="34"/>
        <v>1</v>
      </c>
      <c r="P181" s="644"/>
      <c r="Q181" s="24">
        <f t="shared" si="35"/>
        <v>1</v>
      </c>
      <c r="R181" s="24">
        <f t="shared" si="36"/>
        <v>0</v>
      </c>
      <c r="S181" s="314">
        <f t="shared" si="27"/>
        <v>0</v>
      </c>
    </row>
    <row r="182" spans="1:19">
      <c r="A182" s="147"/>
      <c r="B182" s="55"/>
      <c r="C182" s="24">
        <f t="shared" si="28"/>
        <v>1</v>
      </c>
      <c r="D182" s="644"/>
      <c r="E182" s="24">
        <f t="shared" si="29"/>
        <v>1</v>
      </c>
      <c r="F182" s="644"/>
      <c r="G182" s="24">
        <f t="shared" si="30"/>
        <v>1</v>
      </c>
      <c r="H182" s="644"/>
      <c r="I182" s="24">
        <f t="shared" si="31"/>
        <v>1</v>
      </c>
      <c r="J182" s="644"/>
      <c r="K182" s="24">
        <f t="shared" si="32"/>
        <v>1</v>
      </c>
      <c r="L182" s="644"/>
      <c r="M182" s="24">
        <f t="shared" si="33"/>
        <v>1</v>
      </c>
      <c r="N182" s="644"/>
      <c r="O182" s="24">
        <f t="shared" si="34"/>
        <v>1</v>
      </c>
      <c r="P182" s="644"/>
      <c r="Q182" s="24">
        <f t="shared" si="35"/>
        <v>1</v>
      </c>
      <c r="R182" s="24">
        <f t="shared" si="36"/>
        <v>0</v>
      </c>
      <c r="S182" s="314">
        <f t="shared" si="27"/>
        <v>0</v>
      </c>
    </row>
    <row r="183" spans="1:19">
      <c r="A183" s="147"/>
      <c r="B183" s="55"/>
      <c r="C183" s="24">
        <f t="shared" si="28"/>
        <v>1</v>
      </c>
      <c r="D183" s="644"/>
      <c r="E183" s="24">
        <f t="shared" si="29"/>
        <v>1</v>
      </c>
      <c r="F183" s="644"/>
      <c r="G183" s="24">
        <f t="shared" si="30"/>
        <v>1</v>
      </c>
      <c r="H183" s="644"/>
      <c r="I183" s="24">
        <f t="shared" si="31"/>
        <v>1</v>
      </c>
      <c r="J183" s="644"/>
      <c r="K183" s="24">
        <f t="shared" si="32"/>
        <v>1</v>
      </c>
      <c r="L183" s="644"/>
      <c r="M183" s="24">
        <f t="shared" si="33"/>
        <v>1</v>
      </c>
      <c r="N183" s="644"/>
      <c r="O183" s="24">
        <f t="shared" si="34"/>
        <v>1</v>
      </c>
      <c r="P183" s="644"/>
      <c r="Q183" s="24">
        <f t="shared" si="35"/>
        <v>1</v>
      </c>
      <c r="R183" s="24">
        <f t="shared" si="36"/>
        <v>0</v>
      </c>
      <c r="S183" s="314">
        <f t="shared" si="27"/>
        <v>0</v>
      </c>
    </row>
    <row r="184" spans="1:19">
      <c r="A184" s="147"/>
      <c r="B184" s="55"/>
      <c r="C184" s="24">
        <f t="shared" si="28"/>
        <v>1</v>
      </c>
      <c r="D184" s="644"/>
      <c r="E184" s="24">
        <f t="shared" si="29"/>
        <v>1</v>
      </c>
      <c r="F184" s="644"/>
      <c r="G184" s="24">
        <f t="shared" si="30"/>
        <v>1</v>
      </c>
      <c r="H184" s="644"/>
      <c r="I184" s="24">
        <f t="shared" si="31"/>
        <v>1</v>
      </c>
      <c r="J184" s="644"/>
      <c r="K184" s="24">
        <f t="shared" si="32"/>
        <v>1</v>
      </c>
      <c r="L184" s="644"/>
      <c r="M184" s="24">
        <f t="shared" si="33"/>
        <v>1</v>
      </c>
      <c r="N184" s="644"/>
      <c r="O184" s="24">
        <f t="shared" si="34"/>
        <v>1</v>
      </c>
      <c r="P184" s="644"/>
      <c r="Q184" s="24">
        <f t="shared" si="35"/>
        <v>1</v>
      </c>
      <c r="R184" s="24">
        <f t="shared" si="36"/>
        <v>0</v>
      </c>
      <c r="S184" s="314">
        <f t="shared" si="27"/>
        <v>0</v>
      </c>
    </row>
    <row r="185" spans="1:19">
      <c r="A185" s="147"/>
      <c r="B185" s="55"/>
      <c r="C185" s="24">
        <f t="shared" si="28"/>
        <v>1</v>
      </c>
      <c r="D185" s="644"/>
      <c r="E185" s="24">
        <f t="shared" si="29"/>
        <v>1</v>
      </c>
      <c r="F185" s="644"/>
      <c r="G185" s="24">
        <f t="shared" si="30"/>
        <v>1</v>
      </c>
      <c r="H185" s="644"/>
      <c r="I185" s="24">
        <f t="shared" si="31"/>
        <v>1</v>
      </c>
      <c r="J185" s="644"/>
      <c r="K185" s="24">
        <f t="shared" si="32"/>
        <v>1</v>
      </c>
      <c r="L185" s="644"/>
      <c r="M185" s="24">
        <f t="shared" si="33"/>
        <v>1</v>
      </c>
      <c r="N185" s="644"/>
      <c r="O185" s="24">
        <f t="shared" si="34"/>
        <v>1</v>
      </c>
      <c r="P185" s="644"/>
      <c r="Q185" s="24">
        <f t="shared" si="35"/>
        <v>1</v>
      </c>
      <c r="R185" s="24">
        <f t="shared" si="36"/>
        <v>0</v>
      </c>
      <c r="S185" s="314">
        <f t="shared" si="27"/>
        <v>0</v>
      </c>
    </row>
    <row r="186" spans="1:19">
      <c r="A186" s="147"/>
      <c r="B186" s="55"/>
      <c r="C186" s="24">
        <f t="shared" si="28"/>
        <v>1</v>
      </c>
      <c r="D186" s="644"/>
      <c r="E186" s="24">
        <f t="shared" si="29"/>
        <v>1</v>
      </c>
      <c r="F186" s="644"/>
      <c r="G186" s="24">
        <f t="shared" si="30"/>
        <v>1</v>
      </c>
      <c r="H186" s="644"/>
      <c r="I186" s="24">
        <f t="shared" si="31"/>
        <v>1</v>
      </c>
      <c r="J186" s="644"/>
      <c r="K186" s="24">
        <f t="shared" si="32"/>
        <v>1</v>
      </c>
      <c r="L186" s="644"/>
      <c r="M186" s="24">
        <f t="shared" si="33"/>
        <v>1</v>
      </c>
      <c r="N186" s="644"/>
      <c r="O186" s="24">
        <f t="shared" si="34"/>
        <v>1</v>
      </c>
      <c r="P186" s="644"/>
      <c r="Q186" s="24">
        <f t="shared" si="35"/>
        <v>1</v>
      </c>
      <c r="R186" s="24">
        <f t="shared" si="36"/>
        <v>0</v>
      </c>
      <c r="S186" s="314">
        <f t="shared" si="27"/>
        <v>0</v>
      </c>
    </row>
    <row r="187" spans="1:19">
      <c r="A187" s="147"/>
      <c r="B187" s="55"/>
      <c r="C187" s="24">
        <f t="shared" si="28"/>
        <v>1</v>
      </c>
      <c r="D187" s="644"/>
      <c r="E187" s="24">
        <f t="shared" si="29"/>
        <v>1</v>
      </c>
      <c r="F187" s="644"/>
      <c r="G187" s="24">
        <f t="shared" si="30"/>
        <v>1</v>
      </c>
      <c r="H187" s="644"/>
      <c r="I187" s="24">
        <f t="shared" si="31"/>
        <v>1</v>
      </c>
      <c r="J187" s="644"/>
      <c r="K187" s="24">
        <f t="shared" si="32"/>
        <v>1</v>
      </c>
      <c r="L187" s="644"/>
      <c r="M187" s="24">
        <f t="shared" si="33"/>
        <v>1</v>
      </c>
      <c r="N187" s="644"/>
      <c r="O187" s="24">
        <f t="shared" si="34"/>
        <v>1</v>
      </c>
      <c r="P187" s="644"/>
      <c r="Q187" s="24">
        <f t="shared" si="35"/>
        <v>1</v>
      </c>
      <c r="R187" s="24">
        <f t="shared" si="36"/>
        <v>0</v>
      </c>
      <c r="S187" s="314">
        <f t="shared" ref="S187:S222" si="37">ROUND(R187*B187/10000,0)</f>
        <v>0</v>
      </c>
    </row>
    <row r="188" spans="1:19">
      <c r="A188" s="147"/>
      <c r="B188" s="55"/>
      <c r="C188" s="24">
        <f t="shared" si="28"/>
        <v>1</v>
      </c>
      <c r="D188" s="644"/>
      <c r="E188" s="24">
        <f t="shared" si="29"/>
        <v>1</v>
      </c>
      <c r="F188" s="644"/>
      <c r="G188" s="24">
        <f t="shared" si="30"/>
        <v>1</v>
      </c>
      <c r="H188" s="644"/>
      <c r="I188" s="24">
        <f t="shared" si="31"/>
        <v>1</v>
      </c>
      <c r="J188" s="644"/>
      <c r="K188" s="24">
        <f t="shared" si="32"/>
        <v>1</v>
      </c>
      <c r="L188" s="644"/>
      <c r="M188" s="24">
        <f t="shared" si="33"/>
        <v>1</v>
      </c>
      <c r="N188" s="644"/>
      <c r="O188" s="24">
        <f t="shared" si="34"/>
        <v>1</v>
      </c>
      <c r="P188" s="644"/>
      <c r="Q188" s="24">
        <f t="shared" si="35"/>
        <v>1</v>
      </c>
      <c r="R188" s="24">
        <f t="shared" si="36"/>
        <v>0</v>
      </c>
      <c r="S188" s="314">
        <f t="shared" si="37"/>
        <v>0</v>
      </c>
    </row>
    <row r="189" spans="1:19">
      <c r="A189" s="147"/>
      <c r="B189" s="55"/>
      <c r="C189" s="24">
        <f t="shared" si="28"/>
        <v>1</v>
      </c>
      <c r="D189" s="644"/>
      <c r="E189" s="24">
        <f t="shared" si="29"/>
        <v>1</v>
      </c>
      <c r="F189" s="644"/>
      <c r="G189" s="24">
        <f t="shared" si="30"/>
        <v>1</v>
      </c>
      <c r="H189" s="644"/>
      <c r="I189" s="24">
        <f t="shared" si="31"/>
        <v>1</v>
      </c>
      <c r="J189" s="644"/>
      <c r="K189" s="24">
        <f t="shared" si="32"/>
        <v>1</v>
      </c>
      <c r="L189" s="644"/>
      <c r="M189" s="24">
        <f t="shared" si="33"/>
        <v>1</v>
      </c>
      <c r="N189" s="644"/>
      <c r="O189" s="24">
        <f t="shared" si="34"/>
        <v>1</v>
      </c>
      <c r="P189" s="644"/>
      <c r="Q189" s="24">
        <f t="shared" si="35"/>
        <v>1</v>
      </c>
      <c r="R189" s="24">
        <f t="shared" si="36"/>
        <v>0</v>
      </c>
      <c r="S189" s="314">
        <f t="shared" si="37"/>
        <v>0</v>
      </c>
    </row>
    <row r="190" spans="1:19">
      <c r="A190" s="147"/>
      <c r="B190" s="55"/>
      <c r="C190" s="24">
        <f t="shared" si="28"/>
        <v>1</v>
      </c>
      <c r="D190" s="644"/>
      <c r="E190" s="24">
        <f t="shared" si="29"/>
        <v>1</v>
      </c>
      <c r="F190" s="644"/>
      <c r="G190" s="24">
        <f t="shared" si="30"/>
        <v>1</v>
      </c>
      <c r="H190" s="644"/>
      <c r="I190" s="24">
        <f t="shared" si="31"/>
        <v>1</v>
      </c>
      <c r="J190" s="644"/>
      <c r="K190" s="24">
        <f t="shared" si="32"/>
        <v>1</v>
      </c>
      <c r="L190" s="644"/>
      <c r="M190" s="24">
        <f t="shared" si="33"/>
        <v>1</v>
      </c>
      <c r="N190" s="644"/>
      <c r="O190" s="24">
        <f t="shared" si="34"/>
        <v>1</v>
      </c>
      <c r="P190" s="644"/>
      <c r="Q190" s="24">
        <f t="shared" si="35"/>
        <v>1</v>
      </c>
      <c r="R190" s="24">
        <f t="shared" si="36"/>
        <v>0</v>
      </c>
      <c r="S190" s="314">
        <f t="shared" si="37"/>
        <v>0</v>
      </c>
    </row>
    <row r="191" spans="1:19">
      <c r="A191" s="147"/>
      <c r="B191" s="55"/>
      <c r="C191" s="24">
        <f t="shared" si="28"/>
        <v>1</v>
      </c>
      <c r="D191" s="644"/>
      <c r="E191" s="24">
        <f t="shared" si="29"/>
        <v>1</v>
      </c>
      <c r="F191" s="644"/>
      <c r="G191" s="24">
        <f t="shared" si="30"/>
        <v>1</v>
      </c>
      <c r="H191" s="644"/>
      <c r="I191" s="24">
        <f t="shared" si="31"/>
        <v>1</v>
      </c>
      <c r="J191" s="644"/>
      <c r="K191" s="24">
        <f t="shared" si="32"/>
        <v>1</v>
      </c>
      <c r="L191" s="644"/>
      <c r="M191" s="24">
        <f t="shared" si="33"/>
        <v>1</v>
      </c>
      <c r="N191" s="644"/>
      <c r="O191" s="24">
        <f t="shared" si="34"/>
        <v>1</v>
      </c>
      <c r="P191" s="644"/>
      <c r="Q191" s="24">
        <f t="shared" si="35"/>
        <v>1</v>
      </c>
      <c r="R191" s="24">
        <f t="shared" si="36"/>
        <v>0</v>
      </c>
      <c r="S191" s="314">
        <f t="shared" si="37"/>
        <v>0</v>
      </c>
    </row>
    <row r="192" spans="1:19">
      <c r="A192" s="147"/>
      <c r="B192" s="55"/>
      <c r="C192" s="24">
        <f t="shared" si="28"/>
        <v>1</v>
      </c>
      <c r="D192" s="644"/>
      <c r="E192" s="24">
        <f t="shared" si="29"/>
        <v>1</v>
      </c>
      <c r="F192" s="644"/>
      <c r="G192" s="24">
        <f t="shared" si="30"/>
        <v>1</v>
      </c>
      <c r="H192" s="644"/>
      <c r="I192" s="24">
        <f t="shared" si="31"/>
        <v>1</v>
      </c>
      <c r="J192" s="644"/>
      <c r="K192" s="24">
        <f t="shared" si="32"/>
        <v>1</v>
      </c>
      <c r="L192" s="644"/>
      <c r="M192" s="24">
        <f t="shared" si="33"/>
        <v>1</v>
      </c>
      <c r="N192" s="644"/>
      <c r="O192" s="24">
        <f t="shared" si="34"/>
        <v>1</v>
      </c>
      <c r="P192" s="644"/>
      <c r="Q192" s="24">
        <f t="shared" si="35"/>
        <v>1</v>
      </c>
      <c r="R192" s="24">
        <f t="shared" si="36"/>
        <v>0</v>
      </c>
      <c r="S192" s="314">
        <f t="shared" si="37"/>
        <v>0</v>
      </c>
    </row>
    <row r="193" spans="1:19">
      <c r="A193" s="147"/>
      <c r="B193" s="55"/>
      <c r="C193" s="24">
        <f t="shared" si="28"/>
        <v>1</v>
      </c>
      <c r="D193" s="644"/>
      <c r="E193" s="24">
        <f t="shared" si="29"/>
        <v>1</v>
      </c>
      <c r="F193" s="644"/>
      <c r="G193" s="24">
        <f t="shared" si="30"/>
        <v>1</v>
      </c>
      <c r="H193" s="644"/>
      <c r="I193" s="24">
        <f t="shared" si="31"/>
        <v>1</v>
      </c>
      <c r="J193" s="644"/>
      <c r="K193" s="24">
        <f t="shared" si="32"/>
        <v>1</v>
      </c>
      <c r="L193" s="644"/>
      <c r="M193" s="24">
        <f t="shared" si="33"/>
        <v>1</v>
      </c>
      <c r="N193" s="644"/>
      <c r="O193" s="24">
        <f t="shared" si="34"/>
        <v>1</v>
      </c>
      <c r="P193" s="644"/>
      <c r="Q193" s="24">
        <f t="shared" si="35"/>
        <v>1</v>
      </c>
      <c r="R193" s="24">
        <f t="shared" si="36"/>
        <v>0</v>
      </c>
      <c r="S193" s="314">
        <f t="shared" si="37"/>
        <v>0</v>
      </c>
    </row>
    <row r="194" spans="1:19">
      <c r="A194" s="147"/>
      <c r="B194" s="55"/>
      <c r="C194" s="24">
        <f t="shared" si="28"/>
        <v>1</v>
      </c>
      <c r="D194" s="644"/>
      <c r="E194" s="24">
        <f t="shared" si="29"/>
        <v>1</v>
      </c>
      <c r="F194" s="644"/>
      <c r="G194" s="24">
        <f t="shared" si="30"/>
        <v>1</v>
      </c>
      <c r="H194" s="644"/>
      <c r="I194" s="24">
        <f t="shared" si="31"/>
        <v>1</v>
      </c>
      <c r="J194" s="644"/>
      <c r="K194" s="24">
        <f t="shared" si="32"/>
        <v>1</v>
      </c>
      <c r="L194" s="644"/>
      <c r="M194" s="24">
        <f t="shared" si="33"/>
        <v>1</v>
      </c>
      <c r="N194" s="644"/>
      <c r="O194" s="24">
        <f t="shared" si="34"/>
        <v>1</v>
      </c>
      <c r="P194" s="644"/>
      <c r="Q194" s="24">
        <f t="shared" si="35"/>
        <v>1</v>
      </c>
      <c r="R194" s="24">
        <f t="shared" si="36"/>
        <v>0</v>
      </c>
      <c r="S194" s="314">
        <f t="shared" si="37"/>
        <v>0</v>
      </c>
    </row>
    <row r="195" spans="1:19">
      <c r="A195" s="147"/>
      <c r="B195" s="55"/>
      <c r="C195" s="24">
        <f t="shared" si="28"/>
        <v>1</v>
      </c>
      <c r="D195" s="644"/>
      <c r="E195" s="24">
        <f t="shared" si="29"/>
        <v>1</v>
      </c>
      <c r="F195" s="644"/>
      <c r="G195" s="24">
        <f t="shared" si="30"/>
        <v>1</v>
      </c>
      <c r="H195" s="644"/>
      <c r="I195" s="24">
        <f t="shared" si="31"/>
        <v>1</v>
      </c>
      <c r="J195" s="644"/>
      <c r="K195" s="24">
        <f t="shared" si="32"/>
        <v>1</v>
      </c>
      <c r="L195" s="644"/>
      <c r="M195" s="24">
        <f t="shared" si="33"/>
        <v>1</v>
      </c>
      <c r="N195" s="644"/>
      <c r="O195" s="24">
        <f t="shared" si="34"/>
        <v>1</v>
      </c>
      <c r="P195" s="644"/>
      <c r="Q195" s="24">
        <f t="shared" si="35"/>
        <v>1</v>
      </c>
      <c r="R195" s="24">
        <f t="shared" si="36"/>
        <v>0</v>
      </c>
      <c r="S195" s="314">
        <f t="shared" si="37"/>
        <v>0</v>
      </c>
    </row>
    <row r="196" spans="1:19">
      <c r="A196" s="147"/>
      <c r="B196" s="55"/>
      <c r="C196" s="24">
        <f t="shared" si="28"/>
        <v>1</v>
      </c>
      <c r="D196" s="644"/>
      <c r="E196" s="24">
        <f t="shared" si="29"/>
        <v>1</v>
      </c>
      <c r="F196" s="644"/>
      <c r="G196" s="24">
        <f t="shared" si="30"/>
        <v>1</v>
      </c>
      <c r="H196" s="644"/>
      <c r="I196" s="24">
        <f t="shared" si="31"/>
        <v>1</v>
      </c>
      <c r="J196" s="644"/>
      <c r="K196" s="24">
        <f t="shared" si="32"/>
        <v>1</v>
      </c>
      <c r="L196" s="644"/>
      <c r="M196" s="24">
        <f t="shared" si="33"/>
        <v>1</v>
      </c>
      <c r="N196" s="644"/>
      <c r="O196" s="24">
        <f t="shared" si="34"/>
        <v>1</v>
      </c>
      <c r="P196" s="644"/>
      <c r="Q196" s="24">
        <f t="shared" si="35"/>
        <v>1</v>
      </c>
      <c r="R196" s="24">
        <f t="shared" si="36"/>
        <v>0</v>
      </c>
      <c r="S196" s="314">
        <f t="shared" si="37"/>
        <v>0</v>
      </c>
    </row>
    <row r="197" spans="1:19">
      <c r="A197" s="147"/>
      <c r="B197" s="55"/>
      <c r="C197" s="24">
        <f t="shared" si="28"/>
        <v>1</v>
      </c>
      <c r="D197" s="644"/>
      <c r="E197" s="24">
        <f t="shared" si="29"/>
        <v>1</v>
      </c>
      <c r="F197" s="644"/>
      <c r="G197" s="24">
        <f t="shared" si="30"/>
        <v>1</v>
      </c>
      <c r="H197" s="644"/>
      <c r="I197" s="24">
        <f t="shared" si="31"/>
        <v>1</v>
      </c>
      <c r="J197" s="644"/>
      <c r="K197" s="24">
        <f t="shared" si="32"/>
        <v>1</v>
      </c>
      <c r="L197" s="644"/>
      <c r="M197" s="24">
        <f t="shared" si="33"/>
        <v>1</v>
      </c>
      <c r="N197" s="644"/>
      <c r="O197" s="24">
        <f t="shared" si="34"/>
        <v>1</v>
      </c>
      <c r="P197" s="644"/>
      <c r="Q197" s="24">
        <f t="shared" si="35"/>
        <v>1</v>
      </c>
      <c r="R197" s="24">
        <f t="shared" si="36"/>
        <v>0</v>
      </c>
      <c r="S197" s="314">
        <f t="shared" si="37"/>
        <v>0</v>
      </c>
    </row>
    <row r="198" spans="1:19">
      <c r="A198" s="147"/>
      <c r="B198" s="55"/>
      <c r="C198" s="24">
        <f t="shared" si="28"/>
        <v>1</v>
      </c>
      <c r="D198" s="644"/>
      <c r="E198" s="24">
        <f t="shared" si="29"/>
        <v>1</v>
      </c>
      <c r="F198" s="644"/>
      <c r="G198" s="24">
        <f t="shared" si="30"/>
        <v>1</v>
      </c>
      <c r="H198" s="644"/>
      <c r="I198" s="24">
        <f t="shared" si="31"/>
        <v>1</v>
      </c>
      <c r="J198" s="644"/>
      <c r="K198" s="24">
        <f t="shared" si="32"/>
        <v>1</v>
      </c>
      <c r="L198" s="644"/>
      <c r="M198" s="24">
        <f t="shared" si="33"/>
        <v>1</v>
      </c>
      <c r="N198" s="644"/>
      <c r="O198" s="24">
        <f t="shared" si="34"/>
        <v>1</v>
      </c>
      <c r="P198" s="644"/>
      <c r="Q198" s="24">
        <f t="shared" si="35"/>
        <v>1</v>
      </c>
      <c r="R198" s="24">
        <f t="shared" si="36"/>
        <v>0</v>
      </c>
      <c r="S198" s="314">
        <f t="shared" si="37"/>
        <v>0</v>
      </c>
    </row>
    <row r="199" spans="1:19">
      <c r="A199" s="147"/>
      <c r="B199" s="55"/>
      <c r="C199" s="24">
        <f t="shared" si="28"/>
        <v>1</v>
      </c>
      <c r="D199" s="644"/>
      <c r="E199" s="24">
        <f t="shared" si="29"/>
        <v>1</v>
      </c>
      <c r="F199" s="644"/>
      <c r="G199" s="24">
        <f t="shared" si="30"/>
        <v>1</v>
      </c>
      <c r="H199" s="644"/>
      <c r="I199" s="24">
        <f t="shared" si="31"/>
        <v>1</v>
      </c>
      <c r="J199" s="644"/>
      <c r="K199" s="24">
        <f t="shared" si="32"/>
        <v>1</v>
      </c>
      <c r="L199" s="644"/>
      <c r="M199" s="24">
        <f t="shared" si="33"/>
        <v>1</v>
      </c>
      <c r="N199" s="644"/>
      <c r="O199" s="24">
        <f t="shared" si="34"/>
        <v>1</v>
      </c>
      <c r="P199" s="644"/>
      <c r="Q199" s="24">
        <f t="shared" si="35"/>
        <v>1</v>
      </c>
      <c r="R199" s="24">
        <f t="shared" si="36"/>
        <v>0</v>
      </c>
      <c r="S199" s="314">
        <f t="shared" si="37"/>
        <v>0</v>
      </c>
    </row>
    <row r="200" spans="1:19">
      <c r="A200" s="147"/>
      <c r="B200" s="55"/>
      <c r="C200" s="24">
        <f t="shared" si="28"/>
        <v>1</v>
      </c>
      <c r="D200" s="644"/>
      <c r="E200" s="24">
        <f t="shared" si="29"/>
        <v>1</v>
      </c>
      <c r="F200" s="644"/>
      <c r="G200" s="24">
        <f t="shared" si="30"/>
        <v>1</v>
      </c>
      <c r="H200" s="644"/>
      <c r="I200" s="24">
        <f t="shared" si="31"/>
        <v>1</v>
      </c>
      <c r="J200" s="644"/>
      <c r="K200" s="24">
        <f t="shared" si="32"/>
        <v>1</v>
      </c>
      <c r="L200" s="644"/>
      <c r="M200" s="24">
        <f t="shared" si="33"/>
        <v>1</v>
      </c>
      <c r="N200" s="644"/>
      <c r="O200" s="24">
        <f t="shared" si="34"/>
        <v>1</v>
      </c>
      <c r="P200" s="644"/>
      <c r="Q200" s="24">
        <f t="shared" si="35"/>
        <v>1</v>
      </c>
      <c r="R200" s="24">
        <f t="shared" si="36"/>
        <v>0</v>
      </c>
      <c r="S200" s="314">
        <f t="shared" si="37"/>
        <v>0</v>
      </c>
    </row>
    <row r="201" spans="1:19">
      <c r="A201" s="147"/>
      <c r="B201" s="55"/>
      <c r="C201" s="24">
        <f t="shared" si="28"/>
        <v>1</v>
      </c>
      <c r="D201" s="644"/>
      <c r="E201" s="24">
        <f t="shared" si="29"/>
        <v>1</v>
      </c>
      <c r="F201" s="644"/>
      <c r="G201" s="24">
        <f t="shared" si="30"/>
        <v>1</v>
      </c>
      <c r="H201" s="644"/>
      <c r="I201" s="24">
        <f t="shared" si="31"/>
        <v>1</v>
      </c>
      <c r="J201" s="644"/>
      <c r="K201" s="24">
        <f t="shared" si="32"/>
        <v>1</v>
      </c>
      <c r="L201" s="644"/>
      <c r="M201" s="24">
        <f t="shared" si="33"/>
        <v>1</v>
      </c>
      <c r="N201" s="644"/>
      <c r="O201" s="24">
        <f t="shared" si="34"/>
        <v>1</v>
      </c>
      <c r="P201" s="644"/>
      <c r="Q201" s="24">
        <f t="shared" si="35"/>
        <v>1</v>
      </c>
      <c r="R201" s="24">
        <f t="shared" si="36"/>
        <v>0</v>
      </c>
      <c r="S201" s="314">
        <f t="shared" si="37"/>
        <v>0</v>
      </c>
    </row>
    <row r="202" spans="1:19">
      <c r="A202" s="147"/>
      <c r="B202" s="55"/>
      <c r="C202" s="24">
        <f t="shared" si="28"/>
        <v>1</v>
      </c>
      <c r="D202" s="644"/>
      <c r="E202" s="24">
        <f t="shared" si="29"/>
        <v>1</v>
      </c>
      <c r="F202" s="644"/>
      <c r="G202" s="24">
        <f t="shared" si="30"/>
        <v>1</v>
      </c>
      <c r="H202" s="644"/>
      <c r="I202" s="24">
        <f t="shared" si="31"/>
        <v>1</v>
      </c>
      <c r="J202" s="644"/>
      <c r="K202" s="24">
        <f t="shared" si="32"/>
        <v>1</v>
      </c>
      <c r="L202" s="644"/>
      <c r="M202" s="24">
        <f t="shared" si="33"/>
        <v>1</v>
      </c>
      <c r="N202" s="644"/>
      <c r="O202" s="24">
        <f t="shared" si="34"/>
        <v>1</v>
      </c>
      <c r="P202" s="644"/>
      <c r="Q202" s="24">
        <f t="shared" si="35"/>
        <v>1</v>
      </c>
      <c r="R202" s="24">
        <f t="shared" si="36"/>
        <v>0</v>
      </c>
      <c r="S202" s="314">
        <f t="shared" si="37"/>
        <v>0</v>
      </c>
    </row>
    <row r="203" spans="1:19">
      <c r="A203" s="147"/>
      <c r="B203" s="55"/>
      <c r="C203" s="24">
        <f t="shared" si="28"/>
        <v>1</v>
      </c>
      <c r="D203" s="644"/>
      <c r="E203" s="24">
        <f t="shared" si="29"/>
        <v>1</v>
      </c>
      <c r="F203" s="644"/>
      <c r="G203" s="24">
        <f t="shared" si="30"/>
        <v>1</v>
      </c>
      <c r="H203" s="644"/>
      <c r="I203" s="24">
        <f t="shared" si="31"/>
        <v>1</v>
      </c>
      <c r="J203" s="644"/>
      <c r="K203" s="24">
        <f t="shared" si="32"/>
        <v>1</v>
      </c>
      <c r="L203" s="644"/>
      <c r="M203" s="24">
        <f t="shared" si="33"/>
        <v>1</v>
      </c>
      <c r="N203" s="644"/>
      <c r="O203" s="24">
        <f t="shared" si="34"/>
        <v>1</v>
      </c>
      <c r="P203" s="644"/>
      <c r="Q203" s="24">
        <f t="shared" si="35"/>
        <v>1</v>
      </c>
      <c r="R203" s="24">
        <f t="shared" si="36"/>
        <v>0</v>
      </c>
      <c r="S203" s="314">
        <f t="shared" si="37"/>
        <v>0</v>
      </c>
    </row>
    <row r="204" spans="1:19">
      <c r="A204" s="147"/>
      <c r="B204" s="55"/>
      <c r="C204" s="24">
        <f t="shared" si="28"/>
        <v>1</v>
      </c>
      <c r="D204" s="644"/>
      <c r="E204" s="24">
        <f t="shared" si="29"/>
        <v>1</v>
      </c>
      <c r="F204" s="644"/>
      <c r="G204" s="24">
        <f t="shared" si="30"/>
        <v>1</v>
      </c>
      <c r="H204" s="644"/>
      <c r="I204" s="24">
        <f t="shared" si="31"/>
        <v>1</v>
      </c>
      <c r="J204" s="644"/>
      <c r="K204" s="24">
        <f t="shared" si="32"/>
        <v>1</v>
      </c>
      <c r="L204" s="644"/>
      <c r="M204" s="24">
        <f t="shared" si="33"/>
        <v>1</v>
      </c>
      <c r="N204" s="644"/>
      <c r="O204" s="24">
        <f t="shared" si="34"/>
        <v>1</v>
      </c>
      <c r="P204" s="644"/>
      <c r="Q204" s="24">
        <f t="shared" si="35"/>
        <v>1</v>
      </c>
      <c r="R204" s="24">
        <f t="shared" si="36"/>
        <v>0</v>
      </c>
      <c r="S204" s="314">
        <f t="shared" si="37"/>
        <v>0</v>
      </c>
    </row>
    <row r="205" spans="1:19">
      <c r="A205" s="147"/>
      <c r="B205" s="55"/>
      <c r="C205" s="24">
        <f t="shared" si="28"/>
        <v>1</v>
      </c>
      <c r="D205" s="644"/>
      <c r="E205" s="24">
        <f t="shared" si="29"/>
        <v>1</v>
      </c>
      <c r="F205" s="644"/>
      <c r="G205" s="24">
        <f t="shared" si="30"/>
        <v>1</v>
      </c>
      <c r="H205" s="644"/>
      <c r="I205" s="24">
        <f t="shared" si="31"/>
        <v>1</v>
      </c>
      <c r="J205" s="644"/>
      <c r="K205" s="24">
        <f t="shared" si="32"/>
        <v>1</v>
      </c>
      <c r="L205" s="644"/>
      <c r="M205" s="24">
        <f t="shared" si="33"/>
        <v>1</v>
      </c>
      <c r="N205" s="644"/>
      <c r="O205" s="24">
        <f t="shared" si="34"/>
        <v>1</v>
      </c>
      <c r="P205" s="644"/>
      <c r="Q205" s="24">
        <f t="shared" si="35"/>
        <v>1</v>
      </c>
      <c r="R205" s="24">
        <f t="shared" si="36"/>
        <v>0</v>
      </c>
      <c r="S205" s="314">
        <f t="shared" si="37"/>
        <v>0</v>
      </c>
    </row>
    <row r="206" spans="1:19">
      <c r="A206" s="147"/>
      <c r="B206" s="55"/>
      <c r="C206" s="24">
        <f t="shared" si="28"/>
        <v>1</v>
      </c>
      <c r="D206" s="644"/>
      <c r="E206" s="24">
        <f t="shared" si="29"/>
        <v>1</v>
      </c>
      <c r="F206" s="644"/>
      <c r="G206" s="24">
        <f t="shared" si="30"/>
        <v>1</v>
      </c>
      <c r="H206" s="644"/>
      <c r="I206" s="24">
        <f t="shared" si="31"/>
        <v>1</v>
      </c>
      <c r="J206" s="644"/>
      <c r="K206" s="24">
        <f t="shared" si="32"/>
        <v>1</v>
      </c>
      <c r="L206" s="644"/>
      <c r="M206" s="24">
        <f t="shared" si="33"/>
        <v>1</v>
      </c>
      <c r="N206" s="644"/>
      <c r="O206" s="24">
        <f t="shared" si="34"/>
        <v>1</v>
      </c>
      <c r="P206" s="644"/>
      <c r="Q206" s="24">
        <f t="shared" si="35"/>
        <v>1</v>
      </c>
      <c r="R206" s="24">
        <f t="shared" si="36"/>
        <v>0</v>
      </c>
      <c r="S206" s="314">
        <f t="shared" si="37"/>
        <v>0</v>
      </c>
    </row>
    <row r="207" spans="1:19">
      <c r="A207" s="147"/>
      <c r="B207" s="55"/>
      <c r="C207" s="24">
        <f t="shared" si="28"/>
        <v>1</v>
      </c>
      <c r="D207" s="644"/>
      <c r="E207" s="24">
        <f t="shared" si="29"/>
        <v>1</v>
      </c>
      <c r="F207" s="644"/>
      <c r="G207" s="24">
        <f t="shared" si="30"/>
        <v>1</v>
      </c>
      <c r="H207" s="644"/>
      <c r="I207" s="24">
        <f t="shared" si="31"/>
        <v>1</v>
      </c>
      <c r="J207" s="644"/>
      <c r="K207" s="24">
        <f t="shared" si="32"/>
        <v>1</v>
      </c>
      <c r="L207" s="644"/>
      <c r="M207" s="24">
        <f t="shared" si="33"/>
        <v>1</v>
      </c>
      <c r="N207" s="644"/>
      <c r="O207" s="24">
        <f t="shared" si="34"/>
        <v>1</v>
      </c>
      <c r="P207" s="644"/>
      <c r="Q207" s="24">
        <f t="shared" si="35"/>
        <v>1</v>
      </c>
      <c r="R207" s="24">
        <f t="shared" si="36"/>
        <v>0</v>
      </c>
      <c r="S207" s="314">
        <f t="shared" si="37"/>
        <v>0</v>
      </c>
    </row>
    <row r="208" spans="1:19">
      <c r="A208" s="147"/>
      <c r="B208" s="55"/>
      <c r="C208" s="24">
        <f t="shared" si="28"/>
        <v>1</v>
      </c>
      <c r="D208" s="644"/>
      <c r="E208" s="24">
        <f t="shared" si="29"/>
        <v>1</v>
      </c>
      <c r="F208" s="644"/>
      <c r="G208" s="24">
        <f t="shared" si="30"/>
        <v>1</v>
      </c>
      <c r="H208" s="644"/>
      <c r="I208" s="24">
        <f t="shared" si="31"/>
        <v>1</v>
      </c>
      <c r="J208" s="644"/>
      <c r="K208" s="24">
        <f t="shared" si="32"/>
        <v>1</v>
      </c>
      <c r="L208" s="644"/>
      <c r="M208" s="24">
        <f t="shared" si="33"/>
        <v>1</v>
      </c>
      <c r="N208" s="644"/>
      <c r="O208" s="24">
        <f t="shared" si="34"/>
        <v>1</v>
      </c>
      <c r="P208" s="644"/>
      <c r="Q208" s="24">
        <f t="shared" si="35"/>
        <v>1</v>
      </c>
      <c r="R208" s="24">
        <f t="shared" si="36"/>
        <v>0</v>
      </c>
      <c r="S208" s="314">
        <f t="shared" si="37"/>
        <v>0</v>
      </c>
    </row>
    <row r="209" spans="1:19">
      <c r="A209" s="147"/>
      <c r="B209" s="55"/>
      <c r="C209" s="24">
        <f t="shared" si="28"/>
        <v>1</v>
      </c>
      <c r="D209" s="644"/>
      <c r="E209" s="24">
        <f t="shared" si="29"/>
        <v>1</v>
      </c>
      <c r="F209" s="644"/>
      <c r="G209" s="24">
        <f t="shared" si="30"/>
        <v>1</v>
      </c>
      <c r="H209" s="644"/>
      <c r="I209" s="24">
        <f t="shared" si="31"/>
        <v>1</v>
      </c>
      <c r="J209" s="644"/>
      <c r="K209" s="24">
        <f t="shared" si="32"/>
        <v>1</v>
      </c>
      <c r="L209" s="644"/>
      <c r="M209" s="24">
        <f t="shared" si="33"/>
        <v>1</v>
      </c>
      <c r="N209" s="644"/>
      <c r="O209" s="24">
        <f t="shared" si="34"/>
        <v>1</v>
      </c>
      <c r="P209" s="644"/>
      <c r="Q209" s="24">
        <f t="shared" si="35"/>
        <v>1</v>
      </c>
      <c r="R209" s="24">
        <f t="shared" si="36"/>
        <v>0</v>
      </c>
      <c r="S209" s="314">
        <f t="shared" si="37"/>
        <v>0</v>
      </c>
    </row>
    <row r="210" spans="1:19">
      <c r="A210" s="147"/>
      <c r="B210" s="55"/>
      <c r="C210" s="24">
        <f t="shared" si="28"/>
        <v>1</v>
      </c>
      <c r="D210" s="644"/>
      <c r="E210" s="24">
        <f t="shared" si="29"/>
        <v>1</v>
      </c>
      <c r="F210" s="644"/>
      <c r="G210" s="24">
        <f t="shared" si="30"/>
        <v>1</v>
      </c>
      <c r="H210" s="644"/>
      <c r="I210" s="24">
        <f t="shared" si="31"/>
        <v>1</v>
      </c>
      <c r="J210" s="644"/>
      <c r="K210" s="24">
        <f t="shared" si="32"/>
        <v>1</v>
      </c>
      <c r="L210" s="644"/>
      <c r="M210" s="24">
        <f t="shared" si="33"/>
        <v>1</v>
      </c>
      <c r="N210" s="644"/>
      <c r="O210" s="24">
        <f t="shared" si="34"/>
        <v>1</v>
      </c>
      <c r="P210" s="644"/>
      <c r="Q210" s="24">
        <f t="shared" si="35"/>
        <v>1</v>
      </c>
      <c r="R210" s="24">
        <f t="shared" si="36"/>
        <v>0</v>
      </c>
      <c r="S210" s="314">
        <f t="shared" si="37"/>
        <v>0</v>
      </c>
    </row>
    <row r="211" spans="1:19">
      <c r="A211" s="147"/>
      <c r="B211" s="55"/>
      <c r="C211" s="24">
        <f t="shared" si="28"/>
        <v>1</v>
      </c>
      <c r="D211" s="644"/>
      <c r="E211" s="24">
        <f t="shared" si="29"/>
        <v>1</v>
      </c>
      <c r="F211" s="644"/>
      <c r="G211" s="24">
        <f t="shared" si="30"/>
        <v>1</v>
      </c>
      <c r="H211" s="644"/>
      <c r="I211" s="24">
        <f t="shared" si="31"/>
        <v>1</v>
      </c>
      <c r="J211" s="644"/>
      <c r="K211" s="24">
        <f t="shared" si="32"/>
        <v>1</v>
      </c>
      <c r="L211" s="644"/>
      <c r="M211" s="24">
        <f t="shared" si="33"/>
        <v>1</v>
      </c>
      <c r="N211" s="644"/>
      <c r="O211" s="24">
        <f t="shared" si="34"/>
        <v>1</v>
      </c>
      <c r="P211" s="644"/>
      <c r="Q211" s="24">
        <f t="shared" si="35"/>
        <v>1</v>
      </c>
      <c r="R211" s="24">
        <f t="shared" si="36"/>
        <v>0</v>
      </c>
      <c r="S211" s="314">
        <f t="shared" si="37"/>
        <v>0</v>
      </c>
    </row>
    <row r="212" spans="1:19">
      <c r="A212" s="147"/>
      <c r="B212" s="55"/>
      <c r="C212" s="24">
        <f t="shared" si="28"/>
        <v>1</v>
      </c>
      <c r="D212" s="644"/>
      <c r="E212" s="24">
        <f t="shared" si="29"/>
        <v>1</v>
      </c>
      <c r="F212" s="644"/>
      <c r="G212" s="24">
        <f t="shared" si="30"/>
        <v>1</v>
      </c>
      <c r="H212" s="644"/>
      <c r="I212" s="24">
        <f t="shared" si="31"/>
        <v>1</v>
      </c>
      <c r="J212" s="644"/>
      <c r="K212" s="24">
        <f t="shared" si="32"/>
        <v>1</v>
      </c>
      <c r="L212" s="644"/>
      <c r="M212" s="24">
        <f t="shared" si="33"/>
        <v>1</v>
      </c>
      <c r="N212" s="644"/>
      <c r="O212" s="24">
        <f t="shared" si="34"/>
        <v>1</v>
      </c>
      <c r="P212" s="644"/>
      <c r="Q212" s="24">
        <f t="shared" si="35"/>
        <v>1</v>
      </c>
      <c r="R212" s="24">
        <f t="shared" si="36"/>
        <v>0</v>
      </c>
      <c r="S212" s="314">
        <f t="shared" si="37"/>
        <v>0</v>
      </c>
    </row>
    <row r="213" spans="1:19">
      <c r="A213" s="147"/>
      <c r="B213" s="55"/>
      <c r="C213" s="24">
        <f t="shared" si="28"/>
        <v>1</v>
      </c>
      <c r="D213" s="644"/>
      <c r="E213" s="24">
        <f t="shared" si="29"/>
        <v>1</v>
      </c>
      <c r="F213" s="644"/>
      <c r="G213" s="24">
        <f t="shared" si="30"/>
        <v>1</v>
      </c>
      <c r="H213" s="644"/>
      <c r="I213" s="24">
        <f t="shared" si="31"/>
        <v>1</v>
      </c>
      <c r="J213" s="644"/>
      <c r="K213" s="24">
        <f t="shared" si="32"/>
        <v>1</v>
      </c>
      <c r="L213" s="644"/>
      <c r="M213" s="24">
        <f t="shared" si="33"/>
        <v>1</v>
      </c>
      <c r="N213" s="644"/>
      <c r="O213" s="24">
        <f t="shared" si="34"/>
        <v>1</v>
      </c>
      <c r="P213" s="644"/>
      <c r="Q213" s="24">
        <f t="shared" si="35"/>
        <v>1</v>
      </c>
      <c r="R213" s="24">
        <f t="shared" si="36"/>
        <v>0</v>
      </c>
      <c r="S213" s="314">
        <f t="shared" si="37"/>
        <v>0</v>
      </c>
    </row>
    <row r="214" spans="1:19">
      <c r="A214" s="147"/>
      <c r="B214" s="55"/>
      <c r="C214" s="24">
        <f t="shared" si="28"/>
        <v>1</v>
      </c>
      <c r="D214" s="644"/>
      <c r="E214" s="24">
        <f t="shared" si="29"/>
        <v>1</v>
      </c>
      <c r="F214" s="644"/>
      <c r="G214" s="24">
        <f t="shared" si="30"/>
        <v>1</v>
      </c>
      <c r="H214" s="644"/>
      <c r="I214" s="24">
        <f t="shared" si="31"/>
        <v>1</v>
      </c>
      <c r="J214" s="644"/>
      <c r="K214" s="24">
        <f t="shared" si="32"/>
        <v>1</v>
      </c>
      <c r="L214" s="644"/>
      <c r="M214" s="24">
        <f t="shared" si="33"/>
        <v>1</v>
      </c>
      <c r="N214" s="644"/>
      <c r="O214" s="24">
        <f t="shared" si="34"/>
        <v>1</v>
      </c>
      <c r="P214" s="644"/>
      <c r="Q214" s="24">
        <f t="shared" si="35"/>
        <v>1</v>
      </c>
      <c r="R214" s="24">
        <f t="shared" si="36"/>
        <v>0</v>
      </c>
      <c r="S214" s="314">
        <f t="shared" si="37"/>
        <v>0</v>
      </c>
    </row>
    <row r="215" spans="1:19">
      <c r="A215" s="147"/>
      <c r="B215" s="55"/>
      <c r="C215" s="24">
        <f t="shared" si="28"/>
        <v>1</v>
      </c>
      <c r="D215" s="644"/>
      <c r="E215" s="24">
        <f t="shared" si="29"/>
        <v>1</v>
      </c>
      <c r="F215" s="644"/>
      <c r="G215" s="24">
        <f t="shared" si="30"/>
        <v>1</v>
      </c>
      <c r="H215" s="644"/>
      <c r="I215" s="24">
        <f t="shared" si="31"/>
        <v>1</v>
      </c>
      <c r="J215" s="644"/>
      <c r="K215" s="24">
        <f t="shared" si="32"/>
        <v>1</v>
      </c>
      <c r="L215" s="644"/>
      <c r="M215" s="24">
        <f t="shared" si="33"/>
        <v>1</v>
      </c>
      <c r="N215" s="644"/>
      <c r="O215" s="24">
        <f t="shared" si="34"/>
        <v>1</v>
      </c>
      <c r="P215" s="644"/>
      <c r="Q215" s="24">
        <f t="shared" si="35"/>
        <v>1</v>
      </c>
      <c r="R215" s="24">
        <f t="shared" si="36"/>
        <v>0</v>
      </c>
      <c r="S215" s="314">
        <f t="shared" si="37"/>
        <v>0</v>
      </c>
    </row>
    <row r="216" spans="1:19">
      <c r="A216" s="147"/>
      <c r="B216" s="55"/>
      <c r="C216" s="24">
        <f t="shared" si="28"/>
        <v>1</v>
      </c>
      <c r="D216" s="644"/>
      <c r="E216" s="24">
        <f t="shared" si="29"/>
        <v>1</v>
      </c>
      <c r="F216" s="644"/>
      <c r="G216" s="24">
        <f t="shared" si="30"/>
        <v>1</v>
      </c>
      <c r="H216" s="644"/>
      <c r="I216" s="24">
        <f t="shared" si="31"/>
        <v>1</v>
      </c>
      <c r="J216" s="644"/>
      <c r="K216" s="24">
        <f t="shared" si="32"/>
        <v>1</v>
      </c>
      <c r="L216" s="644"/>
      <c r="M216" s="24">
        <f t="shared" si="33"/>
        <v>1</v>
      </c>
      <c r="N216" s="644"/>
      <c r="O216" s="24">
        <f t="shared" si="34"/>
        <v>1</v>
      </c>
      <c r="P216" s="644"/>
      <c r="Q216" s="24">
        <f t="shared" si="35"/>
        <v>1</v>
      </c>
      <c r="R216" s="24">
        <f t="shared" si="36"/>
        <v>0</v>
      </c>
      <c r="S216" s="314">
        <f t="shared" si="37"/>
        <v>0</v>
      </c>
    </row>
    <row r="217" spans="1:19">
      <c r="A217" s="147"/>
      <c r="B217" s="55"/>
      <c r="C217" s="24">
        <f t="shared" si="28"/>
        <v>1</v>
      </c>
      <c r="D217" s="644"/>
      <c r="E217" s="24">
        <f t="shared" si="29"/>
        <v>1</v>
      </c>
      <c r="F217" s="644"/>
      <c r="G217" s="24">
        <f t="shared" si="30"/>
        <v>1</v>
      </c>
      <c r="H217" s="644"/>
      <c r="I217" s="24">
        <f t="shared" si="31"/>
        <v>1</v>
      </c>
      <c r="J217" s="644"/>
      <c r="K217" s="24">
        <f t="shared" si="32"/>
        <v>1</v>
      </c>
      <c r="L217" s="644"/>
      <c r="M217" s="24">
        <f t="shared" si="33"/>
        <v>1</v>
      </c>
      <c r="N217" s="644"/>
      <c r="O217" s="24">
        <f t="shared" si="34"/>
        <v>1</v>
      </c>
      <c r="P217" s="644"/>
      <c r="Q217" s="24">
        <f t="shared" si="35"/>
        <v>1</v>
      </c>
      <c r="R217" s="24">
        <f t="shared" si="36"/>
        <v>0</v>
      </c>
      <c r="S217" s="314">
        <f t="shared" si="37"/>
        <v>0</v>
      </c>
    </row>
    <row r="218" spans="1:19">
      <c r="A218" s="147"/>
      <c r="B218" s="55"/>
      <c r="C218" s="24">
        <f t="shared" ref="C218:C281" si="38">IF(B218="",1,(LOOKUP(B218,$3:$3,$4:$4)-LOOKUP($B$24,$3:$3,$4:$4)+100)/100)</f>
        <v>1</v>
      </c>
      <c r="D218" s="644"/>
      <c r="E218" s="24">
        <f t="shared" ref="E218:E281" si="39">(SUMIF($5:$5,D218,$6:$6)-SUMIF($5:$5,$D$24,$6:$6)+100)/100</f>
        <v>1</v>
      </c>
      <c r="F218" s="644"/>
      <c r="G218" s="24">
        <f t="shared" ref="G218:G281" si="40">(SUMIF($7:$7,F218,$8:$8)-SUMIF($7:$7,$F$24,$8:$8)+100)/100</f>
        <v>1</v>
      </c>
      <c r="H218" s="644"/>
      <c r="I218" s="24">
        <f t="shared" ref="I218:I281" si="41">(SUMIF($9:$9,H218,$10:$10)-SUMIF($9:$9,$H$24,$10:$10)+100)/100</f>
        <v>1</v>
      </c>
      <c r="J218" s="644"/>
      <c r="K218" s="24">
        <f t="shared" ref="K218:K281" si="42">(SUMIF($11:$11,J218,$12:$12)-SUMIF($11:$11,$J$24,$12:$12)+100)/100</f>
        <v>1</v>
      </c>
      <c r="L218" s="644"/>
      <c r="M218" s="24">
        <f t="shared" ref="M218:M281" si="43">(SUMIF($13:$13,L218,$14:$14)-SUMIF($13:$13,$L$24,$14:$14)+100)/100</f>
        <v>1</v>
      </c>
      <c r="N218" s="644"/>
      <c r="O218" s="24">
        <f t="shared" ref="O218:O281" si="44">(SUMIF($15:$15,N218,$16:$16)-SUMIF($15:$15,$N$24,$16:$16)+100)/100</f>
        <v>1</v>
      </c>
      <c r="P218" s="644"/>
      <c r="Q218" s="24">
        <f t="shared" ref="Q218:Q281" si="45">(SUMIF($17:$17,P218,$18:$18)-SUMIF($17:$17,$P$24,$18:$18)+100)/100</f>
        <v>1</v>
      </c>
      <c r="R218" s="24">
        <f t="shared" ref="R218:R281" si="46">IF(B218="",0,ROUND($R$24*C218*E218*G218*I218*K218*M218*O218*Q218,0))</f>
        <v>0</v>
      </c>
      <c r="S218" s="314">
        <f t="shared" si="37"/>
        <v>0</v>
      </c>
    </row>
    <row r="219" spans="1:19">
      <c r="A219" s="147"/>
      <c r="B219" s="55"/>
      <c r="C219" s="24">
        <f t="shared" si="38"/>
        <v>1</v>
      </c>
      <c r="D219" s="644"/>
      <c r="E219" s="24">
        <f t="shared" si="39"/>
        <v>1</v>
      </c>
      <c r="F219" s="644"/>
      <c r="G219" s="24">
        <f t="shared" si="40"/>
        <v>1</v>
      </c>
      <c r="H219" s="644"/>
      <c r="I219" s="24">
        <f t="shared" si="41"/>
        <v>1</v>
      </c>
      <c r="J219" s="644"/>
      <c r="K219" s="24">
        <f t="shared" si="42"/>
        <v>1</v>
      </c>
      <c r="L219" s="644"/>
      <c r="M219" s="24">
        <f t="shared" si="43"/>
        <v>1</v>
      </c>
      <c r="N219" s="644"/>
      <c r="O219" s="24">
        <f t="shared" si="44"/>
        <v>1</v>
      </c>
      <c r="P219" s="644"/>
      <c r="Q219" s="24">
        <f t="shared" si="45"/>
        <v>1</v>
      </c>
      <c r="R219" s="24">
        <f t="shared" si="46"/>
        <v>0</v>
      </c>
      <c r="S219" s="314">
        <f t="shared" si="37"/>
        <v>0</v>
      </c>
    </row>
    <row r="220" spans="1:19">
      <c r="A220" s="147"/>
      <c r="B220" s="55"/>
      <c r="C220" s="24">
        <f t="shared" si="38"/>
        <v>1</v>
      </c>
      <c r="D220" s="644"/>
      <c r="E220" s="24">
        <f t="shared" si="39"/>
        <v>1</v>
      </c>
      <c r="F220" s="644"/>
      <c r="G220" s="24">
        <f t="shared" si="40"/>
        <v>1</v>
      </c>
      <c r="H220" s="644"/>
      <c r="I220" s="24">
        <f t="shared" si="41"/>
        <v>1</v>
      </c>
      <c r="J220" s="644"/>
      <c r="K220" s="24">
        <f t="shared" si="42"/>
        <v>1</v>
      </c>
      <c r="L220" s="644"/>
      <c r="M220" s="24">
        <f t="shared" si="43"/>
        <v>1</v>
      </c>
      <c r="N220" s="644"/>
      <c r="O220" s="24">
        <f t="shared" si="44"/>
        <v>1</v>
      </c>
      <c r="P220" s="644"/>
      <c r="Q220" s="24">
        <f t="shared" si="45"/>
        <v>1</v>
      </c>
      <c r="R220" s="24">
        <f t="shared" si="46"/>
        <v>0</v>
      </c>
      <c r="S220" s="314">
        <f t="shared" si="37"/>
        <v>0</v>
      </c>
    </row>
    <row r="221" spans="1:19">
      <c r="A221" s="147"/>
      <c r="B221" s="55"/>
      <c r="C221" s="24">
        <f t="shared" si="38"/>
        <v>1</v>
      </c>
      <c r="D221" s="644"/>
      <c r="E221" s="24">
        <f t="shared" si="39"/>
        <v>1</v>
      </c>
      <c r="F221" s="644"/>
      <c r="G221" s="24">
        <f t="shared" si="40"/>
        <v>1</v>
      </c>
      <c r="H221" s="644"/>
      <c r="I221" s="24">
        <f t="shared" si="41"/>
        <v>1</v>
      </c>
      <c r="J221" s="644"/>
      <c r="K221" s="24">
        <f t="shared" si="42"/>
        <v>1</v>
      </c>
      <c r="L221" s="644"/>
      <c r="M221" s="24">
        <f t="shared" si="43"/>
        <v>1</v>
      </c>
      <c r="N221" s="644"/>
      <c r="O221" s="24">
        <f t="shared" si="44"/>
        <v>1</v>
      </c>
      <c r="P221" s="644"/>
      <c r="Q221" s="24">
        <f t="shared" si="45"/>
        <v>1</v>
      </c>
      <c r="R221" s="24">
        <f t="shared" si="46"/>
        <v>0</v>
      </c>
      <c r="S221" s="314">
        <f t="shared" si="37"/>
        <v>0</v>
      </c>
    </row>
    <row r="222" spans="1:19">
      <c r="A222" s="147"/>
      <c r="B222" s="55"/>
      <c r="C222" s="24">
        <f t="shared" si="38"/>
        <v>1</v>
      </c>
      <c r="D222" s="644"/>
      <c r="E222" s="24">
        <f t="shared" si="39"/>
        <v>1</v>
      </c>
      <c r="F222" s="644"/>
      <c r="G222" s="24">
        <f t="shared" si="40"/>
        <v>1</v>
      </c>
      <c r="H222" s="644"/>
      <c r="I222" s="24">
        <f t="shared" si="41"/>
        <v>1</v>
      </c>
      <c r="J222" s="644"/>
      <c r="K222" s="24">
        <f t="shared" si="42"/>
        <v>1</v>
      </c>
      <c r="L222" s="644"/>
      <c r="M222" s="24">
        <f t="shared" si="43"/>
        <v>1</v>
      </c>
      <c r="N222" s="644"/>
      <c r="O222" s="24">
        <f t="shared" si="44"/>
        <v>1</v>
      </c>
      <c r="P222" s="644"/>
      <c r="Q222" s="24">
        <f t="shared" si="45"/>
        <v>1</v>
      </c>
      <c r="R222" s="24">
        <f t="shared" si="46"/>
        <v>0</v>
      </c>
      <c r="S222" s="314">
        <f t="shared" si="37"/>
        <v>0</v>
      </c>
    </row>
    <row r="223" spans="1:19">
      <c r="A223" s="147"/>
      <c r="B223" s="55"/>
      <c r="C223" s="24">
        <f t="shared" si="38"/>
        <v>1</v>
      </c>
      <c r="D223" s="644"/>
      <c r="E223" s="24">
        <f t="shared" si="39"/>
        <v>1</v>
      </c>
      <c r="F223" s="644"/>
      <c r="G223" s="24">
        <f t="shared" si="40"/>
        <v>1</v>
      </c>
      <c r="H223" s="644"/>
      <c r="I223" s="24">
        <f t="shared" si="41"/>
        <v>1</v>
      </c>
      <c r="J223" s="644"/>
      <c r="K223" s="24">
        <f t="shared" si="42"/>
        <v>1</v>
      </c>
      <c r="L223" s="644"/>
      <c r="M223" s="24">
        <f t="shared" si="43"/>
        <v>1</v>
      </c>
      <c r="N223" s="644"/>
      <c r="O223" s="24">
        <f t="shared" si="44"/>
        <v>1</v>
      </c>
      <c r="P223" s="644"/>
      <c r="Q223" s="24">
        <f t="shared" si="45"/>
        <v>1</v>
      </c>
      <c r="R223" s="24">
        <f t="shared" si="46"/>
        <v>0</v>
      </c>
      <c r="S223" s="314">
        <f t="shared" ref="S223:S286" si="47">ROUND(R223*B223/10000,0)</f>
        <v>0</v>
      </c>
    </row>
    <row r="224" spans="1:19">
      <c r="A224" s="147"/>
      <c r="B224" s="55"/>
      <c r="C224" s="24">
        <f t="shared" si="38"/>
        <v>1</v>
      </c>
      <c r="D224" s="644"/>
      <c r="E224" s="24">
        <f t="shared" si="39"/>
        <v>1</v>
      </c>
      <c r="F224" s="644"/>
      <c r="G224" s="24">
        <f t="shared" si="40"/>
        <v>1</v>
      </c>
      <c r="H224" s="644"/>
      <c r="I224" s="24">
        <f t="shared" si="41"/>
        <v>1</v>
      </c>
      <c r="J224" s="644"/>
      <c r="K224" s="24">
        <f t="shared" si="42"/>
        <v>1</v>
      </c>
      <c r="L224" s="644"/>
      <c r="M224" s="24">
        <f t="shared" si="43"/>
        <v>1</v>
      </c>
      <c r="N224" s="644"/>
      <c r="O224" s="24">
        <f t="shared" si="44"/>
        <v>1</v>
      </c>
      <c r="P224" s="644"/>
      <c r="Q224" s="24">
        <f t="shared" si="45"/>
        <v>1</v>
      </c>
      <c r="R224" s="24">
        <f t="shared" si="46"/>
        <v>0</v>
      </c>
      <c r="S224" s="314">
        <f t="shared" si="47"/>
        <v>0</v>
      </c>
    </row>
    <row r="225" spans="1:19">
      <c r="A225" s="147"/>
      <c r="B225" s="55"/>
      <c r="C225" s="24">
        <f t="shared" si="38"/>
        <v>1</v>
      </c>
      <c r="D225" s="644"/>
      <c r="E225" s="24">
        <f t="shared" si="39"/>
        <v>1</v>
      </c>
      <c r="F225" s="644"/>
      <c r="G225" s="24">
        <f t="shared" si="40"/>
        <v>1</v>
      </c>
      <c r="H225" s="644"/>
      <c r="I225" s="24">
        <f t="shared" si="41"/>
        <v>1</v>
      </c>
      <c r="J225" s="644"/>
      <c r="K225" s="24">
        <f t="shared" si="42"/>
        <v>1</v>
      </c>
      <c r="L225" s="644"/>
      <c r="M225" s="24">
        <f t="shared" si="43"/>
        <v>1</v>
      </c>
      <c r="N225" s="644"/>
      <c r="O225" s="24">
        <f t="shared" si="44"/>
        <v>1</v>
      </c>
      <c r="P225" s="644"/>
      <c r="Q225" s="24">
        <f t="shared" si="45"/>
        <v>1</v>
      </c>
      <c r="R225" s="24">
        <f t="shared" si="46"/>
        <v>0</v>
      </c>
      <c r="S225" s="314">
        <f t="shared" si="47"/>
        <v>0</v>
      </c>
    </row>
    <row r="226" spans="1:19">
      <c r="A226" s="147"/>
      <c r="B226" s="55"/>
      <c r="C226" s="24">
        <f t="shared" si="38"/>
        <v>1</v>
      </c>
      <c r="D226" s="644"/>
      <c r="E226" s="24">
        <f t="shared" si="39"/>
        <v>1</v>
      </c>
      <c r="F226" s="644"/>
      <c r="G226" s="24">
        <f t="shared" si="40"/>
        <v>1</v>
      </c>
      <c r="H226" s="644"/>
      <c r="I226" s="24">
        <f t="shared" si="41"/>
        <v>1</v>
      </c>
      <c r="J226" s="644"/>
      <c r="K226" s="24">
        <f t="shared" si="42"/>
        <v>1</v>
      </c>
      <c r="L226" s="644"/>
      <c r="M226" s="24">
        <f t="shared" si="43"/>
        <v>1</v>
      </c>
      <c r="N226" s="644"/>
      <c r="O226" s="24">
        <f t="shared" si="44"/>
        <v>1</v>
      </c>
      <c r="P226" s="644"/>
      <c r="Q226" s="24">
        <f t="shared" si="45"/>
        <v>1</v>
      </c>
      <c r="R226" s="24">
        <f t="shared" si="46"/>
        <v>0</v>
      </c>
      <c r="S226" s="314">
        <f t="shared" si="47"/>
        <v>0</v>
      </c>
    </row>
    <row r="227" spans="1:19">
      <c r="A227" s="147"/>
      <c r="B227" s="55"/>
      <c r="C227" s="24">
        <f t="shared" si="38"/>
        <v>1</v>
      </c>
      <c r="D227" s="644"/>
      <c r="E227" s="24">
        <f t="shared" si="39"/>
        <v>1</v>
      </c>
      <c r="F227" s="644"/>
      <c r="G227" s="24">
        <f t="shared" si="40"/>
        <v>1</v>
      </c>
      <c r="H227" s="644"/>
      <c r="I227" s="24">
        <f t="shared" si="41"/>
        <v>1</v>
      </c>
      <c r="J227" s="644"/>
      <c r="K227" s="24">
        <f t="shared" si="42"/>
        <v>1</v>
      </c>
      <c r="L227" s="644"/>
      <c r="M227" s="24">
        <f t="shared" si="43"/>
        <v>1</v>
      </c>
      <c r="N227" s="644"/>
      <c r="O227" s="24">
        <f t="shared" si="44"/>
        <v>1</v>
      </c>
      <c r="P227" s="644"/>
      <c r="Q227" s="24">
        <f t="shared" si="45"/>
        <v>1</v>
      </c>
      <c r="R227" s="24">
        <f t="shared" si="46"/>
        <v>0</v>
      </c>
      <c r="S227" s="314">
        <f t="shared" si="47"/>
        <v>0</v>
      </c>
    </row>
    <row r="228" spans="1:19">
      <c r="A228" s="147"/>
      <c r="B228" s="55"/>
      <c r="C228" s="24">
        <f t="shared" si="38"/>
        <v>1</v>
      </c>
      <c r="D228" s="644"/>
      <c r="E228" s="24">
        <f t="shared" si="39"/>
        <v>1</v>
      </c>
      <c r="F228" s="644"/>
      <c r="G228" s="24">
        <f t="shared" si="40"/>
        <v>1</v>
      </c>
      <c r="H228" s="644"/>
      <c r="I228" s="24">
        <f t="shared" si="41"/>
        <v>1</v>
      </c>
      <c r="J228" s="644"/>
      <c r="K228" s="24">
        <f t="shared" si="42"/>
        <v>1</v>
      </c>
      <c r="L228" s="644"/>
      <c r="M228" s="24">
        <f t="shared" si="43"/>
        <v>1</v>
      </c>
      <c r="N228" s="644"/>
      <c r="O228" s="24">
        <f t="shared" si="44"/>
        <v>1</v>
      </c>
      <c r="P228" s="644"/>
      <c r="Q228" s="24">
        <f t="shared" si="45"/>
        <v>1</v>
      </c>
      <c r="R228" s="24">
        <f t="shared" si="46"/>
        <v>0</v>
      </c>
      <c r="S228" s="314">
        <f t="shared" si="47"/>
        <v>0</v>
      </c>
    </row>
    <row r="229" spans="1:19">
      <c r="A229" s="147"/>
      <c r="B229" s="55"/>
      <c r="C229" s="24">
        <f t="shared" si="38"/>
        <v>1</v>
      </c>
      <c r="D229" s="644"/>
      <c r="E229" s="24">
        <f t="shared" si="39"/>
        <v>1</v>
      </c>
      <c r="F229" s="644"/>
      <c r="G229" s="24">
        <f t="shared" si="40"/>
        <v>1</v>
      </c>
      <c r="H229" s="644"/>
      <c r="I229" s="24">
        <f t="shared" si="41"/>
        <v>1</v>
      </c>
      <c r="J229" s="644"/>
      <c r="K229" s="24">
        <f t="shared" si="42"/>
        <v>1</v>
      </c>
      <c r="L229" s="644"/>
      <c r="M229" s="24">
        <f t="shared" si="43"/>
        <v>1</v>
      </c>
      <c r="N229" s="644"/>
      <c r="O229" s="24">
        <f t="shared" si="44"/>
        <v>1</v>
      </c>
      <c r="P229" s="644"/>
      <c r="Q229" s="24">
        <f t="shared" si="45"/>
        <v>1</v>
      </c>
      <c r="R229" s="24">
        <f t="shared" si="46"/>
        <v>0</v>
      </c>
      <c r="S229" s="314">
        <f t="shared" si="47"/>
        <v>0</v>
      </c>
    </row>
    <row r="230" spans="1:19">
      <c r="A230" s="147"/>
      <c r="B230" s="55"/>
      <c r="C230" s="24">
        <f t="shared" si="38"/>
        <v>1</v>
      </c>
      <c r="D230" s="644"/>
      <c r="E230" s="24">
        <f t="shared" si="39"/>
        <v>1</v>
      </c>
      <c r="F230" s="644"/>
      <c r="G230" s="24">
        <f t="shared" si="40"/>
        <v>1</v>
      </c>
      <c r="H230" s="644"/>
      <c r="I230" s="24">
        <f t="shared" si="41"/>
        <v>1</v>
      </c>
      <c r="J230" s="644"/>
      <c r="K230" s="24">
        <f t="shared" si="42"/>
        <v>1</v>
      </c>
      <c r="L230" s="644"/>
      <c r="M230" s="24">
        <f t="shared" si="43"/>
        <v>1</v>
      </c>
      <c r="N230" s="644"/>
      <c r="O230" s="24">
        <f t="shared" si="44"/>
        <v>1</v>
      </c>
      <c r="P230" s="644"/>
      <c r="Q230" s="24">
        <f t="shared" si="45"/>
        <v>1</v>
      </c>
      <c r="R230" s="24">
        <f t="shared" si="46"/>
        <v>0</v>
      </c>
      <c r="S230" s="314">
        <f t="shared" si="47"/>
        <v>0</v>
      </c>
    </row>
    <row r="231" spans="1:19">
      <c r="A231" s="147"/>
      <c r="B231" s="55"/>
      <c r="C231" s="24">
        <f t="shared" si="38"/>
        <v>1</v>
      </c>
      <c r="D231" s="644"/>
      <c r="E231" s="24">
        <f t="shared" si="39"/>
        <v>1</v>
      </c>
      <c r="F231" s="644"/>
      <c r="G231" s="24">
        <f t="shared" si="40"/>
        <v>1</v>
      </c>
      <c r="H231" s="644"/>
      <c r="I231" s="24">
        <f t="shared" si="41"/>
        <v>1</v>
      </c>
      <c r="J231" s="644"/>
      <c r="K231" s="24">
        <f t="shared" si="42"/>
        <v>1</v>
      </c>
      <c r="L231" s="644"/>
      <c r="M231" s="24">
        <f t="shared" si="43"/>
        <v>1</v>
      </c>
      <c r="N231" s="644"/>
      <c r="O231" s="24">
        <f t="shared" si="44"/>
        <v>1</v>
      </c>
      <c r="P231" s="644"/>
      <c r="Q231" s="24">
        <f t="shared" si="45"/>
        <v>1</v>
      </c>
      <c r="R231" s="24">
        <f t="shared" si="46"/>
        <v>0</v>
      </c>
      <c r="S231" s="314">
        <f t="shared" si="47"/>
        <v>0</v>
      </c>
    </row>
    <row r="232" spans="1:19">
      <c r="A232" s="147"/>
      <c r="B232" s="55"/>
      <c r="C232" s="24">
        <f t="shared" si="38"/>
        <v>1</v>
      </c>
      <c r="D232" s="644"/>
      <c r="E232" s="24">
        <f t="shared" si="39"/>
        <v>1</v>
      </c>
      <c r="F232" s="644"/>
      <c r="G232" s="24">
        <f t="shared" si="40"/>
        <v>1</v>
      </c>
      <c r="H232" s="644"/>
      <c r="I232" s="24">
        <f t="shared" si="41"/>
        <v>1</v>
      </c>
      <c r="J232" s="644"/>
      <c r="K232" s="24">
        <f t="shared" si="42"/>
        <v>1</v>
      </c>
      <c r="L232" s="644"/>
      <c r="M232" s="24">
        <f t="shared" si="43"/>
        <v>1</v>
      </c>
      <c r="N232" s="644"/>
      <c r="O232" s="24">
        <f t="shared" si="44"/>
        <v>1</v>
      </c>
      <c r="P232" s="644"/>
      <c r="Q232" s="24">
        <f t="shared" si="45"/>
        <v>1</v>
      </c>
      <c r="R232" s="24">
        <f t="shared" si="46"/>
        <v>0</v>
      </c>
      <c r="S232" s="314">
        <f t="shared" si="47"/>
        <v>0</v>
      </c>
    </row>
    <row r="233" spans="1:19">
      <c r="A233" s="147"/>
      <c r="B233" s="55"/>
      <c r="C233" s="24">
        <f t="shared" si="38"/>
        <v>1</v>
      </c>
      <c r="D233" s="644"/>
      <c r="E233" s="24">
        <f t="shared" si="39"/>
        <v>1</v>
      </c>
      <c r="F233" s="644"/>
      <c r="G233" s="24">
        <f t="shared" si="40"/>
        <v>1</v>
      </c>
      <c r="H233" s="644"/>
      <c r="I233" s="24">
        <f t="shared" si="41"/>
        <v>1</v>
      </c>
      <c r="J233" s="644"/>
      <c r="K233" s="24">
        <f t="shared" si="42"/>
        <v>1</v>
      </c>
      <c r="L233" s="644"/>
      <c r="M233" s="24">
        <f t="shared" si="43"/>
        <v>1</v>
      </c>
      <c r="N233" s="644"/>
      <c r="O233" s="24">
        <f t="shared" si="44"/>
        <v>1</v>
      </c>
      <c r="P233" s="644"/>
      <c r="Q233" s="24">
        <f t="shared" si="45"/>
        <v>1</v>
      </c>
      <c r="R233" s="24">
        <f t="shared" si="46"/>
        <v>0</v>
      </c>
      <c r="S233" s="314">
        <f t="shared" si="47"/>
        <v>0</v>
      </c>
    </row>
    <row r="234" spans="1:19">
      <c r="A234" s="147"/>
      <c r="B234" s="55"/>
      <c r="C234" s="24">
        <f t="shared" si="38"/>
        <v>1</v>
      </c>
      <c r="D234" s="644"/>
      <c r="E234" s="24">
        <f t="shared" si="39"/>
        <v>1</v>
      </c>
      <c r="F234" s="644"/>
      <c r="G234" s="24">
        <f t="shared" si="40"/>
        <v>1</v>
      </c>
      <c r="H234" s="644"/>
      <c r="I234" s="24">
        <f t="shared" si="41"/>
        <v>1</v>
      </c>
      <c r="J234" s="644"/>
      <c r="K234" s="24">
        <f t="shared" si="42"/>
        <v>1</v>
      </c>
      <c r="L234" s="644"/>
      <c r="M234" s="24">
        <f t="shared" si="43"/>
        <v>1</v>
      </c>
      <c r="N234" s="644"/>
      <c r="O234" s="24">
        <f t="shared" si="44"/>
        <v>1</v>
      </c>
      <c r="P234" s="644"/>
      <c r="Q234" s="24">
        <f t="shared" si="45"/>
        <v>1</v>
      </c>
      <c r="R234" s="24">
        <f t="shared" si="46"/>
        <v>0</v>
      </c>
      <c r="S234" s="314">
        <f t="shared" si="47"/>
        <v>0</v>
      </c>
    </row>
    <row r="235" spans="1:19">
      <c r="A235" s="147"/>
      <c r="B235" s="55"/>
      <c r="C235" s="24">
        <f t="shared" si="38"/>
        <v>1</v>
      </c>
      <c r="D235" s="644"/>
      <c r="E235" s="24">
        <f t="shared" si="39"/>
        <v>1</v>
      </c>
      <c r="F235" s="644"/>
      <c r="G235" s="24">
        <f t="shared" si="40"/>
        <v>1</v>
      </c>
      <c r="H235" s="644"/>
      <c r="I235" s="24">
        <f t="shared" si="41"/>
        <v>1</v>
      </c>
      <c r="J235" s="644"/>
      <c r="K235" s="24">
        <f t="shared" si="42"/>
        <v>1</v>
      </c>
      <c r="L235" s="644"/>
      <c r="M235" s="24">
        <f t="shared" si="43"/>
        <v>1</v>
      </c>
      <c r="N235" s="644"/>
      <c r="O235" s="24">
        <f t="shared" si="44"/>
        <v>1</v>
      </c>
      <c r="P235" s="644"/>
      <c r="Q235" s="24">
        <f t="shared" si="45"/>
        <v>1</v>
      </c>
      <c r="R235" s="24">
        <f t="shared" si="46"/>
        <v>0</v>
      </c>
      <c r="S235" s="314">
        <f t="shared" si="47"/>
        <v>0</v>
      </c>
    </row>
    <row r="236" spans="1:19">
      <c r="A236" s="147"/>
      <c r="B236" s="55"/>
      <c r="C236" s="24">
        <f t="shared" si="38"/>
        <v>1</v>
      </c>
      <c r="D236" s="644"/>
      <c r="E236" s="24">
        <f t="shared" si="39"/>
        <v>1</v>
      </c>
      <c r="F236" s="644"/>
      <c r="G236" s="24">
        <f t="shared" si="40"/>
        <v>1</v>
      </c>
      <c r="H236" s="644"/>
      <c r="I236" s="24">
        <f t="shared" si="41"/>
        <v>1</v>
      </c>
      <c r="J236" s="644"/>
      <c r="K236" s="24">
        <f t="shared" si="42"/>
        <v>1</v>
      </c>
      <c r="L236" s="644"/>
      <c r="M236" s="24">
        <f t="shared" si="43"/>
        <v>1</v>
      </c>
      <c r="N236" s="644"/>
      <c r="O236" s="24">
        <f t="shared" si="44"/>
        <v>1</v>
      </c>
      <c r="P236" s="644"/>
      <c r="Q236" s="24">
        <f t="shared" si="45"/>
        <v>1</v>
      </c>
      <c r="R236" s="24">
        <f t="shared" si="46"/>
        <v>0</v>
      </c>
      <c r="S236" s="314">
        <f t="shared" si="47"/>
        <v>0</v>
      </c>
    </row>
    <row r="237" spans="1:19">
      <c r="A237" s="147"/>
      <c r="B237" s="55"/>
      <c r="C237" s="24">
        <f t="shared" si="38"/>
        <v>1</v>
      </c>
      <c r="D237" s="644"/>
      <c r="E237" s="24">
        <f t="shared" si="39"/>
        <v>1</v>
      </c>
      <c r="F237" s="644"/>
      <c r="G237" s="24">
        <f t="shared" si="40"/>
        <v>1</v>
      </c>
      <c r="H237" s="644"/>
      <c r="I237" s="24">
        <f t="shared" si="41"/>
        <v>1</v>
      </c>
      <c r="J237" s="644"/>
      <c r="K237" s="24">
        <f t="shared" si="42"/>
        <v>1</v>
      </c>
      <c r="L237" s="644"/>
      <c r="M237" s="24">
        <f t="shared" si="43"/>
        <v>1</v>
      </c>
      <c r="N237" s="644"/>
      <c r="O237" s="24">
        <f t="shared" si="44"/>
        <v>1</v>
      </c>
      <c r="P237" s="644"/>
      <c r="Q237" s="24">
        <f t="shared" si="45"/>
        <v>1</v>
      </c>
      <c r="R237" s="24">
        <f t="shared" si="46"/>
        <v>0</v>
      </c>
      <c r="S237" s="314">
        <f t="shared" si="47"/>
        <v>0</v>
      </c>
    </row>
    <row r="238" spans="1:19">
      <c r="A238" s="147"/>
      <c r="B238" s="55"/>
      <c r="C238" s="24">
        <f t="shared" si="38"/>
        <v>1</v>
      </c>
      <c r="D238" s="644"/>
      <c r="E238" s="24">
        <f t="shared" si="39"/>
        <v>1</v>
      </c>
      <c r="F238" s="644"/>
      <c r="G238" s="24">
        <f t="shared" si="40"/>
        <v>1</v>
      </c>
      <c r="H238" s="644"/>
      <c r="I238" s="24">
        <f t="shared" si="41"/>
        <v>1</v>
      </c>
      <c r="J238" s="644"/>
      <c r="K238" s="24">
        <f t="shared" si="42"/>
        <v>1</v>
      </c>
      <c r="L238" s="644"/>
      <c r="M238" s="24">
        <f t="shared" si="43"/>
        <v>1</v>
      </c>
      <c r="N238" s="644"/>
      <c r="O238" s="24">
        <f t="shared" si="44"/>
        <v>1</v>
      </c>
      <c r="P238" s="644"/>
      <c r="Q238" s="24">
        <f t="shared" si="45"/>
        <v>1</v>
      </c>
      <c r="R238" s="24">
        <f t="shared" si="46"/>
        <v>0</v>
      </c>
      <c r="S238" s="314">
        <f t="shared" si="47"/>
        <v>0</v>
      </c>
    </row>
    <row r="239" spans="1:19">
      <c r="A239" s="147"/>
      <c r="B239" s="55"/>
      <c r="C239" s="24">
        <f t="shared" si="38"/>
        <v>1</v>
      </c>
      <c r="D239" s="644"/>
      <c r="E239" s="24">
        <f t="shared" si="39"/>
        <v>1</v>
      </c>
      <c r="F239" s="644"/>
      <c r="G239" s="24">
        <f t="shared" si="40"/>
        <v>1</v>
      </c>
      <c r="H239" s="644"/>
      <c r="I239" s="24">
        <f t="shared" si="41"/>
        <v>1</v>
      </c>
      <c r="J239" s="644"/>
      <c r="K239" s="24">
        <f t="shared" si="42"/>
        <v>1</v>
      </c>
      <c r="L239" s="644"/>
      <c r="M239" s="24">
        <f t="shared" si="43"/>
        <v>1</v>
      </c>
      <c r="N239" s="644"/>
      <c r="O239" s="24">
        <f t="shared" si="44"/>
        <v>1</v>
      </c>
      <c r="P239" s="644"/>
      <c r="Q239" s="24">
        <f t="shared" si="45"/>
        <v>1</v>
      </c>
      <c r="R239" s="24">
        <f t="shared" si="46"/>
        <v>0</v>
      </c>
      <c r="S239" s="314">
        <f t="shared" si="47"/>
        <v>0</v>
      </c>
    </row>
    <row r="240" spans="1:19">
      <c r="A240" s="147"/>
      <c r="B240" s="55"/>
      <c r="C240" s="24">
        <f t="shared" si="38"/>
        <v>1</v>
      </c>
      <c r="D240" s="644"/>
      <c r="E240" s="24">
        <f t="shared" si="39"/>
        <v>1</v>
      </c>
      <c r="F240" s="644"/>
      <c r="G240" s="24">
        <f t="shared" si="40"/>
        <v>1</v>
      </c>
      <c r="H240" s="644"/>
      <c r="I240" s="24">
        <f t="shared" si="41"/>
        <v>1</v>
      </c>
      <c r="J240" s="644"/>
      <c r="K240" s="24">
        <f t="shared" si="42"/>
        <v>1</v>
      </c>
      <c r="L240" s="644"/>
      <c r="M240" s="24">
        <f t="shared" si="43"/>
        <v>1</v>
      </c>
      <c r="N240" s="644"/>
      <c r="O240" s="24">
        <f t="shared" si="44"/>
        <v>1</v>
      </c>
      <c r="P240" s="644"/>
      <c r="Q240" s="24">
        <f t="shared" si="45"/>
        <v>1</v>
      </c>
      <c r="R240" s="24">
        <f t="shared" si="46"/>
        <v>0</v>
      </c>
      <c r="S240" s="314">
        <f t="shared" si="47"/>
        <v>0</v>
      </c>
    </row>
    <row r="241" spans="1:19">
      <c r="A241" s="147"/>
      <c r="B241" s="55"/>
      <c r="C241" s="24">
        <f t="shared" si="38"/>
        <v>1</v>
      </c>
      <c r="D241" s="644"/>
      <c r="E241" s="24">
        <f t="shared" si="39"/>
        <v>1</v>
      </c>
      <c r="F241" s="644"/>
      <c r="G241" s="24">
        <f t="shared" si="40"/>
        <v>1</v>
      </c>
      <c r="H241" s="644"/>
      <c r="I241" s="24">
        <f t="shared" si="41"/>
        <v>1</v>
      </c>
      <c r="J241" s="644"/>
      <c r="K241" s="24">
        <f t="shared" si="42"/>
        <v>1</v>
      </c>
      <c r="L241" s="644"/>
      <c r="M241" s="24">
        <f t="shared" si="43"/>
        <v>1</v>
      </c>
      <c r="N241" s="644"/>
      <c r="O241" s="24">
        <f t="shared" si="44"/>
        <v>1</v>
      </c>
      <c r="P241" s="644"/>
      <c r="Q241" s="24">
        <f t="shared" si="45"/>
        <v>1</v>
      </c>
      <c r="R241" s="24">
        <f t="shared" si="46"/>
        <v>0</v>
      </c>
      <c r="S241" s="314">
        <f t="shared" si="47"/>
        <v>0</v>
      </c>
    </row>
    <row r="242" spans="1:19">
      <c r="A242" s="147"/>
      <c r="B242" s="55"/>
      <c r="C242" s="24">
        <f t="shared" si="38"/>
        <v>1</v>
      </c>
      <c r="D242" s="644"/>
      <c r="E242" s="24">
        <f t="shared" si="39"/>
        <v>1</v>
      </c>
      <c r="F242" s="644"/>
      <c r="G242" s="24">
        <f t="shared" si="40"/>
        <v>1</v>
      </c>
      <c r="H242" s="644"/>
      <c r="I242" s="24">
        <f t="shared" si="41"/>
        <v>1</v>
      </c>
      <c r="J242" s="644"/>
      <c r="K242" s="24">
        <f t="shared" si="42"/>
        <v>1</v>
      </c>
      <c r="L242" s="644"/>
      <c r="M242" s="24">
        <f t="shared" si="43"/>
        <v>1</v>
      </c>
      <c r="N242" s="644"/>
      <c r="O242" s="24">
        <f t="shared" si="44"/>
        <v>1</v>
      </c>
      <c r="P242" s="644"/>
      <c r="Q242" s="24">
        <f t="shared" si="45"/>
        <v>1</v>
      </c>
      <c r="R242" s="24">
        <f t="shared" si="46"/>
        <v>0</v>
      </c>
      <c r="S242" s="314">
        <f t="shared" si="47"/>
        <v>0</v>
      </c>
    </row>
    <row r="243" spans="1:19">
      <c r="A243" s="147"/>
      <c r="B243" s="55"/>
      <c r="C243" s="24">
        <f t="shared" si="38"/>
        <v>1</v>
      </c>
      <c r="D243" s="644"/>
      <c r="E243" s="24">
        <f t="shared" si="39"/>
        <v>1</v>
      </c>
      <c r="F243" s="644"/>
      <c r="G243" s="24">
        <f t="shared" si="40"/>
        <v>1</v>
      </c>
      <c r="H243" s="644"/>
      <c r="I243" s="24">
        <f t="shared" si="41"/>
        <v>1</v>
      </c>
      <c r="J243" s="644"/>
      <c r="K243" s="24">
        <f t="shared" si="42"/>
        <v>1</v>
      </c>
      <c r="L243" s="644"/>
      <c r="M243" s="24">
        <f t="shared" si="43"/>
        <v>1</v>
      </c>
      <c r="N243" s="644"/>
      <c r="O243" s="24">
        <f t="shared" si="44"/>
        <v>1</v>
      </c>
      <c r="P243" s="644"/>
      <c r="Q243" s="24">
        <f t="shared" si="45"/>
        <v>1</v>
      </c>
      <c r="R243" s="24">
        <f t="shared" si="46"/>
        <v>0</v>
      </c>
      <c r="S243" s="314">
        <f t="shared" si="47"/>
        <v>0</v>
      </c>
    </row>
    <row r="244" spans="1:19">
      <c r="A244" s="147"/>
      <c r="B244" s="55"/>
      <c r="C244" s="24">
        <f t="shared" si="38"/>
        <v>1</v>
      </c>
      <c r="D244" s="644"/>
      <c r="E244" s="24">
        <f t="shared" si="39"/>
        <v>1</v>
      </c>
      <c r="F244" s="644"/>
      <c r="G244" s="24">
        <f t="shared" si="40"/>
        <v>1</v>
      </c>
      <c r="H244" s="644"/>
      <c r="I244" s="24">
        <f t="shared" si="41"/>
        <v>1</v>
      </c>
      <c r="J244" s="644"/>
      <c r="K244" s="24">
        <f t="shared" si="42"/>
        <v>1</v>
      </c>
      <c r="L244" s="644"/>
      <c r="M244" s="24">
        <f t="shared" si="43"/>
        <v>1</v>
      </c>
      <c r="N244" s="644"/>
      <c r="O244" s="24">
        <f t="shared" si="44"/>
        <v>1</v>
      </c>
      <c r="P244" s="644"/>
      <c r="Q244" s="24">
        <f t="shared" si="45"/>
        <v>1</v>
      </c>
      <c r="R244" s="24">
        <f t="shared" si="46"/>
        <v>0</v>
      </c>
      <c r="S244" s="314">
        <f t="shared" si="47"/>
        <v>0</v>
      </c>
    </row>
    <row r="245" spans="1:19">
      <c r="A245" s="147"/>
      <c r="B245" s="55"/>
      <c r="C245" s="24">
        <f t="shared" si="38"/>
        <v>1</v>
      </c>
      <c r="D245" s="644"/>
      <c r="E245" s="24">
        <f t="shared" si="39"/>
        <v>1</v>
      </c>
      <c r="F245" s="644"/>
      <c r="G245" s="24">
        <f t="shared" si="40"/>
        <v>1</v>
      </c>
      <c r="H245" s="644"/>
      <c r="I245" s="24">
        <f t="shared" si="41"/>
        <v>1</v>
      </c>
      <c r="J245" s="644"/>
      <c r="K245" s="24">
        <f t="shared" si="42"/>
        <v>1</v>
      </c>
      <c r="L245" s="644"/>
      <c r="M245" s="24">
        <f t="shared" si="43"/>
        <v>1</v>
      </c>
      <c r="N245" s="644"/>
      <c r="O245" s="24">
        <f t="shared" si="44"/>
        <v>1</v>
      </c>
      <c r="P245" s="644"/>
      <c r="Q245" s="24">
        <f t="shared" si="45"/>
        <v>1</v>
      </c>
      <c r="R245" s="24">
        <f t="shared" si="46"/>
        <v>0</v>
      </c>
      <c r="S245" s="314">
        <f t="shared" si="47"/>
        <v>0</v>
      </c>
    </row>
    <row r="246" spans="1:19">
      <c r="A246" s="147"/>
      <c r="B246" s="55"/>
      <c r="C246" s="24">
        <f t="shared" si="38"/>
        <v>1</v>
      </c>
      <c r="D246" s="644"/>
      <c r="E246" s="24">
        <f t="shared" si="39"/>
        <v>1</v>
      </c>
      <c r="F246" s="644"/>
      <c r="G246" s="24">
        <f t="shared" si="40"/>
        <v>1</v>
      </c>
      <c r="H246" s="644"/>
      <c r="I246" s="24">
        <f t="shared" si="41"/>
        <v>1</v>
      </c>
      <c r="J246" s="644"/>
      <c r="K246" s="24">
        <f t="shared" si="42"/>
        <v>1</v>
      </c>
      <c r="L246" s="644"/>
      <c r="M246" s="24">
        <f t="shared" si="43"/>
        <v>1</v>
      </c>
      <c r="N246" s="644"/>
      <c r="O246" s="24">
        <f t="shared" si="44"/>
        <v>1</v>
      </c>
      <c r="P246" s="644"/>
      <c r="Q246" s="24">
        <f t="shared" si="45"/>
        <v>1</v>
      </c>
      <c r="R246" s="24">
        <f t="shared" si="46"/>
        <v>0</v>
      </c>
      <c r="S246" s="314">
        <f t="shared" si="47"/>
        <v>0</v>
      </c>
    </row>
    <row r="247" spans="1:19">
      <c r="A247" s="147"/>
      <c r="B247" s="55"/>
      <c r="C247" s="24">
        <f t="shared" si="38"/>
        <v>1</v>
      </c>
      <c r="D247" s="644"/>
      <c r="E247" s="24">
        <f t="shared" si="39"/>
        <v>1</v>
      </c>
      <c r="F247" s="644"/>
      <c r="G247" s="24">
        <f t="shared" si="40"/>
        <v>1</v>
      </c>
      <c r="H247" s="644"/>
      <c r="I247" s="24">
        <f t="shared" si="41"/>
        <v>1</v>
      </c>
      <c r="J247" s="644"/>
      <c r="K247" s="24">
        <f t="shared" si="42"/>
        <v>1</v>
      </c>
      <c r="L247" s="644"/>
      <c r="M247" s="24">
        <f t="shared" si="43"/>
        <v>1</v>
      </c>
      <c r="N247" s="644"/>
      <c r="O247" s="24">
        <f t="shared" si="44"/>
        <v>1</v>
      </c>
      <c r="P247" s="644"/>
      <c r="Q247" s="24">
        <f t="shared" si="45"/>
        <v>1</v>
      </c>
      <c r="R247" s="24">
        <f t="shared" si="46"/>
        <v>0</v>
      </c>
      <c r="S247" s="314">
        <f t="shared" si="47"/>
        <v>0</v>
      </c>
    </row>
    <row r="248" spans="1:19">
      <c r="A248" s="147"/>
      <c r="B248" s="55"/>
      <c r="C248" s="24">
        <f t="shared" si="38"/>
        <v>1</v>
      </c>
      <c r="D248" s="644"/>
      <c r="E248" s="24">
        <f t="shared" si="39"/>
        <v>1</v>
      </c>
      <c r="F248" s="644"/>
      <c r="G248" s="24">
        <f t="shared" si="40"/>
        <v>1</v>
      </c>
      <c r="H248" s="644"/>
      <c r="I248" s="24">
        <f t="shared" si="41"/>
        <v>1</v>
      </c>
      <c r="J248" s="644"/>
      <c r="K248" s="24">
        <f t="shared" si="42"/>
        <v>1</v>
      </c>
      <c r="L248" s="644"/>
      <c r="M248" s="24">
        <f t="shared" si="43"/>
        <v>1</v>
      </c>
      <c r="N248" s="644"/>
      <c r="O248" s="24">
        <f t="shared" si="44"/>
        <v>1</v>
      </c>
      <c r="P248" s="644"/>
      <c r="Q248" s="24">
        <f t="shared" si="45"/>
        <v>1</v>
      </c>
      <c r="R248" s="24">
        <f t="shared" si="46"/>
        <v>0</v>
      </c>
      <c r="S248" s="314">
        <f t="shared" si="47"/>
        <v>0</v>
      </c>
    </row>
    <row r="249" spans="1:19">
      <c r="A249" s="147"/>
      <c r="B249" s="55"/>
      <c r="C249" s="24">
        <f t="shared" si="38"/>
        <v>1</v>
      </c>
      <c r="D249" s="644"/>
      <c r="E249" s="24">
        <f t="shared" si="39"/>
        <v>1</v>
      </c>
      <c r="F249" s="644"/>
      <c r="G249" s="24">
        <f t="shared" si="40"/>
        <v>1</v>
      </c>
      <c r="H249" s="644"/>
      <c r="I249" s="24">
        <f t="shared" si="41"/>
        <v>1</v>
      </c>
      <c r="J249" s="644"/>
      <c r="K249" s="24">
        <f t="shared" si="42"/>
        <v>1</v>
      </c>
      <c r="L249" s="644"/>
      <c r="M249" s="24">
        <f t="shared" si="43"/>
        <v>1</v>
      </c>
      <c r="N249" s="644"/>
      <c r="O249" s="24">
        <f t="shared" si="44"/>
        <v>1</v>
      </c>
      <c r="P249" s="644"/>
      <c r="Q249" s="24">
        <f t="shared" si="45"/>
        <v>1</v>
      </c>
      <c r="R249" s="24">
        <f t="shared" si="46"/>
        <v>0</v>
      </c>
      <c r="S249" s="314">
        <f t="shared" si="47"/>
        <v>0</v>
      </c>
    </row>
    <row r="250" spans="1:19">
      <c r="A250" s="147"/>
      <c r="B250" s="55"/>
      <c r="C250" s="24">
        <f t="shared" si="38"/>
        <v>1</v>
      </c>
      <c r="D250" s="644"/>
      <c r="E250" s="24">
        <f t="shared" si="39"/>
        <v>1</v>
      </c>
      <c r="F250" s="644"/>
      <c r="G250" s="24">
        <f t="shared" si="40"/>
        <v>1</v>
      </c>
      <c r="H250" s="644"/>
      <c r="I250" s="24">
        <f t="shared" si="41"/>
        <v>1</v>
      </c>
      <c r="J250" s="644"/>
      <c r="K250" s="24">
        <f t="shared" si="42"/>
        <v>1</v>
      </c>
      <c r="L250" s="644"/>
      <c r="M250" s="24">
        <f t="shared" si="43"/>
        <v>1</v>
      </c>
      <c r="N250" s="644"/>
      <c r="O250" s="24">
        <f t="shared" si="44"/>
        <v>1</v>
      </c>
      <c r="P250" s="644"/>
      <c r="Q250" s="24">
        <f t="shared" si="45"/>
        <v>1</v>
      </c>
      <c r="R250" s="24">
        <f t="shared" si="46"/>
        <v>0</v>
      </c>
      <c r="S250" s="314">
        <f t="shared" si="47"/>
        <v>0</v>
      </c>
    </row>
    <row r="251" spans="1:19">
      <c r="A251" s="147"/>
      <c r="B251" s="55"/>
      <c r="C251" s="24">
        <f t="shared" si="38"/>
        <v>1</v>
      </c>
      <c r="D251" s="644"/>
      <c r="E251" s="24">
        <f t="shared" si="39"/>
        <v>1</v>
      </c>
      <c r="F251" s="644"/>
      <c r="G251" s="24">
        <f t="shared" si="40"/>
        <v>1</v>
      </c>
      <c r="H251" s="644"/>
      <c r="I251" s="24">
        <f t="shared" si="41"/>
        <v>1</v>
      </c>
      <c r="J251" s="644"/>
      <c r="K251" s="24">
        <f t="shared" si="42"/>
        <v>1</v>
      </c>
      <c r="L251" s="644"/>
      <c r="M251" s="24">
        <f t="shared" si="43"/>
        <v>1</v>
      </c>
      <c r="N251" s="644"/>
      <c r="O251" s="24">
        <f t="shared" si="44"/>
        <v>1</v>
      </c>
      <c r="P251" s="644"/>
      <c r="Q251" s="24">
        <f t="shared" si="45"/>
        <v>1</v>
      </c>
      <c r="R251" s="24">
        <f t="shared" si="46"/>
        <v>0</v>
      </c>
      <c r="S251" s="314">
        <f t="shared" si="47"/>
        <v>0</v>
      </c>
    </row>
    <row r="252" spans="1:19">
      <c r="A252" s="147"/>
      <c r="B252" s="55"/>
      <c r="C252" s="24">
        <f t="shared" si="38"/>
        <v>1</v>
      </c>
      <c r="D252" s="644"/>
      <c r="E252" s="24">
        <f t="shared" si="39"/>
        <v>1</v>
      </c>
      <c r="F252" s="644"/>
      <c r="G252" s="24">
        <f t="shared" si="40"/>
        <v>1</v>
      </c>
      <c r="H252" s="644"/>
      <c r="I252" s="24">
        <f t="shared" si="41"/>
        <v>1</v>
      </c>
      <c r="J252" s="644"/>
      <c r="K252" s="24">
        <f t="shared" si="42"/>
        <v>1</v>
      </c>
      <c r="L252" s="644"/>
      <c r="M252" s="24">
        <f t="shared" si="43"/>
        <v>1</v>
      </c>
      <c r="N252" s="644"/>
      <c r="O252" s="24">
        <f t="shared" si="44"/>
        <v>1</v>
      </c>
      <c r="P252" s="644"/>
      <c r="Q252" s="24">
        <f t="shared" si="45"/>
        <v>1</v>
      </c>
      <c r="R252" s="24">
        <f t="shared" si="46"/>
        <v>0</v>
      </c>
      <c r="S252" s="314">
        <f t="shared" si="47"/>
        <v>0</v>
      </c>
    </row>
    <row r="253" spans="1:19">
      <c r="A253" s="147"/>
      <c r="B253" s="55"/>
      <c r="C253" s="24">
        <f t="shared" si="38"/>
        <v>1</v>
      </c>
      <c r="D253" s="644"/>
      <c r="E253" s="24">
        <f t="shared" si="39"/>
        <v>1</v>
      </c>
      <c r="F253" s="644"/>
      <c r="G253" s="24">
        <f t="shared" si="40"/>
        <v>1</v>
      </c>
      <c r="H253" s="644"/>
      <c r="I253" s="24">
        <f t="shared" si="41"/>
        <v>1</v>
      </c>
      <c r="J253" s="644"/>
      <c r="K253" s="24">
        <f t="shared" si="42"/>
        <v>1</v>
      </c>
      <c r="L253" s="644"/>
      <c r="M253" s="24">
        <f t="shared" si="43"/>
        <v>1</v>
      </c>
      <c r="N253" s="644"/>
      <c r="O253" s="24">
        <f t="shared" si="44"/>
        <v>1</v>
      </c>
      <c r="P253" s="644"/>
      <c r="Q253" s="24">
        <f t="shared" si="45"/>
        <v>1</v>
      </c>
      <c r="R253" s="24">
        <f t="shared" si="46"/>
        <v>0</v>
      </c>
      <c r="S253" s="314">
        <f t="shared" si="47"/>
        <v>0</v>
      </c>
    </row>
    <row r="254" spans="1:19">
      <c r="A254" s="147"/>
      <c r="B254" s="55"/>
      <c r="C254" s="24">
        <f t="shared" si="38"/>
        <v>1</v>
      </c>
      <c r="D254" s="644"/>
      <c r="E254" s="24">
        <f t="shared" si="39"/>
        <v>1</v>
      </c>
      <c r="F254" s="644"/>
      <c r="G254" s="24">
        <f t="shared" si="40"/>
        <v>1</v>
      </c>
      <c r="H254" s="644"/>
      <c r="I254" s="24">
        <f t="shared" si="41"/>
        <v>1</v>
      </c>
      <c r="J254" s="644"/>
      <c r="K254" s="24">
        <f t="shared" si="42"/>
        <v>1</v>
      </c>
      <c r="L254" s="644"/>
      <c r="M254" s="24">
        <f t="shared" si="43"/>
        <v>1</v>
      </c>
      <c r="N254" s="644"/>
      <c r="O254" s="24">
        <f t="shared" si="44"/>
        <v>1</v>
      </c>
      <c r="P254" s="644"/>
      <c r="Q254" s="24">
        <f t="shared" si="45"/>
        <v>1</v>
      </c>
      <c r="R254" s="24">
        <f t="shared" si="46"/>
        <v>0</v>
      </c>
      <c r="S254" s="314">
        <f t="shared" si="47"/>
        <v>0</v>
      </c>
    </row>
    <row r="255" spans="1:19">
      <c r="A255" s="147"/>
      <c r="B255" s="55"/>
      <c r="C255" s="24">
        <f t="shared" si="38"/>
        <v>1</v>
      </c>
      <c r="D255" s="644"/>
      <c r="E255" s="24">
        <f t="shared" si="39"/>
        <v>1</v>
      </c>
      <c r="F255" s="644"/>
      <c r="G255" s="24">
        <f t="shared" si="40"/>
        <v>1</v>
      </c>
      <c r="H255" s="644"/>
      <c r="I255" s="24">
        <f t="shared" si="41"/>
        <v>1</v>
      </c>
      <c r="J255" s="644"/>
      <c r="K255" s="24">
        <f t="shared" si="42"/>
        <v>1</v>
      </c>
      <c r="L255" s="644"/>
      <c r="M255" s="24">
        <f t="shared" si="43"/>
        <v>1</v>
      </c>
      <c r="N255" s="644"/>
      <c r="O255" s="24">
        <f t="shared" si="44"/>
        <v>1</v>
      </c>
      <c r="P255" s="644"/>
      <c r="Q255" s="24">
        <f t="shared" si="45"/>
        <v>1</v>
      </c>
      <c r="R255" s="24">
        <f t="shared" si="46"/>
        <v>0</v>
      </c>
      <c r="S255" s="314">
        <f t="shared" si="47"/>
        <v>0</v>
      </c>
    </row>
    <row r="256" spans="1:19">
      <c r="A256" s="147"/>
      <c r="B256" s="55"/>
      <c r="C256" s="24">
        <f t="shared" si="38"/>
        <v>1</v>
      </c>
      <c r="D256" s="644"/>
      <c r="E256" s="24">
        <f t="shared" si="39"/>
        <v>1</v>
      </c>
      <c r="F256" s="644"/>
      <c r="G256" s="24">
        <f t="shared" si="40"/>
        <v>1</v>
      </c>
      <c r="H256" s="644"/>
      <c r="I256" s="24">
        <f t="shared" si="41"/>
        <v>1</v>
      </c>
      <c r="J256" s="644"/>
      <c r="K256" s="24">
        <f t="shared" si="42"/>
        <v>1</v>
      </c>
      <c r="L256" s="644"/>
      <c r="M256" s="24">
        <f t="shared" si="43"/>
        <v>1</v>
      </c>
      <c r="N256" s="644"/>
      <c r="O256" s="24">
        <f t="shared" si="44"/>
        <v>1</v>
      </c>
      <c r="P256" s="644"/>
      <c r="Q256" s="24">
        <f t="shared" si="45"/>
        <v>1</v>
      </c>
      <c r="R256" s="24">
        <f t="shared" si="46"/>
        <v>0</v>
      </c>
      <c r="S256" s="314">
        <f t="shared" si="47"/>
        <v>0</v>
      </c>
    </row>
    <row r="257" spans="1:19">
      <c r="A257" s="147"/>
      <c r="B257" s="55"/>
      <c r="C257" s="24">
        <f t="shared" si="38"/>
        <v>1</v>
      </c>
      <c r="D257" s="644"/>
      <c r="E257" s="24">
        <f t="shared" si="39"/>
        <v>1</v>
      </c>
      <c r="F257" s="644"/>
      <c r="G257" s="24">
        <f t="shared" si="40"/>
        <v>1</v>
      </c>
      <c r="H257" s="644"/>
      <c r="I257" s="24">
        <f t="shared" si="41"/>
        <v>1</v>
      </c>
      <c r="J257" s="644"/>
      <c r="K257" s="24">
        <f t="shared" si="42"/>
        <v>1</v>
      </c>
      <c r="L257" s="644"/>
      <c r="M257" s="24">
        <f t="shared" si="43"/>
        <v>1</v>
      </c>
      <c r="N257" s="644"/>
      <c r="O257" s="24">
        <f t="shared" si="44"/>
        <v>1</v>
      </c>
      <c r="P257" s="644"/>
      <c r="Q257" s="24">
        <f t="shared" si="45"/>
        <v>1</v>
      </c>
      <c r="R257" s="24">
        <f t="shared" si="46"/>
        <v>0</v>
      </c>
      <c r="S257" s="314">
        <f t="shared" si="47"/>
        <v>0</v>
      </c>
    </row>
    <row r="258" spans="1:19">
      <c r="A258" s="147"/>
      <c r="B258" s="55"/>
      <c r="C258" s="24">
        <f t="shared" si="38"/>
        <v>1</v>
      </c>
      <c r="D258" s="644"/>
      <c r="E258" s="24">
        <f t="shared" si="39"/>
        <v>1</v>
      </c>
      <c r="F258" s="644"/>
      <c r="G258" s="24">
        <f t="shared" si="40"/>
        <v>1</v>
      </c>
      <c r="H258" s="644"/>
      <c r="I258" s="24">
        <f t="shared" si="41"/>
        <v>1</v>
      </c>
      <c r="J258" s="644"/>
      <c r="K258" s="24">
        <f t="shared" si="42"/>
        <v>1</v>
      </c>
      <c r="L258" s="644"/>
      <c r="M258" s="24">
        <f t="shared" si="43"/>
        <v>1</v>
      </c>
      <c r="N258" s="644"/>
      <c r="O258" s="24">
        <f t="shared" si="44"/>
        <v>1</v>
      </c>
      <c r="P258" s="644"/>
      <c r="Q258" s="24">
        <f t="shared" si="45"/>
        <v>1</v>
      </c>
      <c r="R258" s="24">
        <f t="shared" si="46"/>
        <v>0</v>
      </c>
      <c r="S258" s="314">
        <f t="shared" si="47"/>
        <v>0</v>
      </c>
    </row>
    <row r="259" spans="1:19">
      <c r="A259" s="147"/>
      <c r="B259" s="55"/>
      <c r="C259" s="24">
        <f t="shared" si="38"/>
        <v>1</v>
      </c>
      <c r="D259" s="644"/>
      <c r="E259" s="24">
        <f t="shared" si="39"/>
        <v>1</v>
      </c>
      <c r="F259" s="644"/>
      <c r="G259" s="24">
        <f t="shared" si="40"/>
        <v>1</v>
      </c>
      <c r="H259" s="644"/>
      <c r="I259" s="24">
        <f t="shared" si="41"/>
        <v>1</v>
      </c>
      <c r="J259" s="644"/>
      <c r="K259" s="24">
        <f t="shared" si="42"/>
        <v>1</v>
      </c>
      <c r="L259" s="644"/>
      <c r="M259" s="24">
        <f t="shared" si="43"/>
        <v>1</v>
      </c>
      <c r="N259" s="644"/>
      <c r="O259" s="24">
        <f t="shared" si="44"/>
        <v>1</v>
      </c>
      <c r="P259" s="644"/>
      <c r="Q259" s="24">
        <f t="shared" si="45"/>
        <v>1</v>
      </c>
      <c r="R259" s="24">
        <f t="shared" si="46"/>
        <v>0</v>
      </c>
      <c r="S259" s="314">
        <f t="shared" si="47"/>
        <v>0</v>
      </c>
    </row>
    <row r="260" spans="1:19">
      <c r="A260" s="147"/>
      <c r="B260" s="55"/>
      <c r="C260" s="24">
        <f t="shared" si="38"/>
        <v>1</v>
      </c>
      <c r="D260" s="644"/>
      <c r="E260" s="24">
        <f t="shared" si="39"/>
        <v>1</v>
      </c>
      <c r="F260" s="644"/>
      <c r="G260" s="24">
        <f t="shared" si="40"/>
        <v>1</v>
      </c>
      <c r="H260" s="644"/>
      <c r="I260" s="24">
        <f t="shared" si="41"/>
        <v>1</v>
      </c>
      <c r="J260" s="644"/>
      <c r="K260" s="24">
        <f t="shared" si="42"/>
        <v>1</v>
      </c>
      <c r="L260" s="644"/>
      <c r="M260" s="24">
        <f t="shared" si="43"/>
        <v>1</v>
      </c>
      <c r="N260" s="644"/>
      <c r="O260" s="24">
        <f t="shared" si="44"/>
        <v>1</v>
      </c>
      <c r="P260" s="644"/>
      <c r="Q260" s="24">
        <f t="shared" si="45"/>
        <v>1</v>
      </c>
      <c r="R260" s="24">
        <f t="shared" si="46"/>
        <v>0</v>
      </c>
      <c r="S260" s="314">
        <f t="shared" si="47"/>
        <v>0</v>
      </c>
    </row>
    <row r="261" spans="1:19">
      <c r="A261" s="147"/>
      <c r="B261" s="55"/>
      <c r="C261" s="24">
        <f t="shared" si="38"/>
        <v>1</v>
      </c>
      <c r="D261" s="644"/>
      <c r="E261" s="24">
        <f t="shared" si="39"/>
        <v>1</v>
      </c>
      <c r="F261" s="644"/>
      <c r="G261" s="24">
        <f t="shared" si="40"/>
        <v>1</v>
      </c>
      <c r="H261" s="644"/>
      <c r="I261" s="24">
        <f t="shared" si="41"/>
        <v>1</v>
      </c>
      <c r="J261" s="644"/>
      <c r="K261" s="24">
        <f t="shared" si="42"/>
        <v>1</v>
      </c>
      <c r="L261" s="644"/>
      <c r="M261" s="24">
        <f t="shared" si="43"/>
        <v>1</v>
      </c>
      <c r="N261" s="644"/>
      <c r="O261" s="24">
        <f t="shared" si="44"/>
        <v>1</v>
      </c>
      <c r="P261" s="644"/>
      <c r="Q261" s="24">
        <f t="shared" si="45"/>
        <v>1</v>
      </c>
      <c r="R261" s="24">
        <f t="shared" si="46"/>
        <v>0</v>
      </c>
      <c r="S261" s="314">
        <f t="shared" si="47"/>
        <v>0</v>
      </c>
    </row>
    <row r="262" spans="1:19">
      <c r="A262" s="147"/>
      <c r="B262" s="55"/>
      <c r="C262" s="24">
        <f t="shared" si="38"/>
        <v>1</v>
      </c>
      <c r="D262" s="644"/>
      <c r="E262" s="24">
        <f t="shared" si="39"/>
        <v>1</v>
      </c>
      <c r="F262" s="644"/>
      <c r="G262" s="24">
        <f t="shared" si="40"/>
        <v>1</v>
      </c>
      <c r="H262" s="644"/>
      <c r="I262" s="24">
        <f t="shared" si="41"/>
        <v>1</v>
      </c>
      <c r="J262" s="644"/>
      <c r="K262" s="24">
        <f t="shared" si="42"/>
        <v>1</v>
      </c>
      <c r="L262" s="644"/>
      <c r="M262" s="24">
        <f t="shared" si="43"/>
        <v>1</v>
      </c>
      <c r="N262" s="644"/>
      <c r="O262" s="24">
        <f t="shared" si="44"/>
        <v>1</v>
      </c>
      <c r="P262" s="644"/>
      <c r="Q262" s="24">
        <f t="shared" si="45"/>
        <v>1</v>
      </c>
      <c r="R262" s="24">
        <f t="shared" si="46"/>
        <v>0</v>
      </c>
      <c r="S262" s="314">
        <f t="shared" si="47"/>
        <v>0</v>
      </c>
    </row>
    <row r="263" spans="1:19">
      <c r="A263" s="147"/>
      <c r="B263" s="55"/>
      <c r="C263" s="24">
        <f t="shared" si="38"/>
        <v>1</v>
      </c>
      <c r="D263" s="644"/>
      <c r="E263" s="24">
        <f t="shared" si="39"/>
        <v>1</v>
      </c>
      <c r="F263" s="644"/>
      <c r="G263" s="24">
        <f t="shared" si="40"/>
        <v>1</v>
      </c>
      <c r="H263" s="644"/>
      <c r="I263" s="24">
        <f t="shared" si="41"/>
        <v>1</v>
      </c>
      <c r="J263" s="644"/>
      <c r="K263" s="24">
        <f t="shared" si="42"/>
        <v>1</v>
      </c>
      <c r="L263" s="644"/>
      <c r="M263" s="24">
        <f t="shared" si="43"/>
        <v>1</v>
      </c>
      <c r="N263" s="644"/>
      <c r="O263" s="24">
        <f t="shared" si="44"/>
        <v>1</v>
      </c>
      <c r="P263" s="644"/>
      <c r="Q263" s="24">
        <f t="shared" si="45"/>
        <v>1</v>
      </c>
      <c r="R263" s="24">
        <f t="shared" si="46"/>
        <v>0</v>
      </c>
      <c r="S263" s="314">
        <f t="shared" si="47"/>
        <v>0</v>
      </c>
    </row>
    <row r="264" spans="1:19">
      <c r="A264" s="147"/>
      <c r="B264" s="55"/>
      <c r="C264" s="24">
        <f t="shared" si="38"/>
        <v>1</v>
      </c>
      <c r="D264" s="644"/>
      <c r="E264" s="24">
        <f t="shared" si="39"/>
        <v>1</v>
      </c>
      <c r="F264" s="644"/>
      <c r="G264" s="24">
        <f t="shared" si="40"/>
        <v>1</v>
      </c>
      <c r="H264" s="644"/>
      <c r="I264" s="24">
        <f t="shared" si="41"/>
        <v>1</v>
      </c>
      <c r="J264" s="644"/>
      <c r="K264" s="24">
        <f t="shared" si="42"/>
        <v>1</v>
      </c>
      <c r="L264" s="644"/>
      <c r="M264" s="24">
        <f t="shared" si="43"/>
        <v>1</v>
      </c>
      <c r="N264" s="644"/>
      <c r="O264" s="24">
        <f t="shared" si="44"/>
        <v>1</v>
      </c>
      <c r="P264" s="644"/>
      <c r="Q264" s="24">
        <f t="shared" si="45"/>
        <v>1</v>
      </c>
      <c r="R264" s="24">
        <f t="shared" si="46"/>
        <v>0</v>
      </c>
      <c r="S264" s="314">
        <f t="shared" si="47"/>
        <v>0</v>
      </c>
    </row>
    <row r="265" spans="1:19">
      <c r="A265" s="147"/>
      <c r="B265" s="55"/>
      <c r="C265" s="24">
        <f t="shared" si="38"/>
        <v>1</v>
      </c>
      <c r="D265" s="644"/>
      <c r="E265" s="24">
        <f t="shared" si="39"/>
        <v>1</v>
      </c>
      <c r="F265" s="644"/>
      <c r="G265" s="24">
        <f t="shared" si="40"/>
        <v>1</v>
      </c>
      <c r="H265" s="644"/>
      <c r="I265" s="24">
        <f t="shared" si="41"/>
        <v>1</v>
      </c>
      <c r="J265" s="644"/>
      <c r="K265" s="24">
        <f t="shared" si="42"/>
        <v>1</v>
      </c>
      <c r="L265" s="644"/>
      <c r="M265" s="24">
        <f t="shared" si="43"/>
        <v>1</v>
      </c>
      <c r="N265" s="644"/>
      <c r="O265" s="24">
        <f t="shared" si="44"/>
        <v>1</v>
      </c>
      <c r="P265" s="644"/>
      <c r="Q265" s="24">
        <f t="shared" si="45"/>
        <v>1</v>
      </c>
      <c r="R265" s="24">
        <f t="shared" si="46"/>
        <v>0</v>
      </c>
      <c r="S265" s="314">
        <f t="shared" si="47"/>
        <v>0</v>
      </c>
    </row>
    <row r="266" spans="1:19">
      <c r="A266" s="147"/>
      <c r="B266" s="55"/>
      <c r="C266" s="24">
        <f t="shared" si="38"/>
        <v>1</v>
      </c>
      <c r="D266" s="644"/>
      <c r="E266" s="24">
        <f t="shared" si="39"/>
        <v>1</v>
      </c>
      <c r="F266" s="644"/>
      <c r="G266" s="24">
        <f t="shared" si="40"/>
        <v>1</v>
      </c>
      <c r="H266" s="644"/>
      <c r="I266" s="24">
        <f t="shared" si="41"/>
        <v>1</v>
      </c>
      <c r="J266" s="644"/>
      <c r="K266" s="24">
        <f t="shared" si="42"/>
        <v>1</v>
      </c>
      <c r="L266" s="644"/>
      <c r="M266" s="24">
        <f t="shared" si="43"/>
        <v>1</v>
      </c>
      <c r="N266" s="644"/>
      <c r="O266" s="24">
        <f t="shared" si="44"/>
        <v>1</v>
      </c>
      <c r="P266" s="644"/>
      <c r="Q266" s="24">
        <f t="shared" si="45"/>
        <v>1</v>
      </c>
      <c r="R266" s="24">
        <f t="shared" si="46"/>
        <v>0</v>
      </c>
      <c r="S266" s="314">
        <f t="shared" si="47"/>
        <v>0</v>
      </c>
    </row>
    <row r="267" spans="1:19">
      <c r="A267" s="147"/>
      <c r="B267" s="55"/>
      <c r="C267" s="24">
        <f t="shared" si="38"/>
        <v>1</v>
      </c>
      <c r="D267" s="644"/>
      <c r="E267" s="24">
        <f t="shared" si="39"/>
        <v>1</v>
      </c>
      <c r="F267" s="644"/>
      <c r="G267" s="24">
        <f t="shared" si="40"/>
        <v>1</v>
      </c>
      <c r="H267" s="644"/>
      <c r="I267" s="24">
        <f t="shared" si="41"/>
        <v>1</v>
      </c>
      <c r="J267" s="644"/>
      <c r="K267" s="24">
        <f t="shared" si="42"/>
        <v>1</v>
      </c>
      <c r="L267" s="644"/>
      <c r="M267" s="24">
        <f t="shared" si="43"/>
        <v>1</v>
      </c>
      <c r="N267" s="644"/>
      <c r="O267" s="24">
        <f t="shared" si="44"/>
        <v>1</v>
      </c>
      <c r="P267" s="644"/>
      <c r="Q267" s="24">
        <f t="shared" si="45"/>
        <v>1</v>
      </c>
      <c r="R267" s="24">
        <f t="shared" si="46"/>
        <v>0</v>
      </c>
      <c r="S267" s="314">
        <f t="shared" si="47"/>
        <v>0</v>
      </c>
    </row>
    <row r="268" spans="1:19">
      <c r="A268" s="147"/>
      <c r="B268" s="55"/>
      <c r="C268" s="24">
        <f t="shared" si="38"/>
        <v>1</v>
      </c>
      <c r="D268" s="644"/>
      <c r="E268" s="24">
        <f t="shared" si="39"/>
        <v>1</v>
      </c>
      <c r="F268" s="644"/>
      <c r="G268" s="24">
        <f t="shared" si="40"/>
        <v>1</v>
      </c>
      <c r="H268" s="644"/>
      <c r="I268" s="24">
        <f t="shared" si="41"/>
        <v>1</v>
      </c>
      <c r="J268" s="644"/>
      <c r="K268" s="24">
        <f t="shared" si="42"/>
        <v>1</v>
      </c>
      <c r="L268" s="644"/>
      <c r="M268" s="24">
        <f t="shared" si="43"/>
        <v>1</v>
      </c>
      <c r="N268" s="644"/>
      <c r="O268" s="24">
        <f t="shared" si="44"/>
        <v>1</v>
      </c>
      <c r="P268" s="644"/>
      <c r="Q268" s="24">
        <f t="shared" si="45"/>
        <v>1</v>
      </c>
      <c r="R268" s="24">
        <f t="shared" si="46"/>
        <v>0</v>
      </c>
      <c r="S268" s="314">
        <f t="shared" si="47"/>
        <v>0</v>
      </c>
    </row>
    <row r="269" spans="1:19">
      <c r="A269" s="147"/>
      <c r="B269" s="55"/>
      <c r="C269" s="24">
        <f t="shared" si="38"/>
        <v>1</v>
      </c>
      <c r="D269" s="644"/>
      <c r="E269" s="24">
        <f t="shared" si="39"/>
        <v>1</v>
      </c>
      <c r="F269" s="644"/>
      <c r="G269" s="24">
        <f t="shared" si="40"/>
        <v>1</v>
      </c>
      <c r="H269" s="644"/>
      <c r="I269" s="24">
        <f t="shared" si="41"/>
        <v>1</v>
      </c>
      <c r="J269" s="644"/>
      <c r="K269" s="24">
        <f t="shared" si="42"/>
        <v>1</v>
      </c>
      <c r="L269" s="644"/>
      <c r="M269" s="24">
        <f t="shared" si="43"/>
        <v>1</v>
      </c>
      <c r="N269" s="644"/>
      <c r="O269" s="24">
        <f t="shared" si="44"/>
        <v>1</v>
      </c>
      <c r="P269" s="644"/>
      <c r="Q269" s="24">
        <f t="shared" si="45"/>
        <v>1</v>
      </c>
      <c r="R269" s="24">
        <f t="shared" si="46"/>
        <v>0</v>
      </c>
      <c r="S269" s="314">
        <f t="shared" si="47"/>
        <v>0</v>
      </c>
    </row>
    <row r="270" spans="1:19">
      <c r="A270" s="147"/>
      <c r="B270" s="55"/>
      <c r="C270" s="24">
        <f t="shared" si="38"/>
        <v>1</v>
      </c>
      <c r="D270" s="644"/>
      <c r="E270" s="24">
        <f t="shared" si="39"/>
        <v>1</v>
      </c>
      <c r="F270" s="644"/>
      <c r="G270" s="24">
        <f t="shared" si="40"/>
        <v>1</v>
      </c>
      <c r="H270" s="644"/>
      <c r="I270" s="24">
        <f t="shared" si="41"/>
        <v>1</v>
      </c>
      <c r="J270" s="644"/>
      <c r="K270" s="24">
        <f t="shared" si="42"/>
        <v>1</v>
      </c>
      <c r="L270" s="644"/>
      <c r="M270" s="24">
        <f t="shared" si="43"/>
        <v>1</v>
      </c>
      <c r="N270" s="644"/>
      <c r="O270" s="24">
        <f t="shared" si="44"/>
        <v>1</v>
      </c>
      <c r="P270" s="644"/>
      <c r="Q270" s="24">
        <f t="shared" si="45"/>
        <v>1</v>
      </c>
      <c r="R270" s="24">
        <f t="shared" si="46"/>
        <v>0</v>
      </c>
      <c r="S270" s="314">
        <f t="shared" si="47"/>
        <v>0</v>
      </c>
    </row>
    <row r="271" spans="1:19">
      <c r="A271" s="147"/>
      <c r="B271" s="55"/>
      <c r="C271" s="24">
        <f t="shared" si="38"/>
        <v>1</v>
      </c>
      <c r="D271" s="644"/>
      <c r="E271" s="24">
        <f t="shared" si="39"/>
        <v>1</v>
      </c>
      <c r="F271" s="644"/>
      <c r="G271" s="24">
        <f t="shared" si="40"/>
        <v>1</v>
      </c>
      <c r="H271" s="644"/>
      <c r="I271" s="24">
        <f t="shared" si="41"/>
        <v>1</v>
      </c>
      <c r="J271" s="644"/>
      <c r="K271" s="24">
        <f t="shared" si="42"/>
        <v>1</v>
      </c>
      <c r="L271" s="644"/>
      <c r="M271" s="24">
        <f t="shared" si="43"/>
        <v>1</v>
      </c>
      <c r="N271" s="644"/>
      <c r="O271" s="24">
        <f t="shared" si="44"/>
        <v>1</v>
      </c>
      <c r="P271" s="644"/>
      <c r="Q271" s="24">
        <f t="shared" si="45"/>
        <v>1</v>
      </c>
      <c r="R271" s="24">
        <f t="shared" si="46"/>
        <v>0</v>
      </c>
      <c r="S271" s="314">
        <f t="shared" si="47"/>
        <v>0</v>
      </c>
    </row>
    <row r="272" spans="1:19">
      <c r="A272" s="147"/>
      <c r="B272" s="55"/>
      <c r="C272" s="24">
        <f t="shared" si="38"/>
        <v>1</v>
      </c>
      <c r="D272" s="644"/>
      <c r="E272" s="24">
        <f t="shared" si="39"/>
        <v>1</v>
      </c>
      <c r="F272" s="644"/>
      <c r="G272" s="24">
        <f t="shared" si="40"/>
        <v>1</v>
      </c>
      <c r="H272" s="644"/>
      <c r="I272" s="24">
        <f t="shared" si="41"/>
        <v>1</v>
      </c>
      <c r="J272" s="644"/>
      <c r="K272" s="24">
        <f t="shared" si="42"/>
        <v>1</v>
      </c>
      <c r="L272" s="644"/>
      <c r="M272" s="24">
        <f t="shared" si="43"/>
        <v>1</v>
      </c>
      <c r="N272" s="644"/>
      <c r="O272" s="24">
        <f t="shared" si="44"/>
        <v>1</v>
      </c>
      <c r="P272" s="644"/>
      <c r="Q272" s="24">
        <f t="shared" si="45"/>
        <v>1</v>
      </c>
      <c r="R272" s="24">
        <f t="shared" si="46"/>
        <v>0</v>
      </c>
      <c r="S272" s="314">
        <f t="shared" si="47"/>
        <v>0</v>
      </c>
    </row>
    <row r="273" spans="1:19">
      <c r="A273" s="147"/>
      <c r="B273" s="55"/>
      <c r="C273" s="24">
        <f t="shared" si="38"/>
        <v>1</v>
      </c>
      <c r="D273" s="644"/>
      <c r="E273" s="24">
        <f t="shared" si="39"/>
        <v>1</v>
      </c>
      <c r="F273" s="644"/>
      <c r="G273" s="24">
        <f t="shared" si="40"/>
        <v>1</v>
      </c>
      <c r="H273" s="644"/>
      <c r="I273" s="24">
        <f t="shared" si="41"/>
        <v>1</v>
      </c>
      <c r="J273" s="644"/>
      <c r="K273" s="24">
        <f t="shared" si="42"/>
        <v>1</v>
      </c>
      <c r="L273" s="644"/>
      <c r="M273" s="24">
        <f t="shared" si="43"/>
        <v>1</v>
      </c>
      <c r="N273" s="644"/>
      <c r="O273" s="24">
        <f t="shared" si="44"/>
        <v>1</v>
      </c>
      <c r="P273" s="644"/>
      <c r="Q273" s="24">
        <f t="shared" si="45"/>
        <v>1</v>
      </c>
      <c r="R273" s="24">
        <f t="shared" si="46"/>
        <v>0</v>
      </c>
      <c r="S273" s="314">
        <f t="shared" si="47"/>
        <v>0</v>
      </c>
    </row>
    <row r="274" spans="1:19">
      <c r="A274" s="147"/>
      <c r="B274" s="55"/>
      <c r="C274" s="24">
        <f t="shared" si="38"/>
        <v>1</v>
      </c>
      <c r="D274" s="644"/>
      <c r="E274" s="24">
        <f t="shared" si="39"/>
        <v>1</v>
      </c>
      <c r="F274" s="644"/>
      <c r="G274" s="24">
        <f t="shared" si="40"/>
        <v>1</v>
      </c>
      <c r="H274" s="644"/>
      <c r="I274" s="24">
        <f t="shared" si="41"/>
        <v>1</v>
      </c>
      <c r="J274" s="644"/>
      <c r="K274" s="24">
        <f t="shared" si="42"/>
        <v>1</v>
      </c>
      <c r="L274" s="644"/>
      <c r="M274" s="24">
        <f t="shared" si="43"/>
        <v>1</v>
      </c>
      <c r="N274" s="644"/>
      <c r="O274" s="24">
        <f t="shared" si="44"/>
        <v>1</v>
      </c>
      <c r="P274" s="644"/>
      <c r="Q274" s="24">
        <f t="shared" si="45"/>
        <v>1</v>
      </c>
      <c r="R274" s="24">
        <f t="shared" si="46"/>
        <v>0</v>
      </c>
      <c r="S274" s="314">
        <f t="shared" si="47"/>
        <v>0</v>
      </c>
    </row>
    <row r="275" spans="1:19">
      <c r="A275" s="147"/>
      <c r="B275" s="55"/>
      <c r="C275" s="24">
        <f t="shared" si="38"/>
        <v>1</v>
      </c>
      <c r="D275" s="644"/>
      <c r="E275" s="24">
        <f t="shared" si="39"/>
        <v>1</v>
      </c>
      <c r="F275" s="644"/>
      <c r="G275" s="24">
        <f t="shared" si="40"/>
        <v>1</v>
      </c>
      <c r="H275" s="644"/>
      <c r="I275" s="24">
        <f t="shared" si="41"/>
        <v>1</v>
      </c>
      <c r="J275" s="644"/>
      <c r="K275" s="24">
        <f t="shared" si="42"/>
        <v>1</v>
      </c>
      <c r="L275" s="644"/>
      <c r="M275" s="24">
        <f t="shared" si="43"/>
        <v>1</v>
      </c>
      <c r="N275" s="644"/>
      <c r="O275" s="24">
        <f t="shared" si="44"/>
        <v>1</v>
      </c>
      <c r="P275" s="644"/>
      <c r="Q275" s="24">
        <f t="shared" si="45"/>
        <v>1</v>
      </c>
      <c r="R275" s="24">
        <f t="shared" si="46"/>
        <v>0</v>
      </c>
      <c r="S275" s="314">
        <f t="shared" si="47"/>
        <v>0</v>
      </c>
    </row>
    <row r="276" spans="1:19">
      <c r="A276" s="147"/>
      <c r="B276" s="55"/>
      <c r="C276" s="24">
        <f t="shared" si="38"/>
        <v>1</v>
      </c>
      <c r="D276" s="644"/>
      <c r="E276" s="24">
        <f t="shared" si="39"/>
        <v>1</v>
      </c>
      <c r="F276" s="644"/>
      <c r="G276" s="24">
        <f t="shared" si="40"/>
        <v>1</v>
      </c>
      <c r="H276" s="644"/>
      <c r="I276" s="24">
        <f t="shared" si="41"/>
        <v>1</v>
      </c>
      <c r="J276" s="644"/>
      <c r="K276" s="24">
        <f t="shared" si="42"/>
        <v>1</v>
      </c>
      <c r="L276" s="644"/>
      <c r="M276" s="24">
        <f t="shared" si="43"/>
        <v>1</v>
      </c>
      <c r="N276" s="644"/>
      <c r="O276" s="24">
        <f t="shared" si="44"/>
        <v>1</v>
      </c>
      <c r="P276" s="644"/>
      <c r="Q276" s="24">
        <f t="shared" si="45"/>
        <v>1</v>
      </c>
      <c r="R276" s="24">
        <f t="shared" si="46"/>
        <v>0</v>
      </c>
      <c r="S276" s="314">
        <f t="shared" si="47"/>
        <v>0</v>
      </c>
    </row>
    <row r="277" spans="1:19">
      <c r="A277" s="147"/>
      <c r="B277" s="55"/>
      <c r="C277" s="24">
        <f t="shared" si="38"/>
        <v>1</v>
      </c>
      <c r="D277" s="644"/>
      <c r="E277" s="24">
        <f t="shared" si="39"/>
        <v>1</v>
      </c>
      <c r="F277" s="644"/>
      <c r="G277" s="24">
        <f t="shared" si="40"/>
        <v>1</v>
      </c>
      <c r="H277" s="644"/>
      <c r="I277" s="24">
        <f t="shared" si="41"/>
        <v>1</v>
      </c>
      <c r="J277" s="644"/>
      <c r="K277" s="24">
        <f t="shared" si="42"/>
        <v>1</v>
      </c>
      <c r="L277" s="644"/>
      <c r="M277" s="24">
        <f t="shared" si="43"/>
        <v>1</v>
      </c>
      <c r="N277" s="644"/>
      <c r="O277" s="24">
        <f t="shared" si="44"/>
        <v>1</v>
      </c>
      <c r="P277" s="644"/>
      <c r="Q277" s="24">
        <f t="shared" si="45"/>
        <v>1</v>
      </c>
      <c r="R277" s="24">
        <f t="shared" si="46"/>
        <v>0</v>
      </c>
      <c r="S277" s="314">
        <f t="shared" si="47"/>
        <v>0</v>
      </c>
    </row>
    <row r="278" spans="1:19">
      <c r="A278" s="147"/>
      <c r="B278" s="55"/>
      <c r="C278" s="24">
        <f t="shared" si="38"/>
        <v>1</v>
      </c>
      <c r="D278" s="644"/>
      <c r="E278" s="24">
        <f t="shared" si="39"/>
        <v>1</v>
      </c>
      <c r="F278" s="644"/>
      <c r="G278" s="24">
        <f t="shared" si="40"/>
        <v>1</v>
      </c>
      <c r="H278" s="644"/>
      <c r="I278" s="24">
        <f t="shared" si="41"/>
        <v>1</v>
      </c>
      <c r="J278" s="644"/>
      <c r="K278" s="24">
        <f t="shared" si="42"/>
        <v>1</v>
      </c>
      <c r="L278" s="644"/>
      <c r="M278" s="24">
        <f t="shared" si="43"/>
        <v>1</v>
      </c>
      <c r="N278" s="644"/>
      <c r="O278" s="24">
        <f t="shared" si="44"/>
        <v>1</v>
      </c>
      <c r="P278" s="644"/>
      <c r="Q278" s="24">
        <f t="shared" si="45"/>
        <v>1</v>
      </c>
      <c r="R278" s="24">
        <f t="shared" si="46"/>
        <v>0</v>
      </c>
      <c r="S278" s="314">
        <f t="shared" si="47"/>
        <v>0</v>
      </c>
    </row>
    <row r="279" spans="1:19">
      <c r="A279" s="147"/>
      <c r="B279" s="55"/>
      <c r="C279" s="24">
        <f t="shared" si="38"/>
        <v>1</v>
      </c>
      <c r="D279" s="644"/>
      <c r="E279" s="24">
        <f t="shared" si="39"/>
        <v>1</v>
      </c>
      <c r="F279" s="644"/>
      <c r="G279" s="24">
        <f t="shared" si="40"/>
        <v>1</v>
      </c>
      <c r="H279" s="644"/>
      <c r="I279" s="24">
        <f t="shared" si="41"/>
        <v>1</v>
      </c>
      <c r="J279" s="644"/>
      <c r="K279" s="24">
        <f t="shared" si="42"/>
        <v>1</v>
      </c>
      <c r="L279" s="644"/>
      <c r="M279" s="24">
        <f t="shared" si="43"/>
        <v>1</v>
      </c>
      <c r="N279" s="644"/>
      <c r="O279" s="24">
        <f t="shared" si="44"/>
        <v>1</v>
      </c>
      <c r="P279" s="644"/>
      <c r="Q279" s="24">
        <f t="shared" si="45"/>
        <v>1</v>
      </c>
      <c r="R279" s="24">
        <f t="shared" si="46"/>
        <v>0</v>
      </c>
      <c r="S279" s="314">
        <f t="shared" si="47"/>
        <v>0</v>
      </c>
    </row>
    <row r="280" spans="1:19">
      <c r="A280" s="147"/>
      <c r="B280" s="55"/>
      <c r="C280" s="24">
        <f t="shared" si="38"/>
        <v>1</v>
      </c>
      <c r="D280" s="644"/>
      <c r="E280" s="24">
        <f t="shared" si="39"/>
        <v>1</v>
      </c>
      <c r="F280" s="644"/>
      <c r="G280" s="24">
        <f t="shared" si="40"/>
        <v>1</v>
      </c>
      <c r="H280" s="644"/>
      <c r="I280" s="24">
        <f t="shared" si="41"/>
        <v>1</v>
      </c>
      <c r="J280" s="644"/>
      <c r="K280" s="24">
        <f t="shared" si="42"/>
        <v>1</v>
      </c>
      <c r="L280" s="644"/>
      <c r="M280" s="24">
        <f t="shared" si="43"/>
        <v>1</v>
      </c>
      <c r="N280" s="644"/>
      <c r="O280" s="24">
        <f t="shared" si="44"/>
        <v>1</v>
      </c>
      <c r="P280" s="644"/>
      <c r="Q280" s="24">
        <f t="shared" si="45"/>
        <v>1</v>
      </c>
      <c r="R280" s="24">
        <f t="shared" si="46"/>
        <v>0</v>
      </c>
      <c r="S280" s="314">
        <f t="shared" si="47"/>
        <v>0</v>
      </c>
    </row>
    <row r="281" spans="1:19">
      <c r="A281" s="147"/>
      <c r="B281" s="55"/>
      <c r="C281" s="24">
        <f t="shared" si="38"/>
        <v>1</v>
      </c>
      <c r="D281" s="644"/>
      <c r="E281" s="24">
        <f t="shared" si="39"/>
        <v>1</v>
      </c>
      <c r="F281" s="644"/>
      <c r="G281" s="24">
        <f t="shared" si="40"/>
        <v>1</v>
      </c>
      <c r="H281" s="644"/>
      <c r="I281" s="24">
        <f t="shared" si="41"/>
        <v>1</v>
      </c>
      <c r="J281" s="644"/>
      <c r="K281" s="24">
        <f t="shared" si="42"/>
        <v>1</v>
      </c>
      <c r="L281" s="644"/>
      <c r="M281" s="24">
        <f t="shared" si="43"/>
        <v>1</v>
      </c>
      <c r="N281" s="644"/>
      <c r="O281" s="24">
        <f t="shared" si="44"/>
        <v>1</v>
      </c>
      <c r="P281" s="644"/>
      <c r="Q281" s="24">
        <f t="shared" si="45"/>
        <v>1</v>
      </c>
      <c r="R281" s="24">
        <f t="shared" si="46"/>
        <v>0</v>
      </c>
      <c r="S281" s="314">
        <f t="shared" si="47"/>
        <v>0</v>
      </c>
    </row>
    <row r="282" spans="1:19">
      <c r="A282" s="147"/>
      <c r="B282" s="55"/>
      <c r="C282" s="24">
        <f t="shared" ref="C282:C345" si="48">IF(B282="",1,(LOOKUP(B282,$3:$3,$4:$4)-LOOKUP($B$24,$3:$3,$4:$4)+100)/100)</f>
        <v>1</v>
      </c>
      <c r="D282" s="644"/>
      <c r="E282" s="24">
        <f t="shared" ref="E282:E345" si="49">(SUMIF($5:$5,D282,$6:$6)-SUMIF($5:$5,$D$24,$6:$6)+100)/100</f>
        <v>1</v>
      </c>
      <c r="F282" s="644"/>
      <c r="G282" s="24">
        <f t="shared" ref="G282:G345" si="50">(SUMIF($7:$7,F282,$8:$8)-SUMIF($7:$7,$F$24,$8:$8)+100)/100</f>
        <v>1</v>
      </c>
      <c r="H282" s="644"/>
      <c r="I282" s="24">
        <f t="shared" ref="I282:I345" si="51">(SUMIF($9:$9,H282,$10:$10)-SUMIF($9:$9,$H$24,$10:$10)+100)/100</f>
        <v>1</v>
      </c>
      <c r="J282" s="644"/>
      <c r="K282" s="24">
        <f t="shared" ref="K282:K345" si="52">(SUMIF($11:$11,J282,$12:$12)-SUMIF($11:$11,$J$24,$12:$12)+100)/100</f>
        <v>1</v>
      </c>
      <c r="L282" s="644"/>
      <c r="M282" s="24">
        <f t="shared" ref="M282:M345" si="53">(SUMIF($13:$13,L282,$14:$14)-SUMIF($13:$13,$L$24,$14:$14)+100)/100</f>
        <v>1</v>
      </c>
      <c r="N282" s="644"/>
      <c r="O282" s="24">
        <f t="shared" ref="O282:O345" si="54">(SUMIF($15:$15,N282,$16:$16)-SUMIF($15:$15,$N$24,$16:$16)+100)/100</f>
        <v>1</v>
      </c>
      <c r="P282" s="644"/>
      <c r="Q282" s="24">
        <f t="shared" ref="Q282:Q345" si="55">(SUMIF($17:$17,P282,$18:$18)-SUMIF($17:$17,$P$24,$18:$18)+100)/100</f>
        <v>1</v>
      </c>
      <c r="R282" s="24">
        <f t="shared" ref="R282:R345" si="56">IF(B282="",0,ROUND($R$24*C282*E282*G282*I282*K282*M282*O282*Q282,0))</f>
        <v>0</v>
      </c>
      <c r="S282" s="314">
        <f t="shared" si="47"/>
        <v>0</v>
      </c>
    </row>
    <row r="283" spans="1:19">
      <c r="A283" s="147"/>
      <c r="B283" s="55"/>
      <c r="C283" s="24">
        <f t="shared" si="48"/>
        <v>1</v>
      </c>
      <c r="D283" s="644"/>
      <c r="E283" s="24">
        <f t="shared" si="49"/>
        <v>1</v>
      </c>
      <c r="F283" s="644"/>
      <c r="G283" s="24">
        <f t="shared" si="50"/>
        <v>1</v>
      </c>
      <c r="H283" s="644"/>
      <c r="I283" s="24">
        <f t="shared" si="51"/>
        <v>1</v>
      </c>
      <c r="J283" s="644"/>
      <c r="K283" s="24">
        <f t="shared" si="52"/>
        <v>1</v>
      </c>
      <c r="L283" s="644"/>
      <c r="M283" s="24">
        <f t="shared" si="53"/>
        <v>1</v>
      </c>
      <c r="N283" s="644"/>
      <c r="O283" s="24">
        <f t="shared" si="54"/>
        <v>1</v>
      </c>
      <c r="P283" s="644"/>
      <c r="Q283" s="24">
        <f t="shared" si="55"/>
        <v>1</v>
      </c>
      <c r="R283" s="24">
        <f t="shared" si="56"/>
        <v>0</v>
      </c>
      <c r="S283" s="314">
        <f t="shared" si="47"/>
        <v>0</v>
      </c>
    </row>
    <row r="284" spans="1:19">
      <c r="A284" s="147"/>
      <c r="B284" s="55"/>
      <c r="C284" s="24">
        <f t="shared" si="48"/>
        <v>1</v>
      </c>
      <c r="D284" s="644"/>
      <c r="E284" s="24">
        <f t="shared" si="49"/>
        <v>1</v>
      </c>
      <c r="F284" s="644"/>
      <c r="G284" s="24">
        <f t="shared" si="50"/>
        <v>1</v>
      </c>
      <c r="H284" s="644"/>
      <c r="I284" s="24">
        <f t="shared" si="51"/>
        <v>1</v>
      </c>
      <c r="J284" s="644"/>
      <c r="K284" s="24">
        <f t="shared" si="52"/>
        <v>1</v>
      </c>
      <c r="L284" s="644"/>
      <c r="M284" s="24">
        <f t="shared" si="53"/>
        <v>1</v>
      </c>
      <c r="N284" s="644"/>
      <c r="O284" s="24">
        <f t="shared" si="54"/>
        <v>1</v>
      </c>
      <c r="P284" s="644"/>
      <c r="Q284" s="24">
        <f t="shared" si="55"/>
        <v>1</v>
      </c>
      <c r="R284" s="24">
        <f t="shared" si="56"/>
        <v>0</v>
      </c>
      <c r="S284" s="314">
        <f t="shared" si="47"/>
        <v>0</v>
      </c>
    </row>
    <row r="285" spans="1:19">
      <c r="A285" s="147"/>
      <c r="B285" s="55"/>
      <c r="C285" s="24">
        <f t="shared" si="48"/>
        <v>1</v>
      </c>
      <c r="D285" s="644"/>
      <c r="E285" s="24">
        <f t="shared" si="49"/>
        <v>1</v>
      </c>
      <c r="F285" s="644"/>
      <c r="G285" s="24">
        <f t="shared" si="50"/>
        <v>1</v>
      </c>
      <c r="H285" s="644"/>
      <c r="I285" s="24">
        <f t="shared" si="51"/>
        <v>1</v>
      </c>
      <c r="J285" s="644"/>
      <c r="K285" s="24">
        <f t="shared" si="52"/>
        <v>1</v>
      </c>
      <c r="L285" s="644"/>
      <c r="M285" s="24">
        <f t="shared" si="53"/>
        <v>1</v>
      </c>
      <c r="N285" s="644"/>
      <c r="O285" s="24">
        <f t="shared" si="54"/>
        <v>1</v>
      </c>
      <c r="P285" s="644"/>
      <c r="Q285" s="24">
        <f t="shared" si="55"/>
        <v>1</v>
      </c>
      <c r="R285" s="24">
        <f t="shared" si="56"/>
        <v>0</v>
      </c>
      <c r="S285" s="314">
        <f t="shared" si="47"/>
        <v>0</v>
      </c>
    </row>
    <row r="286" spans="1:19">
      <c r="A286" s="147"/>
      <c r="B286" s="55"/>
      <c r="C286" s="24">
        <f t="shared" si="48"/>
        <v>1</v>
      </c>
      <c r="D286" s="644"/>
      <c r="E286" s="24">
        <f t="shared" si="49"/>
        <v>1</v>
      </c>
      <c r="F286" s="644"/>
      <c r="G286" s="24">
        <f t="shared" si="50"/>
        <v>1</v>
      </c>
      <c r="H286" s="644"/>
      <c r="I286" s="24">
        <f t="shared" si="51"/>
        <v>1</v>
      </c>
      <c r="J286" s="644"/>
      <c r="K286" s="24">
        <f t="shared" si="52"/>
        <v>1</v>
      </c>
      <c r="L286" s="644"/>
      <c r="M286" s="24">
        <f t="shared" si="53"/>
        <v>1</v>
      </c>
      <c r="N286" s="644"/>
      <c r="O286" s="24">
        <f t="shared" si="54"/>
        <v>1</v>
      </c>
      <c r="P286" s="644"/>
      <c r="Q286" s="24">
        <f t="shared" si="55"/>
        <v>1</v>
      </c>
      <c r="R286" s="24">
        <f t="shared" si="56"/>
        <v>0</v>
      </c>
      <c r="S286" s="314">
        <f t="shared" si="47"/>
        <v>0</v>
      </c>
    </row>
    <row r="287" spans="1:19">
      <c r="A287" s="147"/>
      <c r="B287" s="55"/>
      <c r="C287" s="24">
        <f t="shared" si="48"/>
        <v>1</v>
      </c>
      <c r="D287" s="644"/>
      <c r="E287" s="24">
        <f t="shared" si="49"/>
        <v>1</v>
      </c>
      <c r="F287" s="644"/>
      <c r="G287" s="24">
        <f t="shared" si="50"/>
        <v>1</v>
      </c>
      <c r="H287" s="644"/>
      <c r="I287" s="24">
        <f t="shared" si="51"/>
        <v>1</v>
      </c>
      <c r="J287" s="644"/>
      <c r="K287" s="24">
        <f t="shared" si="52"/>
        <v>1</v>
      </c>
      <c r="L287" s="644"/>
      <c r="M287" s="24">
        <f t="shared" si="53"/>
        <v>1</v>
      </c>
      <c r="N287" s="644"/>
      <c r="O287" s="24">
        <f t="shared" si="54"/>
        <v>1</v>
      </c>
      <c r="P287" s="644"/>
      <c r="Q287" s="24">
        <f t="shared" si="55"/>
        <v>1</v>
      </c>
      <c r="R287" s="24">
        <f t="shared" si="56"/>
        <v>0</v>
      </c>
      <c r="S287" s="314">
        <f t="shared" ref="S287:S320" si="57">ROUND(R287*B287/10000,0)</f>
        <v>0</v>
      </c>
    </row>
    <row r="288" spans="1:19">
      <c r="A288" s="147"/>
      <c r="B288" s="55"/>
      <c r="C288" s="24">
        <f t="shared" si="48"/>
        <v>1</v>
      </c>
      <c r="D288" s="644"/>
      <c r="E288" s="24">
        <f t="shared" si="49"/>
        <v>1</v>
      </c>
      <c r="F288" s="644"/>
      <c r="G288" s="24">
        <f t="shared" si="50"/>
        <v>1</v>
      </c>
      <c r="H288" s="644"/>
      <c r="I288" s="24">
        <f t="shared" si="51"/>
        <v>1</v>
      </c>
      <c r="J288" s="644"/>
      <c r="K288" s="24">
        <f t="shared" si="52"/>
        <v>1</v>
      </c>
      <c r="L288" s="644"/>
      <c r="M288" s="24">
        <f t="shared" si="53"/>
        <v>1</v>
      </c>
      <c r="N288" s="644"/>
      <c r="O288" s="24">
        <f t="shared" si="54"/>
        <v>1</v>
      </c>
      <c r="P288" s="644"/>
      <c r="Q288" s="24">
        <f t="shared" si="55"/>
        <v>1</v>
      </c>
      <c r="R288" s="24">
        <f t="shared" si="56"/>
        <v>0</v>
      </c>
      <c r="S288" s="314">
        <f t="shared" si="57"/>
        <v>0</v>
      </c>
    </row>
    <row r="289" spans="1:19">
      <c r="A289" s="147"/>
      <c r="B289" s="55"/>
      <c r="C289" s="24">
        <f t="shared" si="48"/>
        <v>1</v>
      </c>
      <c r="D289" s="644"/>
      <c r="E289" s="24">
        <f t="shared" si="49"/>
        <v>1</v>
      </c>
      <c r="F289" s="644"/>
      <c r="G289" s="24">
        <f t="shared" si="50"/>
        <v>1</v>
      </c>
      <c r="H289" s="644"/>
      <c r="I289" s="24">
        <f t="shared" si="51"/>
        <v>1</v>
      </c>
      <c r="J289" s="644"/>
      <c r="K289" s="24">
        <f t="shared" si="52"/>
        <v>1</v>
      </c>
      <c r="L289" s="644"/>
      <c r="M289" s="24">
        <f t="shared" si="53"/>
        <v>1</v>
      </c>
      <c r="N289" s="644"/>
      <c r="O289" s="24">
        <f t="shared" si="54"/>
        <v>1</v>
      </c>
      <c r="P289" s="644"/>
      <c r="Q289" s="24">
        <f t="shared" si="55"/>
        <v>1</v>
      </c>
      <c r="R289" s="24">
        <f t="shared" si="56"/>
        <v>0</v>
      </c>
      <c r="S289" s="314">
        <f t="shared" si="57"/>
        <v>0</v>
      </c>
    </row>
    <row r="290" spans="1:19">
      <c r="A290" s="147"/>
      <c r="B290" s="55"/>
      <c r="C290" s="24">
        <f t="shared" si="48"/>
        <v>1</v>
      </c>
      <c r="D290" s="644"/>
      <c r="E290" s="24">
        <f t="shared" si="49"/>
        <v>1</v>
      </c>
      <c r="F290" s="644"/>
      <c r="G290" s="24">
        <f t="shared" si="50"/>
        <v>1</v>
      </c>
      <c r="H290" s="644"/>
      <c r="I290" s="24">
        <f t="shared" si="51"/>
        <v>1</v>
      </c>
      <c r="J290" s="644"/>
      <c r="K290" s="24">
        <f t="shared" si="52"/>
        <v>1</v>
      </c>
      <c r="L290" s="644"/>
      <c r="M290" s="24">
        <f t="shared" si="53"/>
        <v>1</v>
      </c>
      <c r="N290" s="644"/>
      <c r="O290" s="24">
        <f t="shared" si="54"/>
        <v>1</v>
      </c>
      <c r="P290" s="644"/>
      <c r="Q290" s="24">
        <f t="shared" si="55"/>
        <v>1</v>
      </c>
      <c r="R290" s="24">
        <f t="shared" si="56"/>
        <v>0</v>
      </c>
      <c r="S290" s="314">
        <f t="shared" si="57"/>
        <v>0</v>
      </c>
    </row>
    <row r="291" spans="1:19">
      <c r="A291" s="147"/>
      <c r="B291" s="55"/>
      <c r="C291" s="24">
        <f t="shared" si="48"/>
        <v>1</v>
      </c>
      <c r="D291" s="644"/>
      <c r="E291" s="24">
        <f t="shared" si="49"/>
        <v>1</v>
      </c>
      <c r="F291" s="644"/>
      <c r="G291" s="24">
        <f t="shared" si="50"/>
        <v>1</v>
      </c>
      <c r="H291" s="644"/>
      <c r="I291" s="24">
        <f t="shared" si="51"/>
        <v>1</v>
      </c>
      <c r="J291" s="644"/>
      <c r="K291" s="24">
        <f t="shared" si="52"/>
        <v>1</v>
      </c>
      <c r="L291" s="644"/>
      <c r="M291" s="24">
        <f t="shared" si="53"/>
        <v>1</v>
      </c>
      <c r="N291" s="644"/>
      <c r="O291" s="24">
        <f t="shared" si="54"/>
        <v>1</v>
      </c>
      <c r="P291" s="644"/>
      <c r="Q291" s="24">
        <f t="shared" si="55"/>
        <v>1</v>
      </c>
      <c r="R291" s="24">
        <f t="shared" si="56"/>
        <v>0</v>
      </c>
      <c r="S291" s="314">
        <f t="shared" si="57"/>
        <v>0</v>
      </c>
    </row>
    <row r="292" spans="1:19">
      <c r="A292" s="147"/>
      <c r="B292" s="55"/>
      <c r="C292" s="24">
        <f t="shared" si="48"/>
        <v>1</v>
      </c>
      <c r="D292" s="644"/>
      <c r="E292" s="24">
        <f t="shared" si="49"/>
        <v>1</v>
      </c>
      <c r="F292" s="644"/>
      <c r="G292" s="24">
        <f t="shared" si="50"/>
        <v>1</v>
      </c>
      <c r="H292" s="644"/>
      <c r="I292" s="24">
        <f t="shared" si="51"/>
        <v>1</v>
      </c>
      <c r="J292" s="644"/>
      <c r="K292" s="24">
        <f t="shared" si="52"/>
        <v>1</v>
      </c>
      <c r="L292" s="644"/>
      <c r="M292" s="24">
        <f t="shared" si="53"/>
        <v>1</v>
      </c>
      <c r="N292" s="644"/>
      <c r="O292" s="24">
        <f t="shared" si="54"/>
        <v>1</v>
      </c>
      <c r="P292" s="644"/>
      <c r="Q292" s="24">
        <f t="shared" si="55"/>
        <v>1</v>
      </c>
      <c r="R292" s="24">
        <f t="shared" si="56"/>
        <v>0</v>
      </c>
      <c r="S292" s="314">
        <f t="shared" si="57"/>
        <v>0</v>
      </c>
    </row>
    <row r="293" spans="1:19">
      <c r="A293" s="147"/>
      <c r="B293" s="55"/>
      <c r="C293" s="24">
        <f t="shared" si="48"/>
        <v>1</v>
      </c>
      <c r="D293" s="644"/>
      <c r="E293" s="24">
        <f t="shared" si="49"/>
        <v>1</v>
      </c>
      <c r="F293" s="644"/>
      <c r="G293" s="24">
        <f t="shared" si="50"/>
        <v>1</v>
      </c>
      <c r="H293" s="644"/>
      <c r="I293" s="24">
        <f t="shared" si="51"/>
        <v>1</v>
      </c>
      <c r="J293" s="644"/>
      <c r="K293" s="24">
        <f t="shared" si="52"/>
        <v>1</v>
      </c>
      <c r="L293" s="644"/>
      <c r="M293" s="24">
        <f t="shared" si="53"/>
        <v>1</v>
      </c>
      <c r="N293" s="644"/>
      <c r="O293" s="24">
        <f t="shared" si="54"/>
        <v>1</v>
      </c>
      <c r="P293" s="644"/>
      <c r="Q293" s="24">
        <f t="shared" si="55"/>
        <v>1</v>
      </c>
      <c r="R293" s="24">
        <f t="shared" si="56"/>
        <v>0</v>
      </c>
      <c r="S293" s="314">
        <f t="shared" si="57"/>
        <v>0</v>
      </c>
    </row>
    <row r="294" spans="1:19">
      <c r="A294" s="147"/>
      <c r="B294" s="55"/>
      <c r="C294" s="24">
        <f t="shared" si="48"/>
        <v>1</v>
      </c>
      <c r="D294" s="644"/>
      <c r="E294" s="24">
        <f t="shared" si="49"/>
        <v>1</v>
      </c>
      <c r="F294" s="644"/>
      <c r="G294" s="24">
        <f t="shared" si="50"/>
        <v>1</v>
      </c>
      <c r="H294" s="644"/>
      <c r="I294" s="24">
        <f t="shared" si="51"/>
        <v>1</v>
      </c>
      <c r="J294" s="644"/>
      <c r="K294" s="24">
        <f t="shared" si="52"/>
        <v>1</v>
      </c>
      <c r="L294" s="644"/>
      <c r="M294" s="24">
        <f t="shared" si="53"/>
        <v>1</v>
      </c>
      <c r="N294" s="644"/>
      <c r="O294" s="24">
        <f t="shared" si="54"/>
        <v>1</v>
      </c>
      <c r="P294" s="644"/>
      <c r="Q294" s="24">
        <f t="shared" si="55"/>
        <v>1</v>
      </c>
      <c r="R294" s="24">
        <f t="shared" si="56"/>
        <v>0</v>
      </c>
      <c r="S294" s="314">
        <f t="shared" si="57"/>
        <v>0</v>
      </c>
    </row>
    <row r="295" spans="1:19">
      <c r="A295" s="147"/>
      <c r="B295" s="55"/>
      <c r="C295" s="24">
        <f t="shared" si="48"/>
        <v>1</v>
      </c>
      <c r="D295" s="644"/>
      <c r="E295" s="24">
        <f t="shared" si="49"/>
        <v>1</v>
      </c>
      <c r="F295" s="644"/>
      <c r="G295" s="24">
        <f t="shared" si="50"/>
        <v>1</v>
      </c>
      <c r="H295" s="644"/>
      <c r="I295" s="24">
        <f t="shared" si="51"/>
        <v>1</v>
      </c>
      <c r="J295" s="644"/>
      <c r="K295" s="24">
        <f t="shared" si="52"/>
        <v>1</v>
      </c>
      <c r="L295" s="644"/>
      <c r="M295" s="24">
        <f t="shared" si="53"/>
        <v>1</v>
      </c>
      <c r="N295" s="644"/>
      <c r="O295" s="24">
        <f t="shared" si="54"/>
        <v>1</v>
      </c>
      <c r="P295" s="644"/>
      <c r="Q295" s="24">
        <f t="shared" si="55"/>
        <v>1</v>
      </c>
      <c r="R295" s="24">
        <f t="shared" si="56"/>
        <v>0</v>
      </c>
      <c r="S295" s="314">
        <f t="shared" si="57"/>
        <v>0</v>
      </c>
    </row>
    <row r="296" spans="1:19">
      <c r="A296" s="147"/>
      <c r="B296" s="55"/>
      <c r="C296" s="24">
        <f t="shared" si="48"/>
        <v>1</v>
      </c>
      <c r="D296" s="644"/>
      <c r="E296" s="24">
        <f t="shared" si="49"/>
        <v>1</v>
      </c>
      <c r="F296" s="644"/>
      <c r="G296" s="24">
        <f t="shared" si="50"/>
        <v>1</v>
      </c>
      <c r="H296" s="644"/>
      <c r="I296" s="24">
        <f t="shared" si="51"/>
        <v>1</v>
      </c>
      <c r="J296" s="644"/>
      <c r="K296" s="24">
        <f t="shared" si="52"/>
        <v>1</v>
      </c>
      <c r="L296" s="644"/>
      <c r="M296" s="24">
        <f t="shared" si="53"/>
        <v>1</v>
      </c>
      <c r="N296" s="644"/>
      <c r="O296" s="24">
        <f t="shared" si="54"/>
        <v>1</v>
      </c>
      <c r="P296" s="644"/>
      <c r="Q296" s="24">
        <f t="shared" si="55"/>
        <v>1</v>
      </c>
      <c r="R296" s="24">
        <f t="shared" si="56"/>
        <v>0</v>
      </c>
      <c r="S296" s="314">
        <f t="shared" si="57"/>
        <v>0</v>
      </c>
    </row>
    <row r="297" spans="1:19">
      <c r="A297" s="147"/>
      <c r="B297" s="55"/>
      <c r="C297" s="24">
        <f t="shared" si="48"/>
        <v>1</v>
      </c>
      <c r="D297" s="644"/>
      <c r="E297" s="24">
        <f t="shared" si="49"/>
        <v>1</v>
      </c>
      <c r="F297" s="644"/>
      <c r="G297" s="24">
        <f t="shared" si="50"/>
        <v>1</v>
      </c>
      <c r="H297" s="644"/>
      <c r="I297" s="24">
        <f t="shared" si="51"/>
        <v>1</v>
      </c>
      <c r="J297" s="644"/>
      <c r="K297" s="24">
        <f t="shared" si="52"/>
        <v>1</v>
      </c>
      <c r="L297" s="644"/>
      <c r="M297" s="24">
        <f t="shared" si="53"/>
        <v>1</v>
      </c>
      <c r="N297" s="644"/>
      <c r="O297" s="24">
        <f t="shared" si="54"/>
        <v>1</v>
      </c>
      <c r="P297" s="644"/>
      <c r="Q297" s="24">
        <f t="shared" si="55"/>
        <v>1</v>
      </c>
      <c r="R297" s="24">
        <f t="shared" si="56"/>
        <v>0</v>
      </c>
      <c r="S297" s="314">
        <f t="shared" si="57"/>
        <v>0</v>
      </c>
    </row>
    <row r="298" spans="1:19">
      <c r="A298" s="147"/>
      <c r="B298" s="55"/>
      <c r="C298" s="24">
        <f t="shared" si="48"/>
        <v>1</v>
      </c>
      <c r="D298" s="644"/>
      <c r="E298" s="24">
        <f t="shared" si="49"/>
        <v>1</v>
      </c>
      <c r="F298" s="644"/>
      <c r="G298" s="24">
        <f t="shared" si="50"/>
        <v>1</v>
      </c>
      <c r="H298" s="644"/>
      <c r="I298" s="24">
        <f t="shared" si="51"/>
        <v>1</v>
      </c>
      <c r="J298" s="644"/>
      <c r="K298" s="24">
        <f t="shared" si="52"/>
        <v>1</v>
      </c>
      <c r="L298" s="644"/>
      <c r="M298" s="24">
        <f t="shared" si="53"/>
        <v>1</v>
      </c>
      <c r="N298" s="644"/>
      <c r="O298" s="24">
        <f t="shared" si="54"/>
        <v>1</v>
      </c>
      <c r="P298" s="644"/>
      <c r="Q298" s="24">
        <f t="shared" si="55"/>
        <v>1</v>
      </c>
      <c r="R298" s="24">
        <f t="shared" si="56"/>
        <v>0</v>
      </c>
      <c r="S298" s="314">
        <f t="shared" si="57"/>
        <v>0</v>
      </c>
    </row>
    <row r="299" spans="1:19">
      <c r="A299" s="147"/>
      <c r="B299" s="55"/>
      <c r="C299" s="24">
        <f t="shared" si="48"/>
        <v>1</v>
      </c>
      <c r="D299" s="644"/>
      <c r="E299" s="24">
        <f t="shared" si="49"/>
        <v>1</v>
      </c>
      <c r="F299" s="644"/>
      <c r="G299" s="24">
        <f t="shared" si="50"/>
        <v>1</v>
      </c>
      <c r="H299" s="644"/>
      <c r="I299" s="24">
        <f t="shared" si="51"/>
        <v>1</v>
      </c>
      <c r="J299" s="644"/>
      <c r="K299" s="24">
        <f t="shared" si="52"/>
        <v>1</v>
      </c>
      <c r="L299" s="644"/>
      <c r="M299" s="24">
        <f t="shared" si="53"/>
        <v>1</v>
      </c>
      <c r="N299" s="644"/>
      <c r="O299" s="24">
        <f t="shared" si="54"/>
        <v>1</v>
      </c>
      <c r="P299" s="644"/>
      <c r="Q299" s="24">
        <f t="shared" si="55"/>
        <v>1</v>
      </c>
      <c r="R299" s="24">
        <f t="shared" si="56"/>
        <v>0</v>
      </c>
      <c r="S299" s="314">
        <f t="shared" si="57"/>
        <v>0</v>
      </c>
    </row>
    <row r="300" spans="1:19">
      <c r="A300" s="147"/>
      <c r="B300" s="55"/>
      <c r="C300" s="24">
        <f t="shared" si="48"/>
        <v>1</v>
      </c>
      <c r="D300" s="644"/>
      <c r="E300" s="24">
        <f t="shared" si="49"/>
        <v>1</v>
      </c>
      <c r="F300" s="644"/>
      <c r="G300" s="24">
        <f t="shared" si="50"/>
        <v>1</v>
      </c>
      <c r="H300" s="644"/>
      <c r="I300" s="24">
        <f t="shared" si="51"/>
        <v>1</v>
      </c>
      <c r="J300" s="644"/>
      <c r="K300" s="24">
        <f t="shared" si="52"/>
        <v>1</v>
      </c>
      <c r="L300" s="644"/>
      <c r="M300" s="24">
        <f t="shared" si="53"/>
        <v>1</v>
      </c>
      <c r="N300" s="644"/>
      <c r="O300" s="24">
        <f t="shared" si="54"/>
        <v>1</v>
      </c>
      <c r="P300" s="644"/>
      <c r="Q300" s="24">
        <f t="shared" si="55"/>
        <v>1</v>
      </c>
      <c r="R300" s="24">
        <f t="shared" si="56"/>
        <v>0</v>
      </c>
      <c r="S300" s="314">
        <f t="shared" si="57"/>
        <v>0</v>
      </c>
    </row>
    <row r="301" spans="1:19">
      <c r="A301" s="147"/>
      <c r="B301" s="55"/>
      <c r="C301" s="24">
        <f t="shared" si="48"/>
        <v>1</v>
      </c>
      <c r="D301" s="644"/>
      <c r="E301" s="24">
        <f t="shared" si="49"/>
        <v>1</v>
      </c>
      <c r="F301" s="644"/>
      <c r="G301" s="24">
        <f t="shared" si="50"/>
        <v>1</v>
      </c>
      <c r="H301" s="644"/>
      <c r="I301" s="24">
        <f t="shared" si="51"/>
        <v>1</v>
      </c>
      <c r="J301" s="644"/>
      <c r="K301" s="24">
        <f t="shared" si="52"/>
        <v>1</v>
      </c>
      <c r="L301" s="644"/>
      <c r="M301" s="24">
        <f t="shared" si="53"/>
        <v>1</v>
      </c>
      <c r="N301" s="644"/>
      <c r="O301" s="24">
        <f t="shared" si="54"/>
        <v>1</v>
      </c>
      <c r="P301" s="644"/>
      <c r="Q301" s="24">
        <f t="shared" si="55"/>
        <v>1</v>
      </c>
      <c r="R301" s="24">
        <f t="shared" si="56"/>
        <v>0</v>
      </c>
      <c r="S301" s="314">
        <f t="shared" si="57"/>
        <v>0</v>
      </c>
    </row>
    <row r="302" spans="1:19">
      <c r="A302" s="147"/>
      <c r="B302" s="55"/>
      <c r="C302" s="24">
        <f t="shared" si="48"/>
        <v>1</v>
      </c>
      <c r="D302" s="644"/>
      <c r="E302" s="24">
        <f t="shared" si="49"/>
        <v>1</v>
      </c>
      <c r="F302" s="644"/>
      <c r="G302" s="24">
        <f t="shared" si="50"/>
        <v>1</v>
      </c>
      <c r="H302" s="644"/>
      <c r="I302" s="24">
        <f t="shared" si="51"/>
        <v>1</v>
      </c>
      <c r="J302" s="644"/>
      <c r="K302" s="24">
        <f t="shared" si="52"/>
        <v>1</v>
      </c>
      <c r="L302" s="644"/>
      <c r="M302" s="24">
        <f t="shared" si="53"/>
        <v>1</v>
      </c>
      <c r="N302" s="644"/>
      <c r="O302" s="24">
        <f t="shared" si="54"/>
        <v>1</v>
      </c>
      <c r="P302" s="644"/>
      <c r="Q302" s="24">
        <f t="shared" si="55"/>
        <v>1</v>
      </c>
      <c r="R302" s="24">
        <f t="shared" si="56"/>
        <v>0</v>
      </c>
      <c r="S302" s="314">
        <f t="shared" si="57"/>
        <v>0</v>
      </c>
    </row>
    <row r="303" spans="1:19">
      <c r="A303" s="147"/>
      <c r="B303" s="55"/>
      <c r="C303" s="24">
        <f t="shared" si="48"/>
        <v>1</v>
      </c>
      <c r="D303" s="644"/>
      <c r="E303" s="24">
        <f t="shared" si="49"/>
        <v>1</v>
      </c>
      <c r="F303" s="644"/>
      <c r="G303" s="24">
        <f t="shared" si="50"/>
        <v>1</v>
      </c>
      <c r="H303" s="644"/>
      <c r="I303" s="24">
        <f t="shared" si="51"/>
        <v>1</v>
      </c>
      <c r="J303" s="644"/>
      <c r="K303" s="24">
        <f t="shared" si="52"/>
        <v>1</v>
      </c>
      <c r="L303" s="644"/>
      <c r="M303" s="24">
        <f t="shared" si="53"/>
        <v>1</v>
      </c>
      <c r="N303" s="644"/>
      <c r="O303" s="24">
        <f t="shared" si="54"/>
        <v>1</v>
      </c>
      <c r="P303" s="644"/>
      <c r="Q303" s="24">
        <f t="shared" si="55"/>
        <v>1</v>
      </c>
      <c r="R303" s="24">
        <f t="shared" si="56"/>
        <v>0</v>
      </c>
      <c r="S303" s="314">
        <f t="shared" si="57"/>
        <v>0</v>
      </c>
    </row>
    <row r="304" spans="1:19">
      <c r="A304" s="147"/>
      <c r="B304" s="55"/>
      <c r="C304" s="24">
        <f t="shared" si="48"/>
        <v>1</v>
      </c>
      <c r="D304" s="644"/>
      <c r="E304" s="24">
        <f t="shared" si="49"/>
        <v>1</v>
      </c>
      <c r="F304" s="644"/>
      <c r="G304" s="24">
        <f t="shared" si="50"/>
        <v>1</v>
      </c>
      <c r="H304" s="644"/>
      <c r="I304" s="24">
        <f t="shared" si="51"/>
        <v>1</v>
      </c>
      <c r="J304" s="644"/>
      <c r="K304" s="24">
        <f t="shared" si="52"/>
        <v>1</v>
      </c>
      <c r="L304" s="644"/>
      <c r="M304" s="24">
        <f t="shared" si="53"/>
        <v>1</v>
      </c>
      <c r="N304" s="644"/>
      <c r="O304" s="24">
        <f t="shared" si="54"/>
        <v>1</v>
      </c>
      <c r="P304" s="644"/>
      <c r="Q304" s="24">
        <f t="shared" si="55"/>
        <v>1</v>
      </c>
      <c r="R304" s="24">
        <f t="shared" si="56"/>
        <v>0</v>
      </c>
      <c r="S304" s="314">
        <f t="shared" si="57"/>
        <v>0</v>
      </c>
    </row>
    <row r="305" spans="1:19">
      <c r="A305" s="147"/>
      <c r="B305" s="55"/>
      <c r="C305" s="24">
        <f t="shared" si="48"/>
        <v>1</v>
      </c>
      <c r="D305" s="644"/>
      <c r="E305" s="24">
        <f t="shared" si="49"/>
        <v>1</v>
      </c>
      <c r="F305" s="644"/>
      <c r="G305" s="24">
        <f t="shared" si="50"/>
        <v>1</v>
      </c>
      <c r="H305" s="644"/>
      <c r="I305" s="24">
        <f t="shared" si="51"/>
        <v>1</v>
      </c>
      <c r="J305" s="644"/>
      <c r="K305" s="24">
        <f t="shared" si="52"/>
        <v>1</v>
      </c>
      <c r="L305" s="644"/>
      <c r="M305" s="24">
        <f t="shared" si="53"/>
        <v>1</v>
      </c>
      <c r="N305" s="644"/>
      <c r="O305" s="24">
        <f t="shared" si="54"/>
        <v>1</v>
      </c>
      <c r="P305" s="644"/>
      <c r="Q305" s="24">
        <f t="shared" si="55"/>
        <v>1</v>
      </c>
      <c r="R305" s="24">
        <f t="shared" si="56"/>
        <v>0</v>
      </c>
      <c r="S305" s="314">
        <f t="shared" si="57"/>
        <v>0</v>
      </c>
    </row>
    <row r="306" spans="1:19">
      <c r="A306" s="147"/>
      <c r="B306" s="55"/>
      <c r="C306" s="24">
        <f t="shared" si="48"/>
        <v>1</v>
      </c>
      <c r="D306" s="644"/>
      <c r="E306" s="24">
        <f t="shared" si="49"/>
        <v>1</v>
      </c>
      <c r="F306" s="644"/>
      <c r="G306" s="24">
        <f t="shared" si="50"/>
        <v>1</v>
      </c>
      <c r="H306" s="644"/>
      <c r="I306" s="24">
        <f t="shared" si="51"/>
        <v>1</v>
      </c>
      <c r="J306" s="644"/>
      <c r="K306" s="24">
        <f t="shared" si="52"/>
        <v>1</v>
      </c>
      <c r="L306" s="644"/>
      <c r="M306" s="24">
        <f t="shared" si="53"/>
        <v>1</v>
      </c>
      <c r="N306" s="644"/>
      <c r="O306" s="24">
        <f t="shared" si="54"/>
        <v>1</v>
      </c>
      <c r="P306" s="644"/>
      <c r="Q306" s="24">
        <f t="shared" si="55"/>
        <v>1</v>
      </c>
      <c r="R306" s="24">
        <f t="shared" si="56"/>
        <v>0</v>
      </c>
      <c r="S306" s="314">
        <f t="shared" si="57"/>
        <v>0</v>
      </c>
    </row>
    <row r="307" spans="1:19">
      <c r="A307" s="147"/>
      <c r="B307" s="55"/>
      <c r="C307" s="24">
        <f t="shared" si="48"/>
        <v>1</v>
      </c>
      <c r="D307" s="644"/>
      <c r="E307" s="24">
        <f t="shared" si="49"/>
        <v>1</v>
      </c>
      <c r="F307" s="644"/>
      <c r="G307" s="24">
        <f t="shared" si="50"/>
        <v>1</v>
      </c>
      <c r="H307" s="644"/>
      <c r="I307" s="24">
        <f t="shared" si="51"/>
        <v>1</v>
      </c>
      <c r="J307" s="644"/>
      <c r="K307" s="24">
        <f t="shared" si="52"/>
        <v>1</v>
      </c>
      <c r="L307" s="644"/>
      <c r="M307" s="24">
        <f t="shared" si="53"/>
        <v>1</v>
      </c>
      <c r="N307" s="644"/>
      <c r="O307" s="24">
        <f t="shared" si="54"/>
        <v>1</v>
      </c>
      <c r="P307" s="644"/>
      <c r="Q307" s="24">
        <f t="shared" si="55"/>
        <v>1</v>
      </c>
      <c r="R307" s="24">
        <f t="shared" si="56"/>
        <v>0</v>
      </c>
      <c r="S307" s="314">
        <f t="shared" si="57"/>
        <v>0</v>
      </c>
    </row>
    <row r="308" spans="1:19">
      <c r="A308" s="147"/>
      <c r="B308" s="55"/>
      <c r="C308" s="24">
        <f t="shared" si="48"/>
        <v>1</v>
      </c>
      <c r="D308" s="644"/>
      <c r="E308" s="24">
        <f t="shared" si="49"/>
        <v>1</v>
      </c>
      <c r="F308" s="644"/>
      <c r="G308" s="24">
        <f t="shared" si="50"/>
        <v>1</v>
      </c>
      <c r="H308" s="644"/>
      <c r="I308" s="24">
        <f t="shared" si="51"/>
        <v>1</v>
      </c>
      <c r="J308" s="644"/>
      <c r="K308" s="24">
        <f t="shared" si="52"/>
        <v>1</v>
      </c>
      <c r="L308" s="644"/>
      <c r="M308" s="24">
        <f t="shared" si="53"/>
        <v>1</v>
      </c>
      <c r="N308" s="644"/>
      <c r="O308" s="24">
        <f t="shared" si="54"/>
        <v>1</v>
      </c>
      <c r="P308" s="644"/>
      <c r="Q308" s="24">
        <f t="shared" si="55"/>
        <v>1</v>
      </c>
      <c r="R308" s="24">
        <f t="shared" si="56"/>
        <v>0</v>
      </c>
      <c r="S308" s="314">
        <f t="shared" si="57"/>
        <v>0</v>
      </c>
    </row>
    <row r="309" spans="1:19">
      <c r="A309" s="147"/>
      <c r="B309" s="55"/>
      <c r="C309" s="24">
        <f t="shared" si="48"/>
        <v>1</v>
      </c>
      <c r="D309" s="644"/>
      <c r="E309" s="24">
        <f t="shared" si="49"/>
        <v>1</v>
      </c>
      <c r="F309" s="644"/>
      <c r="G309" s="24">
        <f t="shared" si="50"/>
        <v>1</v>
      </c>
      <c r="H309" s="644"/>
      <c r="I309" s="24">
        <f t="shared" si="51"/>
        <v>1</v>
      </c>
      <c r="J309" s="644"/>
      <c r="K309" s="24">
        <f t="shared" si="52"/>
        <v>1</v>
      </c>
      <c r="L309" s="644"/>
      <c r="M309" s="24">
        <f t="shared" si="53"/>
        <v>1</v>
      </c>
      <c r="N309" s="644"/>
      <c r="O309" s="24">
        <f t="shared" si="54"/>
        <v>1</v>
      </c>
      <c r="P309" s="644"/>
      <c r="Q309" s="24">
        <f t="shared" si="55"/>
        <v>1</v>
      </c>
      <c r="R309" s="24">
        <f t="shared" si="56"/>
        <v>0</v>
      </c>
      <c r="S309" s="314">
        <f t="shared" si="57"/>
        <v>0</v>
      </c>
    </row>
    <row r="310" spans="1:19">
      <c r="A310" s="147"/>
      <c r="B310" s="55"/>
      <c r="C310" s="24">
        <f t="shared" si="48"/>
        <v>1</v>
      </c>
      <c r="D310" s="644"/>
      <c r="E310" s="24">
        <f t="shared" si="49"/>
        <v>1</v>
      </c>
      <c r="F310" s="644"/>
      <c r="G310" s="24">
        <f t="shared" si="50"/>
        <v>1</v>
      </c>
      <c r="H310" s="644"/>
      <c r="I310" s="24">
        <f t="shared" si="51"/>
        <v>1</v>
      </c>
      <c r="J310" s="644"/>
      <c r="K310" s="24">
        <f t="shared" si="52"/>
        <v>1</v>
      </c>
      <c r="L310" s="644"/>
      <c r="M310" s="24">
        <f t="shared" si="53"/>
        <v>1</v>
      </c>
      <c r="N310" s="644"/>
      <c r="O310" s="24">
        <f t="shared" si="54"/>
        <v>1</v>
      </c>
      <c r="P310" s="644"/>
      <c r="Q310" s="24">
        <f t="shared" si="55"/>
        <v>1</v>
      </c>
      <c r="R310" s="24">
        <f t="shared" si="56"/>
        <v>0</v>
      </c>
      <c r="S310" s="314">
        <f t="shared" si="57"/>
        <v>0</v>
      </c>
    </row>
    <row r="311" spans="1:19">
      <c r="A311" s="147"/>
      <c r="B311" s="55"/>
      <c r="C311" s="24">
        <f t="shared" si="48"/>
        <v>1</v>
      </c>
      <c r="D311" s="644"/>
      <c r="E311" s="24">
        <f t="shared" si="49"/>
        <v>1</v>
      </c>
      <c r="F311" s="644"/>
      <c r="G311" s="24">
        <f t="shared" si="50"/>
        <v>1</v>
      </c>
      <c r="H311" s="644"/>
      <c r="I311" s="24">
        <f t="shared" si="51"/>
        <v>1</v>
      </c>
      <c r="J311" s="644"/>
      <c r="K311" s="24">
        <f t="shared" si="52"/>
        <v>1</v>
      </c>
      <c r="L311" s="644"/>
      <c r="M311" s="24">
        <f t="shared" si="53"/>
        <v>1</v>
      </c>
      <c r="N311" s="644"/>
      <c r="O311" s="24">
        <f t="shared" si="54"/>
        <v>1</v>
      </c>
      <c r="P311" s="644"/>
      <c r="Q311" s="24">
        <f t="shared" si="55"/>
        <v>1</v>
      </c>
      <c r="R311" s="24">
        <f t="shared" si="56"/>
        <v>0</v>
      </c>
      <c r="S311" s="314">
        <f t="shared" si="57"/>
        <v>0</v>
      </c>
    </row>
    <row r="312" spans="1:19">
      <c r="A312" s="147"/>
      <c r="B312" s="55"/>
      <c r="C312" s="24">
        <f t="shared" si="48"/>
        <v>1</v>
      </c>
      <c r="D312" s="644"/>
      <c r="E312" s="24">
        <f t="shared" si="49"/>
        <v>1</v>
      </c>
      <c r="F312" s="644"/>
      <c r="G312" s="24">
        <f t="shared" si="50"/>
        <v>1</v>
      </c>
      <c r="H312" s="644"/>
      <c r="I312" s="24">
        <f t="shared" si="51"/>
        <v>1</v>
      </c>
      <c r="J312" s="644"/>
      <c r="K312" s="24">
        <f t="shared" si="52"/>
        <v>1</v>
      </c>
      <c r="L312" s="644"/>
      <c r="M312" s="24">
        <f t="shared" si="53"/>
        <v>1</v>
      </c>
      <c r="N312" s="644"/>
      <c r="O312" s="24">
        <f t="shared" si="54"/>
        <v>1</v>
      </c>
      <c r="P312" s="644"/>
      <c r="Q312" s="24">
        <f t="shared" si="55"/>
        <v>1</v>
      </c>
      <c r="R312" s="24">
        <f t="shared" si="56"/>
        <v>0</v>
      </c>
      <c r="S312" s="314">
        <f t="shared" si="57"/>
        <v>0</v>
      </c>
    </row>
    <row r="313" spans="1:19">
      <c r="A313" s="147"/>
      <c r="B313" s="55"/>
      <c r="C313" s="24">
        <f t="shared" si="48"/>
        <v>1</v>
      </c>
      <c r="D313" s="644"/>
      <c r="E313" s="24">
        <f t="shared" si="49"/>
        <v>1</v>
      </c>
      <c r="F313" s="644"/>
      <c r="G313" s="24">
        <f t="shared" si="50"/>
        <v>1</v>
      </c>
      <c r="H313" s="644"/>
      <c r="I313" s="24">
        <f t="shared" si="51"/>
        <v>1</v>
      </c>
      <c r="J313" s="644"/>
      <c r="K313" s="24">
        <f t="shared" si="52"/>
        <v>1</v>
      </c>
      <c r="L313" s="644"/>
      <c r="M313" s="24">
        <f t="shared" si="53"/>
        <v>1</v>
      </c>
      <c r="N313" s="644"/>
      <c r="O313" s="24">
        <f t="shared" si="54"/>
        <v>1</v>
      </c>
      <c r="P313" s="644"/>
      <c r="Q313" s="24">
        <f t="shared" si="55"/>
        <v>1</v>
      </c>
      <c r="R313" s="24">
        <f t="shared" si="56"/>
        <v>0</v>
      </c>
      <c r="S313" s="314">
        <f t="shared" si="57"/>
        <v>0</v>
      </c>
    </row>
    <row r="314" spans="1:19">
      <c r="A314" s="147"/>
      <c r="B314" s="55"/>
      <c r="C314" s="24">
        <f t="shared" si="48"/>
        <v>1</v>
      </c>
      <c r="D314" s="644"/>
      <c r="E314" s="24">
        <f t="shared" si="49"/>
        <v>1</v>
      </c>
      <c r="F314" s="644"/>
      <c r="G314" s="24">
        <f t="shared" si="50"/>
        <v>1</v>
      </c>
      <c r="H314" s="644"/>
      <c r="I314" s="24">
        <f t="shared" si="51"/>
        <v>1</v>
      </c>
      <c r="J314" s="644"/>
      <c r="K314" s="24">
        <f t="shared" si="52"/>
        <v>1</v>
      </c>
      <c r="L314" s="644"/>
      <c r="M314" s="24">
        <f t="shared" si="53"/>
        <v>1</v>
      </c>
      <c r="N314" s="644"/>
      <c r="O314" s="24">
        <f t="shared" si="54"/>
        <v>1</v>
      </c>
      <c r="P314" s="644"/>
      <c r="Q314" s="24">
        <f t="shared" si="55"/>
        <v>1</v>
      </c>
      <c r="R314" s="24">
        <f t="shared" si="56"/>
        <v>0</v>
      </c>
      <c r="S314" s="314">
        <f t="shared" si="57"/>
        <v>0</v>
      </c>
    </row>
    <row r="315" spans="1:19">
      <c r="A315" s="147"/>
      <c r="B315" s="55"/>
      <c r="C315" s="24">
        <f t="shared" si="48"/>
        <v>1</v>
      </c>
      <c r="D315" s="644"/>
      <c r="E315" s="24">
        <f t="shared" si="49"/>
        <v>1</v>
      </c>
      <c r="F315" s="644"/>
      <c r="G315" s="24">
        <f t="shared" si="50"/>
        <v>1</v>
      </c>
      <c r="H315" s="644"/>
      <c r="I315" s="24">
        <f t="shared" si="51"/>
        <v>1</v>
      </c>
      <c r="J315" s="644"/>
      <c r="K315" s="24">
        <f t="shared" si="52"/>
        <v>1</v>
      </c>
      <c r="L315" s="644"/>
      <c r="M315" s="24">
        <f t="shared" si="53"/>
        <v>1</v>
      </c>
      <c r="N315" s="644"/>
      <c r="O315" s="24">
        <f t="shared" si="54"/>
        <v>1</v>
      </c>
      <c r="P315" s="644"/>
      <c r="Q315" s="24">
        <f t="shared" si="55"/>
        <v>1</v>
      </c>
      <c r="R315" s="24">
        <f t="shared" si="56"/>
        <v>0</v>
      </c>
      <c r="S315" s="314">
        <f t="shared" si="57"/>
        <v>0</v>
      </c>
    </row>
    <row r="316" spans="1:19">
      <c r="A316" s="147"/>
      <c r="B316" s="55"/>
      <c r="C316" s="24">
        <f t="shared" si="48"/>
        <v>1</v>
      </c>
      <c r="D316" s="644"/>
      <c r="E316" s="24">
        <f t="shared" si="49"/>
        <v>1</v>
      </c>
      <c r="F316" s="644"/>
      <c r="G316" s="24">
        <f t="shared" si="50"/>
        <v>1</v>
      </c>
      <c r="H316" s="644"/>
      <c r="I316" s="24">
        <f t="shared" si="51"/>
        <v>1</v>
      </c>
      <c r="J316" s="644"/>
      <c r="K316" s="24">
        <f t="shared" si="52"/>
        <v>1</v>
      </c>
      <c r="L316" s="644"/>
      <c r="M316" s="24">
        <f t="shared" si="53"/>
        <v>1</v>
      </c>
      <c r="N316" s="644"/>
      <c r="O316" s="24">
        <f t="shared" si="54"/>
        <v>1</v>
      </c>
      <c r="P316" s="644"/>
      <c r="Q316" s="24">
        <f t="shared" si="55"/>
        <v>1</v>
      </c>
      <c r="R316" s="24">
        <f t="shared" si="56"/>
        <v>0</v>
      </c>
      <c r="S316" s="314">
        <f t="shared" si="57"/>
        <v>0</v>
      </c>
    </row>
    <row r="317" spans="1:19">
      <c r="A317" s="147"/>
      <c r="B317" s="55"/>
      <c r="C317" s="24">
        <f t="shared" si="48"/>
        <v>1</v>
      </c>
      <c r="D317" s="644"/>
      <c r="E317" s="24">
        <f t="shared" si="49"/>
        <v>1</v>
      </c>
      <c r="F317" s="644"/>
      <c r="G317" s="24">
        <f t="shared" si="50"/>
        <v>1</v>
      </c>
      <c r="H317" s="644"/>
      <c r="I317" s="24">
        <f t="shared" si="51"/>
        <v>1</v>
      </c>
      <c r="J317" s="644"/>
      <c r="K317" s="24">
        <f t="shared" si="52"/>
        <v>1</v>
      </c>
      <c r="L317" s="644"/>
      <c r="M317" s="24">
        <f t="shared" si="53"/>
        <v>1</v>
      </c>
      <c r="N317" s="644"/>
      <c r="O317" s="24">
        <f t="shared" si="54"/>
        <v>1</v>
      </c>
      <c r="P317" s="644"/>
      <c r="Q317" s="24">
        <f t="shared" si="55"/>
        <v>1</v>
      </c>
      <c r="R317" s="24">
        <f t="shared" si="56"/>
        <v>0</v>
      </c>
      <c r="S317" s="314">
        <f t="shared" si="57"/>
        <v>0</v>
      </c>
    </row>
    <row r="318" spans="1:19">
      <c r="A318" s="147"/>
      <c r="B318" s="55"/>
      <c r="C318" s="24">
        <f t="shared" si="48"/>
        <v>1</v>
      </c>
      <c r="D318" s="644"/>
      <c r="E318" s="24">
        <f t="shared" si="49"/>
        <v>1</v>
      </c>
      <c r="F318" s="644"/>
      <c r="G318" s="24">
        <f t="shared" si="50"/>
        <v>1</v>
      </c>
      <c r="H318" s="644"/>
      <c r="I318" s="24">
        <f t="shared" si="51"/>
        <v>1</v>
      </c>
      <c r="J318" s="644"/>
      <c r="K318" s="24">
        <f t="shared" si="52"/>
        <v>1</v>
      </c>
      <c r="L318" s="644"/>
      <c r="M318" s="24">
        <f t="shared" si="53"/>
        <v>1</v>
      </c>
      <c r="N318" s="644"/>
      <c r="O318" s="24">
        <f t="shared" si="54"/>
        <v>1</v>
      </c>
      <c r="P318" s="644"/>
      <c r="Q318" s="24">
        <f t="shared" si="55"/>
        <v>1</v>
      </c>
      <c r="R318" s="24">
        <f t="shared" si="56"/>
        <v>0</v>
      </c>
      <c r="S318" s="314">
        <f t="shared" si="57"/>
        <v>0</v>
      </c>
    </row>
    <row r="319" spans="1:19">
      <c r="A319" s="147"/>
      <c r="B319" s="55"/>
      <c r="C319" s="24">
        <f t="shared" si="48"/>
        <v>1</v>
      </c>
      <c r="D319" s="644"/>
      <c r="E319" s="24">
        <f t="shared" si="49"/>
        <v>1</v>
      </c>
      <c r="F319" s="644"/>
      <c r="G319" s="24">
        <f t="shared" si="50"/>
        <v>1</v>
      </c>
      <c r="H319" s="644"/>
      <c r="I319" s="24">
        <f t="shared" si="51"/>
        <v>1</v>
      </c>
      <c r="J319" s="644"/>
      <c r="K319" s="24">
        <f t="shared" si="52"/>
        <v>1</v>
      </c>
      <c r="L319" s="644"/>
      <c r="M319" s="24">
        <f t="shared" si="53"/>
        <v>1</v>
      </c>
      <c r="N319" s="644"/>
      <c r="O319" s="24">
        <f t="shared" si="54"/>
        <v>1</v>
      </c>
      <c r="P319" s="644"/>
      <c r="Q319" s="24">
        <f t="shared" si="55"/>
        <v>1</v>
      </c>
      <c r="R319" s="24">
        <f t="shared" si="56"/>
        <v>0</v>
      </c>
      <c r="S319" s="314">
        <f t="shared" si="57"/>
        <v>0</v>
      </c>
    </row>
    <row r="320" spans="1:19">
      <c r="A320" s="147"/>
      <c r="B320" s="55"/>
      <c r="C320" s="24">
        <f t="shared" si="48"/>
        <v>1</v>
      </c>
      <c r="D320" s="644"/>
      <c r="E320" s="24">
        <f t="shared" si="49"/>
        <v>1</v>
      </c>
      <c r="F320" s="644"/>
      <c r="G320" s="24">
        <f t="shared" si="50"/>
        <v>1</v>
      </c>
      <c r="H320" s="644"/>
      <c r="I320" s="24">
        <f t="shared" si="51"/>
        <v>1</v>
      </c>
      <c r="J320" s="644"/>
      <c r="K320" s="24">
        <f t="shared" si="52"/>
        <v>1</v>
      </c>
      <c r="L320" s="644"/>
      <c r="M320" s="24">
        <f t="shared" si="53"/>
        <v>1</v>
      </c>
      <c r="N320" s="644"/>
      <c r="O320" s="24">
        <f t="shared" si="54"/>
        <v>1</v>
      </c>
      <c r="P320" s="644"/>
      <c r="Q320" s="24">
        <f t="shared" si="55"/>
        <v>1</v>
      </c>
      <c r="R320" s="24">
        <f t="shared" si="56"/>
        <v>0</v>
      </c>
      <c r="S320" s="314">
        <f t="shared" si="57"/>
        <v>0</v>
      </c>
    </row>
    <row r="321" spans="1:19">
      <c r="A321" s="147"/>
      <c r="B321" s="55"/>
      <c r="C321" s="24">
        <f t="shared" si="48"/>
        <v>1</v>
      </c>
      <c r="D321" s="644"/>
      <c r="E321" s="24">
        <f t="shared" si="49"/>
        <v>1</v>
      </c>
      <c r="F321" s="644"/>
      <c r="G321" s="24">
        <f t="shared" si="50"/>
        <v>1</v>
      </c>
      <c r="H321" s="644"/>
      <c r="I321" s="24">
        <f t="shared" si="51"/>
        <v>1</v>
      </c>
      <c r="J321" s="644"/>
      <c r="K321" s="24">
        <f t="shared" si="52"/>
        <v>1</v>
      </c>
      <c r="L321" s="644"/>
      <c r="M321" s="24">
        <f t="shared" si="53"/>
        <v>1</v>
      </c>
      <c r="N321" s="644"/>
      <c r="O321" s="24">
        <f t="shared" si="54"/>
        <v>1</v>
      </c>
      <c r="P321" s="644"/>
      <c r="Q321" s="24">
        <f t="shared" si="55"/>
        <v>1</v>
      </c>
      <c r="R321" s="24">
        <f t="shared" si="56"/>
        <v>0</v>
      </c>
      <c r="S321" s="314">
        <f t="shared" ref="S321:S384" si="58">ROUND(R321*B321/10000,0)</f>
        <v>0</v>
      </c>
    </row>
    <row r="322" spans="1:19">
      <c r="A322" s="147"/>
      <c r="B322" s="55"/>
      <c r="C322" s="24">
        <f t="shared" si="48"/>
        <v>1</v>
      </c>
      <c r="D322" s="644"/>
      <c r="E322" s="24">
        <f t="shared" si="49"/>
        <v>1</v>
      </c>
      <c r="F322" s="644"/>
      <c r="G322" s="24">
        <f t="shared" si="50"/>
        <v>1</v>
      </c>
      <c r="H322" s="644"/>
      <c r="I322" s="24">
        <f t="shared" si="51"/>
        <v>1</v>
      </c>
      <c r="J322" s="644"/>
      <c r="K322" s="24">
        <f t="shared" si="52"/>
        <v>1</v>
      </c>
      <c r="L322" s="644"/>
      <c r="M322" s="24">
        <f t="shared" si="53"/>
        <v>1</v>
      </c>
      <c r="N322" s="644"/>
      <c r="O322" s="24">
        <f t="shared" si="54"/>
        <v>1</v>
      </c>
      <c r="P322" s="644"/>
      <c r="Q322" s="24">
        <f t="shared" si="55"/>
        <v>1</v>
      </c>
      <c r="R322" s="24">
        <f t="shared" si="56"/>
        <v>0</v>
      </c>
      <c r="S322" s="314">
        <f t="shared" si="58"/>
        <v>0</v>
      </c>
    </row>
    <row r="323" spans="1:19">
      <c r="A323" s="147"/>
      <c r="B323" s="55"/>
      <c r="C323" s="24">
        <f t="shared" si="48"/>
        <v>1</v>
      </c>
      <c r="D323" s="644"/>
      <c r="E323" s="24">
        <f t="shared" si="49"/>
        <v>1</v>
      </c>
      <c r="F323" s="644"/>
      <c r="G323" s="24">
        <f t="shared" si="50"/>
        <v>1</v>
      </c>
      <c r="H323" s="644"/>
      <c r="I323" s="24">
        <f t="shared" si="51"/>
        <v>1</v>
      </c>
      <c r="J323" s="644"/>
      <c r="K323" s="24">
        <f t="shared" si="52"/>
        <v>1</v>
      </c>
      <c r="L323" s="644"/>
      <c r="M323" s="24">
        <f t="shared" si="53"/>
        <v>1</v>
      </c>
      <c r="N323" s="644"/>
      <c r="O323" s="24">
        <f t="shared" si="54"/>
        <v>1</v>
      </c>
      <c r="P323" s="644"/>
      <c r="Q323" s="24">
        <f t="shared" si="55"/>
        <v>1</v>
      </c>
      <c r="R323" s="24">
        <f t="shared" si="56"/>
        <v>0</v>
      </c>
      <c r="S323" s="314">
        <f t="shared" si="58"/>
        <v>0</v>
      </c>
    </row>
    <row r="324" spans="1:19">
      <c r="A324" s="147"/>
      <c r="B324" s="55"/>
      <c r="C324" s="24">
        <f t="shared" si="48"/>
        <v>1</v>
      </c>
      <c r="D324" s="644"/>
      <c r="E324" s="24">
        <f t="shared" si="49"/>
        <v>1</v>
      </c>
      <c r="F324" s="644"/>
      <c r="G324" s="24">
        <f t="shared" si="50"/>
        <v>1</v>
      </c>
      <c r="H324" s="644"/>
      <c r="I324" s="24">
        <f t="shared" si="51"/>
        <v>1</v>
      </c>
      <c r="J324" s="644"/>
      <c r="K324" s="24">
        <f t="shared" si="52"/>
        <v>1</v>
      </c>
      <c r="L324" s="644"/>
      <c r="M324" s="24">
        <f t="shared" si="53"/>
        <v>1</v>
      </c>
      <c r="N324" s="644"/>
      <c r="O324" s="24">
        <f t="shared" si="54"/>
        <v>1</v>
      </c>
      <c r="P324" s="644"/>
      <c r="Q324" s="24">
        <f t="shared" si="55"/>
        <v>1</v>
      </c>
      <c r="R324" s="24">
        <f t="shared" si="56"/>
        <v>0</v>
      </c>
      <c r="S324" s="314">
        <f t="shared" si="58"/>
        <v>0</v>
      </c>
    </row>
    <row r="325" spans="1:19">
      <c r="A325" s="147"/>
      <c r="B325" s="55"/>
      <c r="C325" s="24">
        <f t="shared" si="48"/>
        <v>1</v>
      </c>
      <c r="D325" s="644"/>
      <c r="E325" s="24">
        <f t="shared" si="49"/>
        <v>1</v>
      </c>
      <c r="F325" s="644"/>
      <c r="G325" s="24">
        <f t="shared" si="50"/>
        <v>1</v>
      </c>
      <c r="H325" s="644"/>
      <c r="I325" s="24">
        <f t="shared" si="51"/>
        <v>1</v>
      </c>
      <c r="J325" s="644"/>
      <c r="K325" s="24">
        <f t="shared" si="52"/>
        <v>1</v>
      </c>
      <c r="L325" s="644"/>
      <c r="M325" s="24">
        <f t="shared" si="53"/>
        <v>1</v>
      </c>
      <c r="N325" s="644"/>
      <c r="O325" s="24">
        <f t="shared" si="54"/>
        <v>1</v>
      </c>
      <c r="P325" s="644"/>
      <c r="Q325" s="24">
        <f t="shared" si="55"/>
        <v>1</v>
      </c>
      <c r="R325" s="24">
        <f t="shared" si="56"/>
        <v>0</v>
      </c>
      <c r="S325" s="314">
        <f t="shared" si="58"/>
        <v>0</v>
      </c>
    </row>
    <row r="326" spans="1:19">
      <c r="A326" s="147"/>
      <c r="B326" s="55"/>
      <c r="C326" s="24">
        <f t="shared" si="48"/>
        <v>1</v>
      </c>
      <c r="D326" s="644"/>
      <c r="E326" s="24">
        <f t="shared" si="49"/>
        <v>1</v>
      </c>
      <c r="F326" s="644"/>
      <c r="G326" s="24">
        <f t="shared" si="50"/>
        <v>1</v>
      </c>
      <c r="H326" s="644"/>
      <c r="I326" s="24">
        <f t="shared" si="51"/>
        <v>1</v>
      </c>
      <c r="J326" s="644"/>
      <c r="K326" s="24">
        <f t="shared" si="52"/>
        <v>1</v>
      </c>
      <c r="L326" s="644"/>
      <c r="M326" s="24">
        <f t="shared" si="53"/>
        <v>1</v>
      </c>
      <c r="N326" s="644"/>
      <c r="O326" s="24">
        <f t="shared" si="54"/>
        <v>1</v>
      </c>
      <c r="P326" s="644"/>
      <c r="Q326" s="24">
        <f t="shared" si="55"/>
        <v>1</v>
      </c>
      <c r="R326" s="24">
        <f t="shared" si="56"/>
        <v>0</v>
      </c>
      <c r="S326" s="314">
        <f t="shared" si="58"/>
        <v>0</v>
      </c>
    </row>
    <row r="327" spans="1:19">
      <c r="A327" s="147"/>
      <c r="B327" s="55"/>
      <c r="C327" s="24">
        <f t="shared" si="48"/>
        <v>1</v>
      </c>
      <c r="D327" s="644"/>
      <c r="E327" s="24">
        <f t="shared" si="49"/>
        <v>1</v>
      </c>
      <c r="F327" s="644"/>
      <c r="G327" s="24">
        <f t="shared" si="50"/>
        <v>1</v>
      </c>
      <c r="H327" s="644"/>
      <c r="I327" s="24">
        <f t="shared" si="51"/>
        <v>1</v>
      </c>
      <c r="J327" s="644"/>
      <c r="K327" s="24">
        <f t="shared" si="52"/>
        <v>1</v>
      </c>
      <c r="L327" s="644"/>
      <c r="M327" s="24">
        <f t="shared" si="53"/>
        <v>1</v>
      </c>
      <c r="N327" s="644"/>
      <c r="O327" s="24">
        <f t="shared" si="54"/>
        <v>1</v>
      </c>
      <c r="P327" s="644"/>
      <c r="Q327" s="24">
        <f t="shared" si="55"/>
        <v>1</v>
      </c>
      <c r="R327" s="24">
        <f t="shared" si="56"/>
        <v>0</v>
      </c>
      <c r="S327" s="314">
        <f t="shared" si="58"/>
        <v>0</v>
      </c>
    </row>
    <row r="328" spans="1:19">
      <c r="A328" s="147"/>
      <c r="B328" s="55"/>
      <c r="C328" s="24">
        <f t="shared" si="48"/>
        <v>1</v>
      </c>
      <c r="D328" s="644"/>
      <c r="E328" s="24">
        <f t="shared" si="49"/>
        <v>1</v>
      </c>
      <c r="F328" s="644"/>
      <c r="G328" s="24">
        <f t="shared" si="50"/>
        <v>1</v>
      </c>
      <c r="H328" s="644"/>
      <c r="I328" s="24">
        <f t="shared" si="51"/>
        <v>1</v>
      </c>
      <c r="J328" s="644"/>
      <c r="K328" s="24">
        <f t="shared" si="52"/>
        <v>1</v>
      </c>
      <c r="L328" s="644"/>
      <c r="M328" s="24">
        <f t="shared" si="53"/>
        <v>1</v>
      </c>
      <c r="N328" s="644"/>
      <c r="O328" s="24">
        <f t="shared" si="54"/>
        <v>1</v>
      </c>
      <c r="P328" s="644"/>
      <c r="Q328" s="24">
        <f t="shared" si="55"/>
        <v>1</v>
      </c>
      <c r="R328" s="24">
        <f t="shared" si="56"/>
        <v>0</v>
      </c>
      <c r="S328" s="314">
        <f t="shared" si="58"/>
        <v>0</v>
      </c>
    </row>
    <row r="329" spans="1:19">
      <c r="A329" s="147"/>
      <c r="B329" s="55"/>
      <c r="C329" s="24">
        <f t="shared" si="48"/>
        <v>1</v>
      </c>
      <c r="D329" s="644"/>
      <c r="E329" s="24">
        <f t="shared" si="49"/>
        <v>1</v>
      </c>
      <c r="F329" s="644"/>
      <c r="G329" s="24">
        <f t="shared" si="50"/>
        <v>1</v>
      </c>
      <c r="H329" s="644"/>
      <c r="I329" s="24">
        <f t="shared" si="51"/>
        <v>1</v>
      </c>
      <c r="J329" s="644"/>
      <c r="K329" s="24">
        <f t="shared" si="52"/>
        <v>1</v>
      </c>
      <c r="L329" s="644"/>
      <c r="M329" s="24">
        <f t="shared" si="53"/>
        <v>1</v>
      </c>
      <c r="N329" s="644"/>
      <c r="O329" s="24">
        <f t="shared" si="54"/>
        <v>1</v>
      </c>
      <c r="P329" s="644"/>
      <c r="Q329" s="24">
        <f t="shared" si="55"/>
        <v>1</v>
      </c>
      <c r="R329" s="24">
        <f t="shared" si="56"/>
        <v>0</v>
      </c>
      <c r="S329" s="314">
        <f t="shared" si="58"/>
        <v>0</v>
      </c>
    </row>
    <row r="330" spans="1:19">
      <c r="A330" s="147"/>
      <c r="B330" s="55"/>
      <c r="C330" s="24">
        <f t="shared" si="48"/>
        <v>1</v>
      </c>
      <c r="D330" s="644"/>
      <c r="E330" s="24">
        <f t="shared" si="49"/>
        <v>1</v>
      </c>
      <c r="F330" s="644"/>
      <c r="G330" s="24">
        <f t="shared" si="50"/>
        <v>1</v>
      </c>
      <c r="H330" s="644"/>
      <c r="I330" s="24">
        <f t="shared" si="51"/>
        <v>1</v>
      </c>
      <c r="J330" s="644"/>
      <c r="K330" s="24">
        <f t="shared" si="52"/>
        <v>1</v>
      </c>
      <c r="L330" s="644"/>
      <c r="M330" s="24">
        <f t="shared" si="53"/>
        <v>1</v>
      </c>
      <c r="N330" s="644"/>
      <c r="O330" s="24">
        <f t="shared" si="54"/>
        <v>1</v>
      </c>
      <c r="P330" s="644"/>
      <c r="Q330" s="24">
        <f t="shared" si="55"/>
        <v>1</v>
      </c>
      <c r="R330" s="24">
        <f t="shared" si="56"/>
        <v>0</v>
      </c>
      <c r="S330" s="314">
        <f t="shared" si="58"/>
        <v>0</v>
      </c>
    </row>
    <row r="331" spans="1:19">
      <c r="A331" s="147"/>
      <c r="B331" s="55"/>
      <c r="C331" s="24">
        <f t="shared" si="48"/>
        <v>1</v>
      </c>
      <c r="D331" s="644"/>
      <c r="E331" s="24">
        <f t="shared" si="49"/>
        <v>1</v>
      </c>
      <c r="F331" s="644"/>
      <c r="G331" s="24">
        <f t="shared" si="50"/>
        <v>1</v>
      </c>
      <c r="H331" s="644"/>
      <c r="I331" s="24">
        <f t="shared" si="51"/>
        <v>1</v>
      </c>
      <c r="J331" s="644"/>
      <c r="K331" s="24">
        <f t="shared" si="52"/>
        <v>1</v>
      </c>
      <c r="L331" s="644"/>
      <c r="M331" s="24">
        <f t="shared" si="53"/>
        <v>1</v>
      </c>
      <c r="N331" s="644"/>
      <c r="O331" s="24">
        <f t="shared" si="54"/>
        <v>1</v>
      </c>
      <c r="P331" s="644"/>
      <c r="Q331" s="24">
        <f t="shared" si="55"/>
        <v>1</v>
      </c>
      <c r="R331" s="24">
        <f t="shared" si="56"/>
        <v>0</v>
      </c>
      <c r="S331" s="314">
        <f t="shared" si="58"/>
        <v>0</v>
      </c>
    </row>
    <row r="332" spans="1:19">
      <c r="A332" s="147"/>
      <c r="B332" s="55"/>
      <c r="C332" s="24">
        <f t="shared" si="48"/>
        <v>1</v>
      </c>
      <c r="D332" s="644"/>
      <c r="E332" s="24">
        <f t="shared" si="49"/>
        <v>1</v>
      </c>
      <c r="F332" s="644"/>
      <c r="G332" s="24">
        <f t="shared" si="50"/>
        <v>1</v>
      </c>
      <c r="H332" s="644"/>
      <c r="I332" s="24">
        <f t="shared" si="51"/>
        <v>1</v>
      </c>
      <c r="J332" s="644"/>
      <c r="K332" s="24">
        <f t="shared" si="52"/>
        <v>1</v>
      </c>
      <c r="L332" s="644"/>
      <c r="M332" s="24">
        <f t="shared" si="53"/>
        <v>1</v>
      </c>
      <c r="N332" s="644"/>
      <c r="O332" s="24">
        <f t="shared" si="54"/>
        <v>1</v>
      </c>
      <c r="P332" s="644"/>
      <c r="Q332" s="24">
        <f t="shared" si="55"/>
        <v>1</v>
      </c>
      <c r="R332" s="24">
        <f t="shared" si="56"/>
        <v>0</v>
      </c>
      <c r="S332" s="314">
        <f t="shared" si="58"/>
        <v>0</v>
      </c>
    </row>
    <row r="333" spans="1:19">
      <c r="A333" s="147"/>
      <c r="B333" s="55"/>
      <c r="C333" s="24">
        <f t="shared" si="48"/>
        <v>1</v>
      </c>
      <c r="D333" s="644"/>
      <c r="E333" s="24">
        <f t="shared" si="49"/>
        <v>1</v>
      </c>
      <c r="F333" s="644"/>
      <c r="G333" s="24">
        <f t="shared" si="50"/>
        <v>1</v>
      </c>
      <c r="H333" s="644"/>
      <c r="I333" s="24">
        <f t="shared" si="51"/>
        <v>1</v>
      </c>
      <c r="J333" s="644"/>
      <c r="K333" s="24">
        <f t="shared" si="52"/>
        <v>1</v>
      </c>
      <c r="L333" s="644"/>
      <c r="M333" s="24">
        <f t="shared" si="53"/>
        <v>1</v>
      </c>
      <c r="N333" s="644"/>
      <c r="O333" s="24">
        <f t="shared" si="54"/>
        <v>1</v>
      </c>
      <c r="P333" s="644"/>
      <c r="Q333" s="24">
        <f t="shared" si="55"/>
        <v>1</v>
      </c>
      <c r="R333" s="24">
        <f t="shared" si="56"/>
        <v>0</v>
      </c>
      <c r="S333" s="314">
        <f t="shared" si="58"/>
        <v>0</v>
      </c>
    </row>
    <row r="334" spans="1:19">
      <c r="A334" s="147"/>
      <c r="B334" s="55"/>
      <c r="C334" s="24">
        <f t="shared" si="48"/>
        <v>1</v>
      </c>
      <c r="D334" s="644"/>
      <c r="E334" s="24">
        <f t="shared" si="49"/>
        <v>1</v>
      </c>
      <c r="F334" s="644"/>
      <c r="G334" s="24">
        <f t="shared" si="50"/>
        <v>1</v>
      </c>
      <c r="H334" s="644"/>
      <c r="I334" s="24">
        <f t="shared" si="51"/>
        <v>1</v>
      </c>
      <c r="J334" s="644"/>
      <c r="K334" s="24">
        <f t="shared" si="52"/>
        <v>1</v>
      </c>
      <c r="L334" s="644"/>
      <c r="M334" s="24">
        <f t="shared" si="53"/>
        <v>1</v>
      </c>
      <c r="N334" s="644"/>
      <c r="O334" s="24">
        <f t="shared" si="54"/>
        <v>1</v>
      </c>
      <c r="P334" s="644"/>
      <c r="Q334" s="24">
        <f t="shared" si="55"/>
        <v>1</v>
      </c>
      <c r="R334" s="24">
        <f t="shared" si="56"/>
        <v>0</v>
      </c>
      <c r="S334" s="314">
        <f t="shared" si="58"/>
        <v>0</v>
      </c>
    </row>
    <row r="335" spans="1:19">
      <c r="A335" s="147"/>
      <c r="B335" s="55"/>
      <c r="C335" s="24">
        <f t="shared" si="48"/>
        <v>1</v>
      </c>
      <c r="D335" s="644"/>
      <c r="E335" s="24">
        <f t="shared" si="49"/>
        <v>1</v>
      </c>
      <c r="F335" s="644"/>
      <c r="G335" s="24">
        <f t="shared" si="50"/>
        <v>1</v>
      </c>
      <c r="H335" s="644"/>
      <c r="I335" s="24">
        <f t="shared" si="51"/>
        <v>1</v>
      </c>
      <c r="J335" s="644"/>
      <c r="K335" s="24">
        <f t="shared" si="52"/>
        <v>1</v>
      </c>
      <c r="L335" s="644"/>
      <c r="M335" s="24">
        <f t="shared" si="53"/>
        <v>1</v>
      </c>
      <c r="N335" s="644"/>
      <c r="O335" s="24">
        <f t="shared" si="54"/>
        <v>1</v>
      </c>
      <c r="P335" s="644"/>
      <c r="Q335" s="24">
        <f t="shared" si="55"/>
        <v>1</v>
      </c>
      <c r="R335" s="24">
        <f t="shared" si="56"/>
        <v>0</v>
      </c>
      <c r="S335" s="314">
        <f t="shared" si="58"/>
        <v>0</v>
      </c>
    </row>
    <row r="336" spans="1:19">
      <c r="A336" s="147"/>
      <c r="B336" s="55"/>
      <c r="C336" s="24">
        <f t="shared" si="48"/>
        <v>1</v>
      </c>
      <c r="D336" s="644"/>
      <c r="E336" s="24">
        <f t="shared" si="49"/>
        <v>1</v>
      </c>
      <c r="F336" s="644"/>
      <c r="G336" s="24">
        <f t="shared" si="50"/>
        <v>1</v>
      </c>
      <c r="H336" s="644"/>
      <c r="I336" s="24">
        <f t="shared" si="51"/>
        <v>1</v>
      </c>
      <c r="J336" s="644"/>
      <c r="K336" s="24">
        <f t="shared" si="52"/>
        <v>1</v>
      </c>
      <c r="L336" s="644"/>
      <c r="M336" s="24">
        <f t="shared" si="53"/>
        <v>1</v>
      </c>
      <c r="N336" s="644"/>
      <c r="O336" s="24">
        <f t="shared" si="54"/>
        <v>1</v>
      </c>
      <c r="P336" s="644"/>
      <c r="Q336" s="24">
        <f t="shared" si="55"/>
        <v>1</v>
      </c>
      <c r="R336" s="24">
        <f t="shared" si="56"/>
        <v>0</v>
      </c>
      <c r="S336" s="314">
        <f t="shared" si="58"/>
        <v>0</v>
      </c>
    </row>
    <row r="337" spans="1:19">
      <c r="A337" s="147"/>
      <c r="B337" s="55"/>
      <c r="C337" s="24">
        <f t="shared" si="48"/>
        <v>1</v>
      </c>
      <c r="D337" s="644"/>
      <c r="E337" s="24">
        <f t="shared" si="49"/>
        <v>1</v>
      </c>
      <c r="F337" s="644"/>
      <c r="G337" s="24">
        <f t="shared" si="50"/>
        <v>1</v>
      </c>
      <c r="H337" s="644"/>
      <c r="I337" s="24">
        <f t="shared" si="51"/>
        <v>1</v>
      </c>
      <c r="J337" s="644"/>
      <c r="K337" s="24">
        <f t="shared" si="52"/>
        <v>1</v>
      </c>
      <c r="L337" s="644"/>
      <c r="M337" s="24">
        <f t="shared" si="53"/>
        <v>1</v>
      </c>
      <c r="N337" s="644"/>
      <c r="O337" s="24">
        <f t="shared" si="54"/>
        <v>1</v>
      </c>
      <c r="P337" s="644"/>
      <c r="Q337" s="24">
        <f t="shared" si="55"/>
        <v>1</v>
      </c>
      <c r="R337" s="24">
        <f t="shared" si="56"/>
        <v>0</v>
      </c>
      <c r="S337" s="314">
        <f t="shared" si="58"/>
        <v>0</v>
      </c>
    </row>
    <row r="338" spans="1:19">
      <c r="A338" s="147"/>
      <c r="B338" s="55"/>
      <c r="C338" s="24">
        <f t="shared" si="48"/>
        <v>1</v>
      </c>
      <c r="D338" s="644"/>
      <c r="E338" s="24">
        <f t="shared" si="49"/>
        <v>1</v>
      </c>
      <c r="F338" s="644"/>
      <c r="G338" s="24">
        <f t="shared" si="50"/>
        <v>1</v>
      </c>
      <c r="H338" s="644"/>
      <c r="I338" s="24">
        <f t="shared" si="51"/>
        <v>1</v>
      </c>
      <c r="J338" s="644"/>
      <c r="K338" s="24">
        <f t="shared" si="52"/>
        <v>1</v>
      </c>
      <c r="L338" s="644"/>
      <c r="M338" s="24">
        <f t="shared" si="53"/>
        <v>1</v>
      </c>
      <c r="N338" s="644"/>
      <c r="O338" s="24">
        <f t="shared" si="54"/>
        <v>1</v>
      </c>
      <c r="P338" s="644"/>
      <c r="Q338" s="24">
        <f t="shared" si="55"/>
        <v>1</v>
      </c>
      <c r="R338" s="24">
        <f t="shared" si="56"/>
        <v>0</v>
      </c>
      <c r="S338" s="314">
        <f t="shared" si="58"/>
        <v>0</v>
      </c>
    </row>
    <row r="339" spans="1:19">
      <c r="A339" s="147"/>
      <c r="B339" s="55"/>
      <c r="C339" s="24">
        <f t="shared" si="48"/>
        <v>1</v>
      </c>
      <c r="D339" s="644"/>
      <c r="E339" s="24">
        <f t="shared" si="49"/>
        <v>1</v>
      </c>
      <c r="F339" s="644"/>
      <c r="G339" s="24">
        <f t="shared" si="50"/>
        <v>1</v>
      </c>
      <c r="H339" s="644"/>
      <c r="I339" s="24">
        <f t="shared" si="51"/>
        <v>1</v>
      </c>
      <c r="J339" s="644"/>
      <c r="K339" s="24">
        <f t="shared" si="52"/>
        <v>1</v>
      </c>
      <c r="L339" s="644"/>
      <c r="M339" s="24">
        <f t="shared" si="53"/>
        <v>1</v>
      </c>
      <c r="N339" s="644"/>
      <c r="O339" s="24">
        <f t="shared" si="54"/>
        <v>1</v>
      </c>
      <c r="P339" s="644"/>
      <c r="Q339" s="24">
        <f t="shared" si="55"/>
        <v>1</v>
      </c>
      <c r="R339" s="24">
        <f t="shared" si="56"/>
        <v>0</v>
      </c>
      <c r="S339" s="314">
        <f t="shared" si="58"/>
        <v>0</v>
      </c>
    </row>
    <row r="340" spans="1:19">
      <c r="A340" s="147"/>
      <c r="B340" s="55"/>
      <c r="C340" s="24">
        <f t="shared" si="48"/>
        <v>1</v>
      </c>
      <c r="D340" s="644"/>
      <c r="E340" s="24">
        <f t="shared" si="49"/>
        <v>1</v>
      </c>
      <c r="F340" s="644"/>
      <c r="G340" s="24">
        <f t="shared" si="50"/>
        <v>1</v>
      </c>
      <c r="H340" s="644"/>
      <c r="I340" s="24">
        <f t="shared" si="51"/>
        <v>1</v>
      </c>
      <c r="J340" s="644"/>
      <c r="K340" s="24">
        <f t="shared" si="52"/>
        <v>1</v>
      </c>
      <c r="L340" s="644"/>
      <c r="M340" s="24">
        <f t="shared" si="53"/>
        <v>1</v>
      </c>
      <c r="N340" s="644"/>
      <c r="O340" s="24">
        <f t="shared" si="54"/>
        <v>1</v>
      </c>
      <c r="P340" s="644"/>
      <c r="Q340" s="24">
        <f t="shared" si="55"/>
        <v>1</v>
      </c>
      <c r="R340" s="24">
        <f t="shared" si="56"/>
        <v>0</v>
      </c>
      <c r="S340" s="314">
        <f t="shared" si="58"/>
        <v>0</v>
      </c>
    </row>
    <row r="341" spans="1:19">
      <c r="A341" s="147"/>
      <c r="B341" s="55"/>
      <c r="C341" s="24">
        <f t="shared" si="48"/>
        <v>1</v>
      </c>
      <c r="D341" s="644"/>
      <c r="E341" s="24">
        <f t="shared" si="49"/>
        <v>1</v>
      </c>
      <c r="F341" s="644"/>
      <c r="G341" s="24">
        <f t="shared" si="50"/>
        <v>1</v>
      </c>
      <c r="H341" s="644"/>
      <c r="I341" s="24">
        <f t="shared" si="51"/>
        <v>1</v>
      </c>
      <c r="J341" s="644"/>
      <c r="K341" s="24">
        <f t="shared" si="52"/>
        <v>1</v>
      </c>
      <c r="L341" s="644"/>
      <c r="M341" s="24">
        <f t="shared" si="53"/>
        <v>1</v>
      </c>
      <c r="N341" s="644"/>
      <c r="O341" s="24">
        <f t="shared" si="54"/>
        <v>1</v>
      </c>
      <c r="P341" s="644"/>
      <c r="Q341" s="24">
        <f t="shared" si="55"/>
        <v>1</v>
      </c>
      <c r="R341" s="24">
        <f t="shared" si="56"/>
        <v>0</v>
      </c>
      <c r="S341" s="314">
        <f t="shared" si="58"/>
        <v>0</v>
      </c>
    </row>
    <row r="342" spans="1:19">
      <c r="A342" s="147"/>
      <c r="B342" s="55"/>
      <c r="C342" s="24">
        <f t="shared" si="48"/>
        <v>1</v>
      </c>
      <c r="D342" s="644"/>
      <c r="E342" s="24">
        <f t="shared" si="49"/>
        <v>1</v>
      </c>
      <c r="F342" s="644"/>
      <c r="G342" s="24">
        <f t="shared" si="50"/>
        <v>1</v>
      </c>
      <c r="H342" s="644"/>
      <c r="I342" s="24">
        <f t="shared" si="51"/>
        <v>1</v>
      </c>
      <c r="J342" s="644"/>
      <c r="K342" s="24">
        <f t="shared" si="52"/>
        <v>1</v>
      </c>
      <c r="L342" s="644"/>
      <c r="M342" s="24">
        <f t="shared" si="53"/>
        <v>1</v>
      </c>
      <c r="N342" s="644"/>
      <c r="O342" s="24">
        <f t="shared" si="54"/>
        <v>1</v>
      </c>
      <c r="P342" s="644"/>
      <c r="Q342" s="24">
        <f t="shared" si="55"/>
        <v>1</v>
      </c>
      <c r="R342" s="24">
        <f t="shared" si="56"/>
        <v>0</v>
      </c>
      <c r="S342" s="314">
        <f t="shared" si="58"/>
        <v>0</v>
      </c>
    </row>
    <row r="343" spans="1:19">
      <c r="A343" s="147"/>
      <c r="B343" s="55"/>
      <c r="C343" s="24">
        <f t="shared" si="48"/>
        <v>1</v>
      </c>
      <c r="D343" s="644"/>
      <c r="E343" s="24">
        <f t="shared" si="49"/>
        <v>1</v>
      </c>
      <c r="F343" s="644"/>
      <c r="G343" s="24">
        <f t="shared" si="50"/>
        <v>1</v>
      </c>
      <c r="H343" s="644"/>
      <c r="I343" s="24">
        <f t="shared" si="51"/>
        <v>1</v>
      </c>
      <c r="J343" s="644"/>
      <c r="K343" s="24">
        <f t="shared" si="52"/>
        <v>1</v>
      </c>
      <c r="L343" s="644"/>
      <c r="M343" s="24">
        <f t="shared" si="53"/>
        <v>1</v>
      </c>
      <c r="N343" s="644"/>
      <c r="O343" s="24">
        <f t="shared" si="54"/>
        <v>1</v>
      </c>
      <c r="P343" s="644"/>
      <c r="Q343" s="24">
        <f t="shared" si="55"/>
        <v>1</v>
      </c>
      <c r="R343" s="24">
        <f t="shared" si="56"/>
        <v>0</v>
      </c>
      <c r="S343" s="314">
        <f t="shared" si="58"/>
        <v>0</v>
      </c>
    </row>
    <row r="344" spans="1:19">
      <c r="A344" s="147"/>
      <c r="B344" s="55"/>
      <c r="C344" s="24">
        <f t="shared" si="48"/>
        <v>1</v>
      </c>
      <c r="D344" s="644"/>
      <c r="E344" s="24">
        <f t="shared" si="49"/>
        <v>1</v>
      </c>
      <c r="F344" s="644"/>
      <c r="G344" s="24">
        <f t="shared" si="50"/>
        <v>1</v>
      </c>
      <c r="H344" s="644"/>
      <c r="I344" s="24">
        <f t="shared" si="51"/>
        <v>1</v>
      </c>
      <c r="J344" s="644"/>
      <c r="K344" s="24">
        <f t="shared" si="52"/>
        <v>1</v>
      </c>
      <c r="L344" s="644"/>
      <c r="M344" s="24">
        <f t="shared" si="53"/>
        <v>1</v>
      </c>
      <c r="N344" s="644"/>
      <c r="O344" s="24">
        <f t="shared" si="54"/>
        <v>1</v>
      </c>
      <c r="P344" s="644"/>
      <c r="Q344" s="24">
        <f t="shared" si="55"/>
        <v>1</v>
      </c>
      <c r="R344" s="24">
        <f t="shared" si="56"/>
        <v>0</v>
      </c>
      <c r="S344" s="314">
        <f t="shared" si="58"/>
        <v>0</v>
      </c>
    </row>
    <row r="345" spans="1:19">
      <c r="A345" s="147"/>
      <c r="B345" s="55"/>
      <c r="C345" s="24">
        <f t="shared" si="48"/>
        <v>1</v>
      </c>
      <c r="D345" s="644"/>
      <c r="E345" s="24">
        <f t="shared" si="49"/>
        <v>1</v>
      </c>
      <c r="F345" s="644"/>
      <c r="G345" s="24">
        <f t="shared" si="50"/>
        <v>1</v>
      </c>
      <c r="H345" s="644"/>
      <c r="I345" s="24">
        <f t="shared" si="51"/>
        <v>1</v>
      </c>
      <c r="J345" s="644"/>
      <c r="K345" s="24">
        <f t="shared" si="52"/>
        <v>1</v>
      </c>
      <c r="L345" s="644"/>
      <c r="M345" s="24">
        <f t="shared" si="53"/>
        <v>1</v>
      </c>
      <c r="N345" s="644"/>
      <c r="O345" s="24">
        <f t="shared" si="54"/>
        <v>1</v>
      </c>
      <c r="P345" s="644"/>
      <c r="Q345" s="24">
        <f t="shared" si="55"/>
        <v>1</v>
      </c>
      <c r="R345" s="24">
        <f t="shared" si="56"/>
        <v>0</v>
      </c>
      <c r="S345" s="314">
        <f t="shared" si="58"/>
        <v>0</v>
      </c>
    </row>
    <row r="346" spans="1:19">
      <c r="A346" s="147"/>
      <c r="B346" s="55"/>
      <c r="C346" s="24">
        <f t="shared" ref="C346:C409" si="59">IF(B346="",1,(LOOKUP(B346,$3:$3,$4:$4)-LOOKUP($B$24,$3:$3,$4:$4)+100)/100)</f>
        <v>1</v>
      </c>
      <c r="D346" s="644"/>
      <c r="E346" s="24">
        <f t="shared" ref="E346:E409" si="60">(SUMIF($5:$5,D346,$6:$6)-SUMIF($5:$5,$D$24,$6:$6)+100)/100</f>
        <v>1</v>
      </c>
      <c r="F346" s="644"/>
      <c r="G346" s="24">
        <f t="shared" ref="G346:G409" si="61">(SUMIF($7:$7,F346,$8:$8)-SUMIF($7:$7,$F$24,$8:$8)+100)/100</f>
        <v>1</v>
      </c>
      <c r="H346" s="644"/>
      <c r="I346" s="24">
        <f t="shared" ref="I346:I409" si="62">(SUMIF($9:$9,H346,$10:$10)-SUMIF($9:$9,$H$24,$10:$10)+100)/100</f>
        <v>1</v>
      </c>
      <c r="J346" s="644"/>
      <c r="K346" s="24">
        <f t="shared" ref="K346:K409" si="63">(SUMIF($11:$11,J346,$12:$12)-SUMIF($11:$11,$J$24,$12:$12)+100)/100</f>
        <v>1</v>
      </c>
      <c r="L346" s="644"/>
      <c r="M346" s="24">
        <f t="shared" ref="M346:M409" si="64">(SUMIF($13:$13,L346,$14:$14)-SUMIF($13:$13,$L$24,$14:$14)+100)/100</f>
        <v>1</v>
      </c>
      <c r="N346" s="644"/>
      <c r="O346" s="24">
        <f t="shared" ref="O346:O409" si="65">(SUMIF($15:$15,N346,$16:$16)-SUMIF($15:$15,$N$24,$16:$16)+100)/100</f>
        <v>1</v>
      </c>
      <c r="P346" s="644"/>
      <c r="Q346" s="24">
        <f t="shared" ref="Q346:Q409" si="66">(SUMIF($17:$17,P346,$18:$18)-SUMIF($17:$17,$P$24,$18:$18)+100)/100</f>
        <v>1</v>
      </c>
      <c r="R346" s="24">
        <f t="shared" ref="R346:R409" si="67">IF(B346="",0,ROUND($R$24*C346*E346*G346*I346*K346*M346*O346*Q346,0))</f>
        <v>0</v>
      </c>
      <c r="S346" s="314">
        <f t="shared" si="58"/>
        <v>0</v>
      </c>
    </row>
    <row r="347" spans="1:19">
      <c r="A347" s="147"/>
      <c r="B347" s="55"/>
      <c r="C347" s="24">
        <f t="shared" si="59"/>
        <v>1</v>
      </c>
      <c r="D347" s="644"/>
      <c r="E347" s="24">
        <f t="shared" si="60"/>
        <v>1</v>
      </c>
      <c r="F347" s="644"/>
      <c r="G347" s="24">
        <f t="shared" si="61"/>
        <v>1</v>
      </c>
      <c r="H347" s="644"/>
      <c r="I347" s="24">
        <f t="shared" si="62"/>
        <v>1</v>
      </c>
      <c r="J347" s="644"/>
      <c r="K347" s="24">
        <f t="shared" si="63"/>
        <v>1</v>
      </c>
      <c r="L347" s="644"/>
      <c r="M347" s="24">
        <f t="shared" si="64"/>
        <v>1</v>
      </c>
      <c r="N347" s="644"/>
      <c r="O347" s="24">
        <f t="shared" si="65"/>
        <v>1</v>
      </c>
      <c r="P347" s="644"/>
      <c r="Q347" s="24">
        <f t="shared" si="66"/>
        <v>1</v>
      </c>
      <c r="R347" s="24">
        <f t="shared" si="67"/>
        <v>0</v>
      </c>
      <c r="S347" s="314">
        <f t="shared" si="58"/>
        <v>0</v>
      </c>
    </row>
    <row r="348" spans="1:19">
      <c r="A348" s="147"/>
      <c r="B348" s="55"/>
      <c r="C348" s="24">
        <f t="shared" si="59"/>
        <v>1</v>
      </c>
      <c r="D348" s="644"/>
      <c r="E348" s="24">
        <f t="shared" si="60"/>
        <v>1</v>
      </c>
      <c r="F348" s="644"/>
      <c r="G348" s="24">
        <f t="shared" si="61"/>
        <v>1</v>
      </c>
      <c r="H348" s="644"/>
      <c r="I348" s="24">
        <f t="shared" si="62"/>
        <v>1</v>
      </c>
      <c r="J348" s="644"/>
      <c r="K348" s="24">
        <f t="shared" si="63"/>
        <v>1</v>
      </c>
      <c r="L348" s="644"/>
      <c r="M348" s="24">
        <f t="shared" si="64"/>
        <v>1</v>
      </c>
      <c r="N348" s="644"/>
      <c r="O348" s="24">
        <f t="shared" si="65"/>
        <v>1</v>
      </c>
      <c r="P348" s="644"/>
      <c r="Q348" s="24">
        <f t="shared" si="66"/>
        <v>1</v>
      </c>
      <c r="R348" s="24">
        <f t="shared" si="67"/>
        <v>0</v>
      </c>
      <c r="S348" s="314">
        <f t="shared" si="58"/>
        <v>0</v>
      </c>
    </row>
    <row r="349" spans="1:19">
      <c r="A349" s="147"/>
      <c r="B349" s="55"/>
      <c r="C349" s="24">
        <f t="shared" si="59"/>
        <v>1</v>
      </c>
      <c r="D349" s="644"/>
      <c r="E349" s="24">
        <f t="shared" si="60"/>
        <v>1</v>
      </c>
      <c r="F349" s="644"/>
      <c r="G349" s="24">
        <f t="shared" si="61"/>
        <v>1</v>
      </c>
      <c r="H349" s="644"/>
      <c r="I349" s="24">
        <f t="shared" si="62"/>
        <v>1</v>
      </c>
      <c r="J349" s="644"/>
      <c r="K349" s="24">
        <f t="shared" si="63"/>
        <v>1</v>
      </c>
      <c r="L349" s="644"/>
      <c r="M349" s="24">
        <f t="shared" si="64"/>
        <v>1</v>
      </c>
      <c r="N349" s="644"/>
      <c r="O349" s="24">
        <f t="shared" si="65"/>
        <v>1</v>
      </c>
      <c r="P349" s="644"/>
      <c r="Q349" s="24">
        <f t="shared" si="66"/>
        <v>1</v>
      </c>
      <c r="R349" s="24">
        <f t="shared" si="67"/>
        <v>0</v>
      </c>
      <c r="S349" s="314">
        <f t="shared" si="58"/>
        <v>0</v>
      </c>
    </row>
    <row r="350" spans="1:19">
      <c r="A350" s="147"/>
      <c r="B350" s="55"/>
      <c r="C350" s="24">
        <f t="shared" si="59"/>
        <v>1</v>
      </c>
      <c r="D350" s="644"/>
      <c r="E350" s="24">
        <f t="shared" si="60"/>
        <v>1</v>
      </c>
      <c r="F350" s="644"/>
      <c r="G350" s="24">
        <f t="shared" si="61"/>
        <v>1</v>
      </c>
      <c r="H350" s="644"/>
      <c r="I350" s="24">
        <f t="shared" si="62"/>
        <v>1</v>
      </c>
      <c r="J350" s="644"/>
      <c r="K350" s="24">
        <f t="shared" si="63"/>
        <v>1</v>
      </c>
      <c r="L350" s="644"/>
      <c r="M350" s="24">
        <f t="shared" si="64"/>
        <v>1</v>
      </c>
      <c r="N350" s="644"/>
      <c r="O350" s="24">
        <f t="shared" si="65"/>
        <v>1</v>
      </c>
      <c r="P350" s="644"/>
      <c r="Q350" s="24">
        <f t="shared" si="66"/>
        <v>1</v>
      </c>
      <c r="R350" s="24">
        <f t="shared" si="67"/>
        <v>0</v>
      </c>
      <c r="S350" s="314">
        <f t="shared" si="58"/>
        <v>0</v>
      </c>
    </row>
    <row r="351" spans="1:19">
      <c r="A351" s="147"/>
      <c r="B351" s="55"/>
      <c r="C351" s="24">
        <f t="shared" si="59"/>
        <v>1</v>
      </c>
      <c r="D351" s="644"/>
      <c r="E351" s="24">
        <f t="shared" si="60"/>
        <v>1</v>
      </c>
      <c r="F351" s="644"/>
      <c r="G351" s="24">
        <f t="shared" si="61"/>
        <v>1</v>
      </c>
      <c r="H351" s="644"/>
      <c r="I351" s="24">
        <f t="shared" si="62"/>
        <v>1</v>
      </c>
      <c r="J351" s="644"/>
      <c r="K351" s="24">
        <f t="shared" si="63"/>
        <v>1</v>
      </c>
      <c r="L351" s="644"/>
      <c r="M351" s="24">
        <f t="shared" si="64"/>
        <v>1</v>
      </c>
      <c r="N351" s="644"/>
      <c r="O351" s="24">
        <f t="shared" si="65"/>
        <v>1</v>
      </c>
      <c r="P351" s="644"/>
      <c r="Q351" s="24">
        <f t="shared" si="66"/>
        <v>1</v>
      </c>
      <c r="R351" s="24">
        <f t="shared" si="67"/>
        <v>0</v>
      </c>
      <c r="S351" s="314">
        <f t="shared" si="58"/>
        <v>0</v>
      </c>
    </row>
    <row r="352" spans="1:19">
      <c r="A352" s="147"/>
      <c r="B352" s="55"/>
      <c r="C352" s="24">
        <f t="shared" si="59"/>
        <v>1</v>
      </c>
      <c r="D352" s="644"/>
      <c r="E352" s="24">
        <f t="shared" si="60"/>
        <v>1</v>
      </c>
      <c r="F352" s="644"/>
      <c r="G352" s="24">
        <f t="shared" si="61"/>
        <v>1</v>
      </c>
      <c r="H352" s="644"/>
      <c r="I352" s="24">
        <f t="shared" si="62"/>
        <v>1</v>
      </c>
      <c r="J352" s="644"/>
      <c r="K352" s="24">
        <f t="shared" si="63"/>
        <v>1</v>
      </c>
      <c r="L352" s="644"/>
      <c r="M352" s="24">
        <f t="shared" si="64"/>
        <v>1</v>
      </c>
      <c r="N352" s="644"/>
      <c r="O352" s="24">
        <f t="shared" si="65"/>
        <v>1</v>
      </c>
      <c r="P352" s="644"/>
      <c r="Q352" s="24">
        <f t="shared" si="66"/>
        <v>1</v>
      </c>
      <c r="R352" s="24">
        <f t="shared" si="67"/>
        <v>0</v>
      </c>
      <c r="S352" s="314">
        <f t="shared" si="58"/>
        <v>0</v>
      </c>
    </row>
    <row r="353" spans="1:19">
      <c r="A353" s="147"/>
      <c r="B353" s="55"/>
      <c r="C353" s="24">
        <f t="shared" si="59"/>
        <v>1</v>
      </c>
      <c r="D353" s="644"/>
      <c r="E353" s="24">
        <f t="shared" si="60"/>
        <v>1</v>
      </c>
      <c r="F353" s="644"/>
      <c r="G353" s="24">
        <f t="shared" si="61"/>
        <v>1</v>
      </c>
      <c r="H353" s="644"/>
      <c r="I353" s="24">
        <f t="shared" si="62"/>
        <v>1</v>
      </c>
      <c r="J353" s="644"/>
      <c r="K353" s="24">
        <f t="shared" si="63"/>
        <v>1</v>
      </c>
      <c r="L353" s="644"/>
      <c r="M353" s="24">
        <f t="shared" si="64"/>
        <v>1</v>
      </c>
      <c r="N353" s="644"/>
      <c r="O353" s="24">
        <f t="shared" si="65"/>
        <v>1</v>
      </c>
      <c r="P353" s="644"/>
      <c r="Q353" s="24">
        <f t="shared" si="66"/>
        <v>1</v>
      </c>
      <c r="R353" s="24">
        <f t="shared" si="67"/>
        <v>0</v>
      </c>
      <c r="S353" s="314">
        <f t="shared" si="58"/>
        <v>0</v>
      </c>
    </row>
    <row r="354" spans="1:19">
      <c r="A354" s="147"/>
      <c r="B354" s="55"/>
      <c r="C354" s="24">
        <f t="shared" si="59"/>
        <v>1</v>
      </c>
      <c r="D354" s="644"/>
      <c r="E354" s="24">
        <f t="shared" si="60"/>
        <v>1</v>
      </c>
      <c r="F354" s="644"/>
      <c r="G354" s="24">
        <f t="shared" si="61"/>
        <v>1</v>
      </c>
      <c r="H354" s="644"/>
      <c r="I354" s="24">
        <f t="shared" si="62"/>
        <v>1</v>
      </c>
      <c r="J354" s="644"/>
      <c r="K354" s="24">
        <f t="shared" si="63"/>
        <v>1</v>
      </c>
      <c r="L354" s="644"/>
      <c r="M354" s="24">
        <f t="shared" si="64"/>
        <v>1</v>
      </c>
      <c r="N354" s="644"/>
      <c r="O354" s="24">
        <f t="shared" si="65"/>
        <v>1</v>
      </c>
      <c r="P354" s="644"/>
      <c r="Q354" s="24">
        <f t="shared" si="66"/>
        <v>1</v>
      </c>
      <c r="R354" s="24">
        <f t="shared" si="67"/>
        <v>0</v>
      </c>
      <c r="S354" s="314">
        <f t="shared" si="58"/>
        <v>0</v>
      </c>
    </row>
    <row r="355" spans="1:19">
      <c r="A355" s="147"/>
      <c r="B355" s="55"/>
      <c r="C355" s="24">
        <f t="shared" si="59"/>
        <v>1</v>
      </c>
      <c r="D355" s="644"/>
      <c r="E355" s="24">
        <f t="shared" si="60"/>
        <v>1</v>
      </c>
      <c r="F355" s="644"/>
      <c r="G355" s="24">
        <f t="shared" si="61"/>
        <v>1</v>
      </c>
      <c r="H355" s="644"/>
      <c r="I355" s="24">
        <f t="shared" si="62"/>
        <v>1</v>
      </c>
      <c r="J355" s="644"/>
      <c r="K355" s="24">
        <f t="shared" si="63"/>
        <v>1</v>
      </c>
      <c r="L355" s="644"/>
      <c r="M355" s="24">
        <f t="shared" si="64"/>
        <v>1</v>
      </c>
      <c r="N355" s="644"/>
      <c r="O355" s="24">
        <f t="shared" si="65"/>
        <v>1</v>
      </c>
      <c r="P355" s="644"/>
      <c r="Q355" s="24">
        <f t="shared" si="66"/>
        <v>1</v>
      </c>
      <c r="R355" s="24">
        <f t="shared" si="67"/>
        <v>0</v>
      </c>
      <c r="S355" s="314">
        <f t="shared" si="58"/>
        <v>0</v>
      </c>
    </row>
    <row r="356" spans="1:19">
      <c r="A356" s="147"/>
      <c r="B356" s="55"/>
      <c r="C356" s="24">
        <f t="shared" si="59"/>
        <v>1</v>
      </c>
      <c r="D356" s="644"/>
      <c r="E356" s="24">
        <f t="shared" si="60"/>
        <v>1</v>
      </c>
      <c r="F356" s="644"/>
      <c r="G356" s="24">
        <f t="shared" si="61"/>
        <v>1</v>
      </c>
      <c r="H356" s="644"/>
      <c r="I356" s="24">
        <f t="shared" si="62"/>
        <v>1</v>
      </c>
      <c r="J356" s="644"/>
      <c r="K356" s="24">
        <f t="shared" si="63"/>
        <v>1</v>
      </c>
      <c r="L356" s="644"/>
      <c r="M356" s="24">
        <f t="shared" si="64"/>
        <v>1</v>
      </c>
      <c r="N356" s="644"/>
      <c r="O356" s="24">
        <f t="shared" si="65"/>
        <v>1</v>
      </c>
      <c r="P356" s="644"/>
      <c r="Q356" s="24">
        <f t="shared" si="66"/>
        <v>1</v>
      </c>
      <c r="R356" s="24">
        <f t="shared" si="67"/>
        <v>0</v>
      </c>
      <c r="S356" s="314">
        <f t="shared" si="58"/>
        <v>0</v>
      </c>
    </row>
    <row r="357" spans="1:19">
      <c r="A357" s="147"/>
      <c r="B357" s="55"/>
      <c r="C357" s="24">
        <f t="shared" si="59"/>
        <v>1</v>
      </c>
      <c r="D357" s="644"/>
      <c r="E357" s="24">
        <f t="shared" si="60"/>
        <v>1</v>
      </c>
      <c r="F357" s="644"/>
      <c r="G357" s="24">
        <f t="shared" si="61"/>
        <v>1</v>
      </c>
      <c r="H357" s="644"/>
      <c r="I357" s="24">
        <f t="shared" si="62"/>
        <v>1</v>
      </c>
      <c r="J357" s="644"/>
      <c r="K357" s="24">
        <f t="shared" si="63"/>
        <v>1</v>
      </c>
      <c r="L357" s="644"/>
      <c r="M357" s="24">
        <f t="shared" si="64"/>
        <v>1</v>
      </c>
      <c r="N357" s="644"/>
      <c r="O357" s="24">
        <f t="shared" si="65"/>
        <v>1</v>
      </c>
      <c r="P357" s="644"/>
      <c r="Q357" s="24">
        <f t="shared" si="66"/>
        <v>1</v>
      </c>
      <c r="R357" s="24">
        <f t="shared" si="67"/>
        <v>0</v>
      </c>
      <c r="S357" s="314">
        <f t="shared" si="58"/>
        <v>0</v>
      </c>
    </row>
    <row r="358" spans="1:19">
      <c r="A358" s="147"/>
      <c r="B358" s="55"/>
      <c r="C358" s="24">
        <f t="shared" si="59"/>
        <v>1</v>
      </c>
      <c r="D358" s="644"/>
      <c r="E358" s="24">
        <f t="shared" si="60"/>
        <v>1</v>
      </c>
      <c r="F358" s="644"/>
      <c r="G358" s="24">
        <f t="shared" si="61"/>
        <v>1</v>
      </c>
      <c r="H358" s="644"/>
      <c r="I358" s="24">
        <f t="shared" si="62"/>
        <v>1</v>
      </c>
      <c r="J358" s="644"/>
      <c r="K358" s="24">
        <f t="shared" si="63"/>
        <v>1</v>
      </c>
      <c r="L358" s="644"/>
      <c r="M358" s="24">
        <f t="shared" si="64"/>
        <v>1</v>
      </c>
      <c r="N358" s="644"/>
      <c r="O358" s="24">
        <f t="shared" si="65"/>
        <v>1</v>
      </c>
      <c r="P358" s="644"/>
      <c r="Q358" s="24">
        <f t="shared" si="66"/>
        <v>1</v>
      </c>
      <c r="R358" s="24">
        <f t="shared" si="67"/>
        <v>0</v>
      </c>
      <c r="S358" s="314">
        <f t="shared" si="58"/>
        <v>0</v>
      </c>
    </row>
    <row r="359" spans="1:19">
      <c r="A359" s="147"/>
      <c r="B359" s="55"/>
      <c r="C359" s="24">
        <f t="shared" si="59"/>
        <v>1</v>
      </c>
      <c r="D359" s="644"/>
      <c r="E359" s="24">
        <f t="shared" si="60"/>
        <v>1</v>
      </c>
      <c r="F359" s="644"/>
      <c r="G359" s="24">
        <f t="shared" si="61"/>
        <v>1</v>
      </c>
      <c r="H359" s="644"/>
      <c r="I359" s="24">
        <f t="shared" si="62"/>
        <v>1</v>
      </c>
      <c r="J359" s="644"/>
      <c r="K359" s="24">
        <f t="shared" si="63"/>
        <v>1</v>
      </c>
      <c r="L359" s="644"/>
      <c r="M359" s="24">
        <f t="shared" si="64"/>
        <v>1</v>
      </c>
      <c r="N359" s="644"/>
      <c r="O359" s="24">
        <f t="shared" si="65"/>
        <v>1</v>
      </c>
      <c r="P359" s="644"/>
      <c r="Q359" s="24">
        <f t="shared" si="66"/>
        <v>1</v>
      </c>
      <c r="R359" s="24">
        <f t="shared" si="67"/>
        <v>0</v>
      </c>
      <c r="S359" s="314">
        <f t="shared" si="58"/>
        <v>0</v>
      </c>
    </row>
    <row r="360" spans="1:19">
      <c r="A360" s="147"/>
      <c r="B360" s="55"/>
      <c r="C360" s="24">
        <f t="shared" si="59"/>
        <v>1</v>
      </c>
      <c r="D360" s="644"/>
      <c r="E360" s="24">
        <f t="shared" si="60"/>
        <v>1</v>
      </c>
      <c r="F360" s="644"/>
      <c r="G360" s="24">
        <f t="shared" si="61"/>
        <v>1</v>
      </c>
      <c r="H360" s="644"/>
      <c r="I360" s="24">
        <f t="shared" si="62"/>
        <v>1</v>
      </c>
      <c r="J360" s="644"/>
      <c r="K360" s="24">
        <f t="shared" si="63"/>
        <v>1</v>
      </c>
      <c r="L360" s="644"/>
      <c r="M360" s="24">
        <f t="shared" si="64"/>
        <v>1</v>
      </c>
      <c r="N360" s="644"/>
      <c r="O360" s="24">
        <f t="shared" si="65"/>
        <v>1</v>
      </c>
      <c r="P360" s="644"/>
      <c r="Q360" s="24">
        <f t="shared" si="66"/>
        <v>1</v>
      </c>
      <c r="R360" s="24">
        <f t="shared" si="67"/>
        <v>0</v>
      </c>
      <c r="S360" s="314">
        <f t="shared" si="58"/>
        <v>0</v>
      </c>
    </row>
    <row r="361" spans="1:19">
      <c r="A361" s="147"/>
      <c r="B361" s="55"/>
      <c r="C361" s="24">
        <f t="shared" si="59"/>
        <v>1</v>
      </c>
      <c r="D361" s="644"/>
      <c r="E361" s="24">
        <f t="shared" si="60"/>
        <v>1</v>
      </c>
      <c r="F361" s="644"/>
      <c r="G361" s="24">
        <f t="shared" si="61"/>
        <v>1</v>
      </c>
      <c r="H361" s="644"/>
      <c r="I361" s="24">
        <f t="shared" si="62"/>
        <v>1</v>
      </c>
      <c r="J361" s="644"/>
      <c r="K361" s="24">
        <f t="shared" si="63"/>
        <v>1</v>
      </c>
      <c r="L361" s="644"/>
      <c r="M361" s="24">
        <f t="shared" si="64"/>
        <v>1</v>
      </c>
      <c r="N361" s="644"/>
      <c r="O361" s="24">
        <f t="shared" si="65"/>
        <v>1</v>
      </c>
      <c r="P361" s="644"/>
      <c r="Q361" s="24">
        <f t="shared" si="66"/>
        <v>1</v>
      </c>
      <c r="R361" s="24">
        <f t="shared" si="67"/>
        <v>0</v>
      </c>
      <c r="S361" s="314">
        <f t="shared" si="58"/>
        <v>0</v>
      </c>
    </row>
    <row r="362" spans="1:19">
      <c r="A362" s="147"/>
      <c r="B362" s="55"/>
      <c r="C362" s="24">
        <f t="shared" si="59"/>
        <v>1</v>
      </c>
      <c r="D362" s="644"/>
      <c r="E362" s="24">
        <f t="shared" si="60"/>
        <v>1</v>
      </c>
      <c r="F362" s="644"/>
      <c r="G362" s="24">
        <f t="shared" si="61"/>
        <v>1</v>
      </c>
      <c r="H362" s="644"/>
      <c r="I362" s="24">
        <f t="shared" si="62"/>
        <v>1</v>
      </c>
      <c r="J362" s="644"/>
      <c r="K362" s="24">
        <f t="shared" si="63"/>
        <v>1</v>
      </c>
      <c r="L362" s="644"/>
      <c r="M362" s="24">
        <f t="shared" si="64"/>
        <v>1</v>
      </c>
      <c r="N362" s="644"/>
      <c r="O362" s="24">
        <f t="shared" si="65"/>
        <v>1</v>
      </c>
      <c r="P362" s="644"/>
      <c r="Q362" s="24">
        <f t="shared" si="66"/>
        <v>1</v>
      </c>
      <c r="R362" s="24">
        <f t="shared" si="67"/>
        <v>0</v>
      </c>
      <c r="S362" s="314">
        <f t="shared" si="58"/>
        <v>0</v>
      </c>
    </row>
    <row r="363" spans="1:19">
      <c r="A363" s="147"/>
      <c r="B363" s="55"/>
      <c r="C363" s="24">
        <f t="shared" si="59"/>
        <v>1</v>
      </c>
      <c r="D363" s="644"/>
      <c r="E363" s="24">
        <f t="shared" si="60"/>
        <v>1</v>
      </c>
      <c r="F363" s="644"/>
      <c r="G363" s="24">
        <f t="shared" si="61"/>
        <v>1</v>
      </c>
      <c r="H363" s="644"/>
      <c r="I363" s="24">
        <f t="shared" si="62"/>
        <v>1</v>
      </c>
      <c r="J363" s="644"/>
      <c r="K363" s="24">
        <f t="shared" si="63"/>
        <v>1</v>
      </c>
      <c r="L363" s="644"/>
      <c r="M363" s="24">
        <f t="shared" si="64"/>
        <v>1</v>
      </c>
      <c r="N363" s="644"/>
      <c r="O363" s="24">
        <f t="shared" si="65"/>
        <v>1</v>
      </c>
      <c r="P363" s="644"/>
      <c r="Q363" s="24">
        <f t="shared" si="66"/>
        <v>1</v>
      </c>
      <c r="R363" s="24">
        <f t="shared" si="67"/>
        <v>0</v>
      </c>
      <c r="S363" s="314">
        <f t="shared" si="58"/>
        <v>0</v>
      </c>
    </row>
    <row r="364" spans="1:19">
      <c r="A364" s="147"/>
      <c r="B364" s="55"/>
      <c r="C364" s="24">
        <f t="shared" si="59"/>
        <v>1</v>
      </c>
      <c r="D364" s="644"/>
      <c r="E364" s="24">
        <f t="shared" si="60"/>
        <v>1</v>
      </c>
      <c r="F364" s="644"/>
      <c r="G364" s="24">
        <f t="shared" si="61"/>
        <v>1</v>
      </c>
      <c r="H364" s="644"/>
      <c r="I364" s="24">
        <f t="shared" si="62"/>
        <v>1</v>
      </c>
      <c r="J364" s="644"/>
      <c r="K364" s="24">
        <f t="shared" si="63"/>
        <v>1</v>
      </c>
      <c r="L364" s="644"/>
      <c r="M364" s="24">
        <f t="shared" si="64"/>
        <v>1</v>
      </c>
      <c r="N364" s="644"/>
      <c r="O364" s="24">
        <f t="shared" si="65"/>
        <v>1</v>
      </c>
      <c r="P364" s="644"/>
      <c r="Q364" s="24">
        <f t="shared" si="66"/>
        <v>1</v>
      </c>
      <c r="R364" s="24">
        <f t="shared" si="67"/>
        <v>0</v>
      </c>
      <c r="S364" s="314">
        <f t="shared" si="58"/>
        <v>0</v>
      </c>
    </row>
    <row r="365" spans="1:19">
      <c r="A365" s="147"/>
      <c r="B365" s="55"/>
      <c r="C365" s="24">
        <f t="shared" si="59"/>
        <v>1</v>
      </c>
      <c r="D365" s="644"/>
      <c r="E365" s="24">
        <f t="shared" si="60"/>
        <v>1</v>
      </c>
      <c r="F365" s="644"/>
      <c r="G365" s="24">
        <f t="shared" si="61"/>
        <v>1</v>
      </c>
      <c r="H365" s="644"/>
      <c r="I365" s="24">
        <f t="shared" si="62"/>
        <v>1</v>
      </c>
      <c r="J365" s="644"/>
      <c r="K365" s="24">
        <f t="shared" si="63"/>
        <v>1</v>
      </c>
      <c r="L365" s="644"/>
      <c r="M365" s="24">
        <f t="shared" si="64"/>
        <v>1</v>
      </c>
      <c r="N365" s="644"/>
      <c r="O365" s="24">
        <f t="shared" si="65"/>
        <v>1</v>
      </c>
      <c r="P365" s="644"/>
      <c r="Q365" s="24">
        <f t="shared" si="66"/>
        <v>1</v>
      </c>
      <c r="R365" s="24">
        <f t="shared" si="67"/>
        <v>0</v>
      </c>
      <c r="S365" s="314">
        <f t="shared" si="58"/>
        <v>0</v>
      </c>
    </row>
    <row r="366" spans="1:19">
      <c r="A366" s="147"/>
      <c r="B366" s="55"/>
      <c r="C366" s="24">
        <f t="shared" si="59"/>
        <v>1</v>
      </c>
      <c r="D366" s="644"/>
      <c r="E366" s="24">
        <f t="shared" si="60"/>
        <v>1</v>
      </c>
      <c r="F366" s="644"/>
      <c r="G366" s="24">
        <f t="shared" si="61"/>
        <v>1</v>
      </c>
      <c r="H366" s="644"/>
      <c r="I366" s="24">
        <f t="shared" si="62"/>
        <v>1</v>
      </c>
      <c r="J366" s="644"/>
      <c r="K366" s="24">
        <f t="shared" si="63"/>
        <v>1</v>
      </c>
      <c r="L366" s="644"/>
      <c r="M366" s="24">
        <f t="shared" si="64"/>
        <v>1</v>
      </c>
      <c r="N366" s="644"/>
      <c r="O366" s="24">
        <f t="shared" si="65"/>
        <v>1</v>
      </c>
      <c r="P366" s="644"/>
      <c r="Q366" s="24">
        <f t="shared" si="66"/>
        <v>1</v>
      </c>
      <c r="R366" s="24">
        <f t="shared" si="67"/>
        <v>0</v>
      </c>
      <c r="S366" s="314">
        <f t="shared" si="58"/>
        <v>0</v>
      </c>
    </row>
    <row r="367" spans="1:19">
      <c r="A367" s="147"/>
      <c r="B367" s="55"/>
      <c r="C367" s="24">
        <f t="shared" si="59"/>
        <v>1</v>
      </c>
      <c r="D367" s="644"/>
      <c r="E367" s="24">
        <f t="shared" si="60"/>
        <v>1</v>
      </c>
      <c r="F367" s="644"/>
      <c r="G367" s="24">
        <f t="shared" si="61"/>
        <v>1</v>
      </c>
      <c r="H367" s="644"/>
      <c r="I367" s="24">
        <f t="shared" si="62"/>
        <v>1</v>
      </c>
      <c r="J367" s="644"/>
      <c r="K367" s="24">
        <f t="shared" si="63"/>
        <v>1</v>
      </c>
      <c r="L367" s="644"/>
      <c r="M367" s="24">
        <f t="shared" si="64"/>
        <v>1</v>
      </c>
      <c r="N367" s="644"/>
      <c r="O367" s="24">
        <f t="shared" si="65"/>
        <v>1</v>
      </c>
      <c r="P367" s="644"/>
      <c r="Q367" s="24">
        <f t="shared" si="66"/>
        <v>1</v>
      </c>
      <c r="R367" s="24">
        <f t="shared" si="67"/>
        <v>0</v>
      </c>
      <c r="S367" s="314">
        <f t="shared" si="58"/>
        <v>0</v>
      </c>
    </row>
    <row r="368" spans="1:19">
      <c r="A368" s="147"/>
      <c r="B368" s="55"/>
      <c r="C368" s="24">
        <f t="shared" si="59"/>
        <v>1</v>
      </c>
      <c r="D368" s="644"/>
      <c r="E368" s="24">
        <f t="shared" si="60"/>
        <v>1</v>
      </c>
      <c r="F368" s="644"/>
      <c r="G368" s="24">
        <f t="shared" si="61"/>
        <v>1</v>
      </c>
      <c r="H368" s="644"/>
      <c r="I368" s="24">
        <f t="shared" si="62"/>
        <v>1</v>
      </c>
      <c r="J368" s="644"/>
      <c r="K368" s="24">
        <f t="shared" si="63"/>
        <v>1</v>
      </c>
      <c r="L368" s="644"/>
      <c r="M368" s="24">
        <f t="shared" si="64"/>
        <v>1</v>
      </c>
      <c r="N368" s="644"/>
      <c r="O368" s="24">
        <f t="shared" si="65"/>
        <v>1</v>
      </c>
      <c r="P368" s="644"/>
      <c r="Q368" s="24">
        <f t="shared" si="66"/>
        <v>1</v>
      </c>
      <c r="R368" s="24">
        <f t="shared" si="67"/>
        <v>0</v>
      </c>
      <c r="S368" s="314">
        <f t="shared" si="58"/>
        <v>0</v>
      </c>
    </row>
    <row r="369" spans="1:19">
      <c r="A369" s="147"/>
      <c r="B369" s="55"/>
      <c r="C369" s="24">
        <f t="shared" si="59"/>
        <v>1</v>
      </c>
      <c r="D369" s="644"/>
      <c r="E369" s="24">
        <f t="shared" si="60"/>
        <v>1</v>
      </c>
      <c r="F369" s="644"/>
      <c r="G369" s="24">
        <f t="shared" si="61"/>
        <v>1</v>
      </c>
      <c r="H369" s="644"/>
      <c r="I369" s="24">
        <f t="shared" si="62"/>
        <v>1</v>
      </c>
      <c r="J369" s="644"/>
      <c r="K369" s="24">
        <f t="shared" si="63"/>
        <v>1</v>
      </c>
      <c r="L369" s="644"/>
      <c r="M369" s="24">
        <f t="shared" si="64"/>
        <v>1</v>
      </c>
      <c r="N369" s="644"/>
      <c r="O369" s="24">
        <f t="shared" si="65"/>
        <v>1</v>
      </c>
      <c r="P369" s="644"/>
      <c r="Q369" s="24">
        <f t="shared" si="66"/>
        <v>1</v>
      </c>
      <c r="R369" s="24">
        <f t="shared" si="67"/>
        <v>0</v>
      </c>
      <c r="S369" s="314">
        <f t="shared" si="58"/>
        <v>0</v>
      </c>
    </row>
    <row r="370" spans="1:19">
      <c r="A370" s="147"/>
      <c r="B370" s="55"/>
      <c r="C370" s="24">
        <f t="shared" si="59"/>
        <v>1</v>
      </c>
      <c r="D370" s="644"/>
      <c r="E370" s="24">
        <f t="shared" si="60"/>
        <v>1</v>
      </c>
      <c r="F370" s="644"/>
      <c r="G370" s="24">
        <f t="shared" si="61"/>
        <v>1</v>
      </c>
      <c r="H370" s="644"/>
      <c r="I370" s="24">
        <f t="shared" si="62"/>
        <v>1</v>
      </c>
      <c r="J370" s="644"/>
      <c r="K370" s="24">
        <f t="shared" si="63"/>
        <v>1</v>
      </c>
      <c r="L370" s="644"/>
      <c r="M370" s="24">
        <f t="shared" si="64"/>
        <v>1</v>
      </c>
      <c r="N370" s="644"/>
      <c r="O370" s="24">
        <f t="shared" si="65"/>
        <v>1</v>
      </c>
      <c r="P370" s="644"/>
      <c r="Q370" s="24">
        <f t="shared" si="66"/>
        <v>1</v>
      </c>
      <c r="R370" s="24">
        <f t="shared" si="67"/>
        <v>0</v>
      </c>
      <c r="S370" s="314">
        <f t="shared" si="58"/>
        <v>0</v>
      </c>
    </row>
    <row r="371" spans="1:19">
      <c r="A371" s="147"/>
      <c r="B371" s="55"/>
      <c r="C371" s="24">
        <f t="shared" si="59"/>
        <v>1</v>
      </c>
      <c r="D371" s="644"/>
      <c r="E371" s="24">
        <f t="shared" si="60"/>
        <v>1</v>
      </c>
      <c r="F371" s="644"/>
      <c r="G371" s="24">
        <f t="shared" si="61"/>
        <v>1</v>
      </c>
      <c r="H371" s="644"/>
      <c r="I371" s="24">
        <f t="shared" si="62"/>
        <v>1</v>
      </c>
      <c r="J371" s="644"/>
      <c r="K371" s="24">
        <f t="shared" si="63"/>
        <v>1</v>
      </c>
      <c r="L371" s="644"/>
      <c r="M371" s="24">
        <f t="shared" si="64"/>
        <v>1</v>
      </c>
      <c r="N371" s="644"/>
      <c r="O371" s="24">
        <f t="shared" si="65"/>
        <v>1</v>
      </c>
      <c r="P371" s="644"/>
      <c r="Q371" s="24">
        <f t="shared" si="66"/>
        <v>1</v>
      </c>
      <c r="R371" s="24">
        <f t="shared" si="67"/>
        <v>0</v>
      </c>
      <c r="S371" s="314">
        <f t="shared" si="58"/>
        <v>0</v>
      </c>
    </row>
    <row r="372" spans="1:19">
      <c r="A372" s="147"/>
      <c r="B372" s="55"/>
      <c r="C372" s="24">
        <f t="shared" si="59"/>
        <v>1</v>
      </c>
      <c r="D372" s="644"/>
      <c r="E372" s="24">
        <f t="shared" si="60"/>
        <v>1</v>
      </c>
      <c r="F372" s="644"/>
      <c r="G372" s="24">
        <f t="shared" si="61"/>
        <v>1</v>
      </c>
      <c r="H372" s="644"/>
      <c r="I372" s="24">
        <f t="shared" si="62"/>
        <v>1</v>
      </c>
      <c r="J372" s="644"/>
      <c r="K372" s="24">
        <f t="shared" si="63"/>
        <v>1</v>
      </c>
      <c r="L372" s="644"/>
      <c r="M372" s="24">
        <f t="shared" si="64"/>
        <v>1</v>
      </c>
      <c r="N372" s="644"/>
      <c r="O372" s="24">
        <f t="shared" si="65"/>
        <v>1</v>
      </c>
      <c r="P372" s="644"/>
      <c r="Q372" s="24">
        <f t="shared" si="66"/>
        <v>1</v>
      </c>
      <c r="R372" s="24">
        <f t="shared" si="67"/>
        <v>0</v>
      </c>
      <c r="S372" s="314">
        <f t="shared" si="58"/>
        <v>0</v>
      </c>
    </row>
    <row r="373" spans="1:19">
      <c r="A373" s="147"/>
      <c r="B373" s="55"/>
      <c r="C373" s="24">
        <f t="shared" si="59"/>
        <v>1</v>
      </c>
      <c r="D373" s="644"/>
      <c r="E373" s="24">
        <f t="shared" si="60"/>
        <v>1</v>
      </c>
      <c r="F373" s="644"/>
      <c r="G373" s="24">
        <f t="shared" si="61"/>
        <v>1</v>
      </c>
      <c r="H373" s="644"/>
      <c r="I373" s="24">
        <f t="shared" si="62"/>
        <v>1</v>
      </c>
      <c r="J373" s="644"/>
      <c r="K373" s="24">
        <f t="shared" si="63"/>
        <v>1</v>
      </c>
      <c r="L373" s="644"/>
      <c r="M373" s="24">
        <f t="shared" si="64"/>
        <v>1</v>
      </c>
      <c r="N373" s="644"/>
      <c r="O373" s="24">
        <f t="shared" si="65"/>
        <v>1</v>
      </c>
      <c r="P373" s="644"/>
      <c r="Q373" s="24">
        <f t="shared" si="66"/>
        <v>1</v>
      </c>
      <c r="R373" s="24">
        <f t="shared" si="67"/>
        <v>0</v>
      </c>
      <c r="S373" s="314">
        <f t="shared" si="58"/>
        <v>0</v>
      </c>
    </row>
    <row r="374" spans="1:19">
      <c r="A374" s="147"/>
      <c r="B374" s="55"/>
      <c r="C374" s="24">
        <f t="shared" si="59"/>
        <v>1</v>
      </c>
      <c r="D374" s="644"/>
      <c r="E374" s="24">
        <f t="shared" si="60"/>
        <v>1</v>
      </c>
      <c r="F374" s="644"/>
      <c r="G374" s="24">
        <f t="shared" si="61"/>
        <v>1</v>
      </c>
      <c r="H374" s="644"/>
      <c r="I374" s="24">
        <f t="shared" si="62"/>
        <v>1</v>
      </c>
      <c r="J374" s="644"/>
      <c r="K374" s="24">
        <f t="shared" si="63"/>
        <v>1</v>
      </c>
      <c r="L374" s="644"/>
      <c r="M374" s="24">
        <f t="shared" si="64"/>
        <v>1</v>
      </c>
      <c r="N374" s="644"/>
      <c r="O374" s="24">
        <f t="shared" si="65"/>
        <v>1</v>
      </c>
      <c r="P374" s="644"/>
      <c r="Q374" s="24">
        <f t="shared" si="66"/>
        <v>1</v>
      </c>
      <c r="R374" s="24">
        <f t="shared" si="67"/>
        <v>0</v>
      </c>
      <c r="S374" s="314">
        <f t="shared" si="58"/>
        <v>0</v>
      </c>
    </row>
    <row r="375" spans="1:19">
      <c r="A375" s="147"/>
      <c r="B375" s="55"/>
      <c r="C375" s="24">
        <f t="shared" si="59"/>
        <v>1</v>
      </c>
      <c r="D375" s="644"/>
      <c r="E375" s="24">
        <f t="shared" si="60"/>
        <v>1</v>
      </c>
      <c r="F375" s="644"/>
      <c r="G375" s="24">
        <f t="shared" si="61"/>
        <v>1</v>
      </c>
      <c r="H375" s="644"/>
      <c r="I375" s="24">
        <f t="shared" si="62"/>
        <v>1</v>
      </c>
      <c r="J375" s="644"/>
      <c r="K375" s="24">
        <f t="shared" si="63"/>
        <v>1</v>
      </c>
      <c r="L375" s="644"/>
      <c r="M375" s="24">
        <f t="shared" si="64"/>
        <v>1</v>
      </c>
      <c r="N375" s="644"/>
      <c r="O375" s="24">
        <f t="shared" si="65"/>
        <v>1</v>
      </c>
      <c r="P375" s="644"/>
      <c r="Q375" s="24">
        <f t="shared" si="66"/>
        <v>1</v>
      </c>
      <c r="R375" s="24">
        <f t="shared" si="67"/>
        <v>0</v>
      </c>
      <c r="S375" s="314">
        <f t="shared" si="58"/>
        <v>0</v>
      </c>
    </row>
    <row r="376" spans="1:19">
      <c r="A376" s="147"/>
      <c r="B376" s="55"/>
      <c r="C376" s="24">
        <f t="shared" si="59"/>
        <v>1</v>
      </c>
      <c r="D376" s="644"/>
      <c r="E376" s="24">
        <f t="shared" si="60"/>
        <v>1</v>
      </c>
      <c r="F376" s="644"/>
      <c r="G376" s="24">
        <f t="shared" si="61"/>
        <v>1</v>
      </c>
      <c r="H376" s="644"/>
      <c r="I376" s="24">
        <f t="shared" si="62"/>
        <v>1</v>
      </c>
      <c r="J376" s="644"/>
      <c r="K376" s="24">
        <f t="shared" si="63"/>
        <v>1</v>
      </c>
      <c r="L376" s="644"/>
      <c r="M376" s="24">
        <f t="shared" si="64"/>
        <v>1</v>
      </c>
      <c r="N376" s="644"/>
      <c r="O376" s="24">
        <f t="shared" si="65"/>
        <v>1</v>
      </c>
      <c r="P376" s="644"/>
      <c r="Q376" s="24">
        <f t="shared" si="66"/>
        <v>1</v>
      </c>
      <c r="R376" s="24">
        <f t="shared" si="67"/>
        <v>0</v>
      </c>
      <c r="S376" s="314">
        <f t="shared" si="58"/>
        <v>0</v>
      </c>
    </row>
    <row r="377" spans="1:19">
      <c r="A377" s="147"/>
      <c r="B377" s="55"/>
      <c r="C377" s="24">
        <f t="shared" si="59"/>
        <v>1</v>
      </c>
      <c r="D377" s="644"/>
      <c r="E377" s="24">
        <f t="shared" si="60"/>
        <v>1</v>
      </c>
      <c r="F377" s="644"/>
      <c r="G377" s="24">
        <f t="shared" si="61"/>
        <v>1</v>
      </c>
      <c r="H377" s="644"/>
      <c r="I377" s="24">
        <f t="shared" si="62"/>
        <v>1</v>
      </c>
      <c r="J377" s="644"/>
      <c r="K377" s="24">
        <f t="shared" si="63"/>
        <v>1</v>
      </c>
      <c r="L377" s="644"/>
      <c r="M377" s="24">
        <f t="shared" si="64"/>
        <v>1</v>
      </c>
      <c r="N377" s="644"/>
      <c r="O377" s="24">
        <f t="shared" si="65"/>
        <v>1</v>
      </c>
      <c r="P377" s="644"/>
      <c r="Q377" s="24">
        <f t="shared" si="66"/>
        <v>1</v>
      </c>
      <c r="R377" s="24">
        <f t="shared" si="67"/>
        <v>0</v>
      </c>
      <c r="S377" s="314">
        <f t="shared" si="58"/>
        <v>0</v>
      </c>
    </row>
    <row r="378" spans="1:19">
      <c r="A378" s="147"/>
      <c r="B378" s="55"/>
      <c r="C378" s="24">
        <f t="shared" si="59"/>
        <v>1</v>
      </c>
      <c r="D378" s="644"/>
      <c r="E378" s="24">
        <f t="shared" si="60"/>
        <v>1</v>
      </c>
      <c r="F378" s="644"/>
      <c r="G378" s="24">
        <f t="shared" si="61"/>
        <v>1</v>
      </c>
      <c r="H378" s="644"/>
      <c r="I378" s="24">
        <f t="shared" si="62"/>
        <v>1</v>
      </c>
      <c r="J378" s="644"/>
      <c r="K378" s="24">
        <f t="shared" si="63"/>
        <v>1</v>
      </c>
      <c r="L378" s="644"/>
      <c r="M378" s="24">
        <f t="shared" si="64"/>
        <v>1</v>
      </c>
      <c r="N378" s="644"/>
      <c r="O378" s="24">
        <f t="shared" si="65"/>
        <v>1</v>
      </c>
      <c r="P378" s="644"/>
      <c r="Q378" s="24">
        <f t="shared" si="66"/>
        <v>1</v>
      </c>
      <c r="R378" s="24">
        <f t="shared" si="67"/>
        <v>0</v>
      </c>
      <c r="S378" s="314">
        <f t="shared" si="58"/>
        <v>0</v>
      </c>
    </row>
    <row r="379" spans="1:19">
      <c r="A379" s="147"/>
      <c r="B379" s="55"/>
      <c r="C379" s="24">
        <f t="shared" si="59"/>
        <v>1</v>
      </c>
      <c r="D379" s="644"/>
      <c r="E379" s="24">
        <f t="shared" si="60"/>
        <v>1</v>
      </c>
      <c r="F379" s="644"/>
      <c r="G379" s="24">
        <f t="shared" si="61"/>
        <v>1</v>
      </c>
      <c r="H379" s="644"/>
      <c r="I379" s="24">
        <f t="shared" si="62"/>
        <v>1</v>
      </c>
      <c r="J379" s="644"/>
      <c r="K379" s="24">
        <f t="shared" si="63"/>
        <v>1</v>
      </c>
      <c r="L379" s="644"/>
      <c r="M379" s="24">
        <f t="shared" si="64"/>
        <v>1</v>
      </c>
      <c r="N379" s="644"/>
      <c r="O379" s="24">
        <f t="shared" si="65"/>
        <v>1</v>
      </c>
      <c r="P379" s="644"/>
      <c r="Q379" s="24">
        <f t="shared" si="66"/>
        <v>1</v>
      </c>
      <c r="R379" s="24">
        <f t="shared" si="67"/>
        <v>0</v>
      </c>
      <c r="S379" s="314">
        <f t="shared" si="58"/>
        <v>0</v>
      </c>
    </row>
    <row r="380" spans="1:19">
      <c r="A380" s="147"/>
      <c r="B380" s="55"/>
      <c r="C380" s="24">
        <f t="shared" si="59"/>
        <v>1</v>
      </c>
      <c r="D380" s="644"/>
      <c r="E380" s="24">
        <f t="shared" si="60"/>
        <v>1</v>
      </c>
      <c r="F380" s="644"/>
      <c r="G380" s="24">
        <f t="shared" si="61"/>
        <v>1</v>
      </c>
      <c r="H380" s="644"/>
      <c r="I380" s="24">
        <f t="shared" si="62"/>
        <v>1</v>
      </c>
      <c r="J380" s="644"/>
      <c r="K380" s="24">
        <f t="shared" si="63"/>
        <v>1</v>
      </c>
      <c r="L380" s="644"/>
      <c r="M380" s="24">
        <f t="shared" si="64"/>
        <v>1</v>
      </c>
      <c r="N380" s="644"/>
      <c r="O380" s="24">
        <f t="shared" si="65"/>
        <v>1</v>
      </c>
      <c r="P380" s="644"/>
      <c r="Q380" s="24">
        <f t="shared" si="66"/>
        <v>1</v>
      </c>
      <c r="R380" s="24">
        <f t="shared" si="67"/>
        <v>0</v>
      </c>
      <c r="S380" s="314">
        <f t="shared" si="58"/>
        <v>0</v>
      </c>
    </row>
    <row r="381" spans="1:19">
      <c r="A381" s="147"/>
      <c r="B381" s="55"/>
      <c r="C381" s="24">
        <f t="shared" si="59"/>
        <v>1</v>
      </c>
      <c r="D381" s="644"/>
      <c r="E381" s="24">
        <f t="shared" si="60"/>
        <v>1</v>
      </c>
      <c r="F381" s="644"/>
      <c r="G381" s="24">
        <f t="shared" si="61"/>
        <v>1</v>
      </c>
      <c r="H381" s="644"/>
      <c r="I381" s="24">
        <f t="shared" si="62"/>
        <v>1</v>
      </c>
      <c r="J381" s="644"/>
      <c r="K381" s="24">
        <f t="shared" si="63"/>
        <v>1</v>
      </c>
      <c r="L381" s="644"/>
      <c r="M381" s="24">
        <f t="shared" si="64"/>
        <v>1</v>
      </c>
      <c r="N381" s="644"/>
      <c r="O381" s="24">
        <f t="shared" si="65"/>
        <v>1</v>
      </c>
      <c r="P381" s="644"/>
      <c r="Q381" s="24">
        <f t="shared" si="66"/>
        <v>1</v>
      </c>
      <c r="R381" s="24">
        <f t="shared" si="67"/>
        <v>0</v>
      </c>
      <c r="S381" s="314">
        <f t="shared" si="58"/>
        <v>0</v>
      </c>
    </row>
    <row r="382" spans="1:19">
      <c r="A382" s="147"/>
      <c r="B382" s="55"/>
      <c r="C382" s="24">
        <f t="shared" si="59"/>
        <v>1</v>
      </c>
      <c r="D382" s="644"/>
      <c r="E382" s="24">
        <f t="shared" si="60"/>
        <v>1</v>
      </c>
      <c r="F382" s="644"/>
      <c r="G382" s="24">
        <f t="shared" si="61"/>
        <v>1</v>
      </c>
      <c r="H382" s="644"/>
      <c r="I382" s="24">
        <f t="shared" si="62"/>
        <v>1</v>
      </c>
      <c r="J382" s="644"/>
      <c r="K382" s="24">
        <f t="shared" si="63"/>
        <v>1</v>
      </c>
      <c r="L382" s="644"/>
      <c r="M382" s="24">
        <f t="shared" si="64"/>
        <v>1</v>
      </c>
      <c r="N382" s="644"/>
      <c r="O382" s="24">
        <f t="shared" si="65"/>
        <v>1</v>
      </c>
      <c r="P382" s="644"/>
      <c r="Q382" s="24">
        <f t="shared" si="66"/>
        <v>1</v>
      </c>
      <c r="R382" s="24">
        <f t="shared" si="67"/>
        <v>0</v>
      </c>
      <c r="S382" s="314">
        <f t="shared" si="58"/>
        <v>0</v>
      </c>
    </row>
    <row r="383" spans="1:19">
      <c r="A383" s="147"/>
      <c r="B383" s="55"/>
      <c r="C383" s="24">
        <f t="shared" si="59"/>
        <v>1</v>
      </c>
      <c r="D383" s="644"/>
      <c r="E383" s="24">
        <f t="shared" si="60"/>
        <v>1</v>
      </c>
      <c r="F383" s="644"/>
      <c r="G383" s="24">
        <f t="shared" si="61"/>
        <v>1</v>
      </c>
      <c r="H383" s="644"/>
      <c r="I383" s="24">
        <f t="shared" si="62"/>
        <v>1</v>
      </c>
      <c r="J383" s="644"/>
      <c r="K383" s="24">
        <f t="shared" si="63"/>
        <v>1</v>
      </c>
      <c r="L383" s="644"/>
      <c r="M383" s="24">
        <f t="shared" si="64"/>
        <v>1</v>
      </c>
      <c r="N383" s="644"/>
      <c r="O383" s="24">
        <f t="shared" si="65"/>
        <v>1</v>
      </c>
      <c r="P383" s="644"/>
      <c r="Q383" s="24">
        <f t="shared" si="66"/>
        <v>1</v>
      </c>
      <c r="R383" s="24">
        <f t="shared" si="67"/>
        <v>0</v>
      </c>
      <c r="S383" s="314">
        <f t="shared" si="58"/>
        <v>0</v>
      </c>
    </row>
    <row r="384" spans="1:19">
      <c r="A384" s="147"/>
      <c r="B384" s="55"/>
      <c r="C384" s="24">
        <f t="shared" si="59"/>
        <v>1</v>
      </c>
      <c r="D384" s="644"/>
      <c r="E384" s="24">
        <f t="shared" si="60"/>
        <v>1</v>
      </c>
      <c r="F384" s="644"/>
      <c r="G384" s="24">
        <f t="shared" si="61"/>
        <v>1</v>
      </c>
      <c r="H384" s="644"/>
      <c r="I384" s="24">
        <f t="shared" si="62"/>
        <v>1</v>
      </c>
      <c r="J384" s="644"/>
      <c r="K384" s="24">
        <f t="shared" si="63"/>
        <v>1</v>
      </c>
      <c r="L384" s="644"/>
      <c r="M384" s="24">
        <f t="shared" si="64"/>
        <v>1</v>
      </c>
      <c r="N384" s="644"/>
      <c r="O384" s="24">
        <f t="shared" si="65"/>
        <v>1</v>
      </c>
      <c r="P384" s="644"/>
      <c r="Q384" s="24">
        <f t="shared" si="66"/>
        <v>1</v>
      </c>
      <c r="R384" s="24">
        <f t="shared" si="67"/>
        <v>0</v>
      </c>
      <c r="S384" s="314">
        <f t="shared" si="58"/>
        <v>0</v>
      </c>
    </row>
    <row r="385" spans="1:19">
      <c r="A385" s="147"/>
      <c r="B385" s="55"/>
      <c r="C385" s="24">
        <f t="shared" si="59"/>
        <v>1</v>
      </c>
      <c r="D385" s="644"/>
      <c r="E385" s="24">
        <f t="shared" si="60"/>
        <v>1</v>
      </c>
      <c r="F385" s="644"/>
      <c r="G385" s="24">
        <f t="shared" si="61"/>
        <v>1</v>
      </c>
      <c r="H385" s="644"/>
      <c r="I385" s="24">
        <f t="shared" si="62"/>
        <v>1</v>
      </c>
      <c r="J385" s="644"/>
      <c r="K385" s="24">
        <f t="shared" si="63"/>
        <v>1</v>
      </c>
      <c r="L385" s="644"/>
      <c r="M385" s="24">
        <f t="shared" si="64"/>
        <v>1</v>
      </c>
      <c r="N385" s="644"/>
      <c r="O385" s="24">
        <f t="shared" si="65"/>
        <v>1</v>
      </c>
      <c r="P385" s="644"/>
      <c r="Q385" s="24">
        <f t="shared" si="66"/>
        <v>1</v>
      </c>
      <c r="R385" s="24">
        <f t="shared" si="67"/>
        <v>0</v>
      </c>
      <c r="S385" s="314">
        <f t="shared" ref="S385:S422" si="68">ROUND(R385*B385/10000,0)</f>
        <v>0</v>
      </c>
    </row>
    <row r="386" spans="1:19">
      <c r="A386" s="147"/>
      <c r="B386" s="55"/>
      <c r="C386" s="24">
        <f t="shared" si="59"/>
        <v>1</v>
      </c>
      <c r="D386" s="644"/>
      <c r="E386" s="24">
        <f t="shared" si="60"/>
        <v>1</v>
      </c>
      <c r="F386" s="644"/>
      <c r="G386" s="24">
        <f t="shared" si="61"/>
        <v>1</v>
      </c>
      <c r="H386" s="644"/>
      <c r="I386" s="24">
        <f t="shared" si="62"/>
        <v>1</v>
      </c>
      <c r="J386" s="644"/>
      <c r="K386" s="24">
        <f t="shared" si="63"/>
        <v>1</v>
      </c>
      <c r="L386" s="644"/>
      <c r="M386" s="24">
        <f t="shared" si="64"/>
        <v>1</v>
      </c>
      <c r="N386" s="644"/>
      <c r="O386" s="24">
        <f t="shared" si="65"/>
        <v>1</v>
      </c>
      <c r="P386" s="644"/>
      <c r="Q386" s="24">
        <f t="shared" si="66"/>
        <v>1</v>
      </c>
      <c r="R386" s="24">
        <f t="shared" si="67"/>
        <v>0</v>
      </c>
      <c r="S386" s="314">
        <f t="shared" si="68"/>
        <v>0</v>
      </c>
    </row>
    <row r="387" spans="1:19">
      <c r="A387" s="147"/>
      <c r="B387" s="55"/>
      <c r="C387" s="24">
        <f t="shared" si="59"/>
        <v>1</v>
      </c>
      <c r="D387" s="644"/>
      <c r="E387" s="24">
        <f t="shared" si="60"/>
        <v>1</v>
      </c>
      <c r="F387" s="644"/>
      <c r="G387" s="24">
        <f t="shared" si="61"/>
        <v>1</v>
      </c>
      <c r="H387" s="644"/>
      <c r="I387" s="24">
        <f t="shared" si="62"/>
        <v>1</v>
      </c>
      <c r="J387" s="644"/>
      <c r="K387" s="24">
        <f t="shared" si="63"/>
        <v>1</v>
      </c>
      <c r="L387" s="644"/>
      <c r="M387" s="24">
        <f t="shared" si="64"/>
        <v>1</v>
      </c>
      <c r="N387" s="644"/>
      <c r="O387" s="24">
        <f t="shared" si="65"/>
        <v>1</v>
      </c>
      <c r="P387" s="644"/>
      <c r="Q387" s="24">
        <f t="shared" si="66"/>
        <v>1</v>
      </c>
      <c r="R387" s="24">
        <f t="shared" si="67"/>
        <v>0</v>
      </c>
      <c r="S387" s="314">
        <f t="shared" si="68"/>
        <v>0</v>
      </c>
    </row>
    <row r="388" spans="1:19">
      <c r="A388" s="147"/>
      <c r="B388" s="55"/>
      <c r="C388" s="24">
        <f t="shared" si="59"/>
        <v>1</v>
      </c>
      <c r="D388" s="644"/>
      <c r="E388" s="24">
        <f t="shared" si="60"/>
        <v>1</v>
      </c>
      <c r="F388" s="644"/>
      <c r="G388" s="24">
        <f t="shared" si="61"/>
        <v>1</v>
      </c>
      <c r="H388" s="644"/>
      <c r="I388" s="24">
        <f t="shared" si="62"/>
        <v>1</v>
      </c>
      <c r="J388" s="644"/>
      <c r="K388" s="24">
        <f t="shared" si="63"/>
        <v>1</v>
      </c>
      <c r="L388" s="644"/>
      <c r="M388" s="24">
        <f t="shared" si="64"/>
        <v>1</v>
      </c>
      <c r="N388" s="644"/>
      <c r="O388" s="24">
        <f t="shared" si="65"/>
        <v>1</v>
      </c>
      <c r="P388" s="644"/>
      <c r="Q388" s="24">
        <f t="shared" si="66"/>
        <v>1</v>
      </c>
      <c r="R388" s="24">
        <f t="shared" si="67"/>
        <v>0</v>
      </c>
      <c r="S388" s="314">
        <f t="shared" si="68"/>
        <v>0</v>
      </c>
    </row>
    <row r="389" spans="1:19">
      <c r="A389" s="147"/>
      <c r="B389" s="55"/>
      <c r="C389" s="24">
        <f t="shared" si="59"/>
        <v>1</v>
      </c>
      <c r="D389" s="644"/>
      <c r="E389" s="24">
        <f t="shared" si="60"/>
        <v>1</v>
      </c>
      <c r="F389" s="644"/>
      <c r="G389" s="24">
        <f t="shared" si="61"/>
        <v>1</v>
      </c>
      <c r="H389" s="644"/>
      <c r="I389" s="24">
        <f t="shared" si="62"/>
        <v>1</v>
      </c>
      <c r="J389" s="644"/>
      <c r="K389" s="24">
        <f t="shared" si="63"/>
        <v>1</v>
      </c>
      <c r="L389" s="644"/>
      <c r="M389" s="24">
        <f t="shared" si="64"/>
        <v>1</v>
      </c>
      <c r="N389" s="644"/>
      <c r="O389" s="24">
        <f t="shared" si="65"/>
        <v>1</v>
      </c>
      <c r="P389" s="644"/>
      <c r="Q389" s="24">
        <f t="shared" si="66"/>
        <v>1</v>
      </c>
      <c r="R389" s="24">
        <f t="shared" si="67"/>
        <v>0</v>
      </c>
      <c r="S389" s="314">
        <f t="shared" si="68"/>
        <v>0</v>
      </c>
    </row>
    <row r="390" spans="1:19">
      <c r="A390" s="147"/>
      <c r="B390" s="55"/>
      <c r="C390" s="24">
        <f t="shared" si="59"/>
        <v>1</v>
      </c>
      <c r="D390" s="644"/>
      <c r="E390" s="24">
        <f t="shared" si="60"/>
        <v>1</v>
      </c>
      <c r="F390" s="644"/>
      <c r="G390" s="24">
        <f t="shared" si="61"/>
        <v>1</v>
      </c>
      <c r="H390" s="644"/>
      <c r="I390" s="24">
        <f t="shared" si="62"/>
        <v>1</v>
      </c>
      <c r="J390" s="644"/>
      <c r="K390" s="24">
        <f t="shared" si="63"/>
        <v>1</v>
      </c>
      <c r="L390" s="644"/>
      <c r="M390" s="24">
        <f t="shared" si="64"/>
        <v>1</v>
      </c>
      <c r="N390" s="644"/>
      <c r="O390" s="24">
        <f t="shared" si="65"/>
        <v>1</v>
      </c>
      <c r="P390" s="644"/>
      <c r="Q390" s="24">
        <f t="shared" si="66"/>
        <v>1</v>
      </c>
      <c r="R390" s="24">
        <f t="shared" si="67"/>
        <v>0</v>
      </c>
      <c r="S390" s="314">
        <f t="shared" si="68"/>
        <v>0</v>
      </c>
    </row>
    <row r="391" spans="1:19">
      <c r="A391" s="147"/>
      <c r="B391" s="55"/>
      <c r="C391" s="24">
        <f t="shared" si="59"/>
        <v>1</v>
      </c>
      <c r="D391" s="644"/>
      <c r="E391" s="24">
        <f t="shared" si="60"/>
        <v>1</v>
      </c>
      <c r="F391" s="644"/>
      <c r="G391" s="24">
        <f t="shared" si="61"/>
        <v>1</v>
      </c>
      <c r="H391" s="644"/>
      <c r="I391" s="24">
        <f t="shared" si="62"/>
        <v>1</v>
      </c>
      <c r="J391" s="644"/>
      <c r="K391" s="24">
        <f t="shared" si="63"/>
        <v>1</v>
      </c>
      <c r="L391" s="644"/>
      <c r="M391" s="24">
        <f t="shared" si="64"/>
        <v>1</v>
      </c>
      <c r="N391" s="644"/>
      <c r="O391" s="24">
        <f t="shared" si="65"/>
        <v>1</v>
      </c>
      <c r="P391" s="644"/>
      <c r="Q391" s="24">
        <f t="shared" si="66"/>
        <v>1</v>
      </c>
      <c r="R391" s="24">
        <f t="shared" si="67"/>
        <v>0</v>
      </c>
      <c r="S391" s="314">
        <f t="shared" si="68"/>
        <v>0</v>
      </c>
    </row>
    <row r="392" spans="1:19">
      <c r="A392" s="147"/>
      <c r="B392" s="55"/>
      <c r="C392" s="24">
        <f t="shared" si="59"/>
        <v>1</v>
      </c>
      <c r="D392" s="644"/>
      <c r="E392" s="24">
        <f t="shared" si="60"/>
        <v>1</v>
      </c>
      <c r="F392" s="644"/>
      <c r="G392" s="24">
        <f t="shared" si="61"/>
        <v>1</v>
      </c>
      <c r="H392" s="644"/>
      <c r="I392" s="24">
        <f t="shared" si="62"/>
        <v>1</v>
      </c>
      <c r="J392" s="644"/>
      <c r="K392" s="24">
        <f t="shared" si="63"/>
        <v>1</v>
      </c>
      <c r="L392" s="644"/>
      <c r="M392" s="24">
        <f t="shared" si="64"/>
        <v>1</v>
      </c>
      <c r="N392" s="644"/>
      <c r="O392" s="24">
        <f t="shared" si="65"/>
        <v>1</v>
      </c>
      <c r="P392" s="644"/>
      <c r="Q392" s="24">
        <f t="shared" si="66"/>
        <v>1</v>
      </c>
      <c r="R392" s="24">
        <f t="shared" si="67"/>
        <v>0</v>
      </c>
      <c r="S392" s="314">
        <f t="shared" si="68"/>
        <v>0</v>
      </c>
    </row>
    <row r="393" spans="1:19">
      <c r="A393" s="147"/>
      <c r="B393" s="55"/>
      <c r="C393" s="24">
        <f t="shared" si="59"/>
        <v>1</v>
      </c>
      <c r="D393" s="644"/>
      <c r="E393" s="24">
        <f t="shared" si="60"/>
        <v>1</v>
      </c>
      <c r="F393" s="644"/>
      <c r="G393" s="24">
        <f t="shared" si="61"/>
        <v>1</v>
      </c>
      <c r="H393" s="644"/>
      <c r="I393" s="24">
        <f t="shared" si="62"/>
        <v>1</v>
      </c>
      <c r="J393" s="644"/>
      <c r="K393" s="24">
        <f t="shared" si="63"/>
        <v>1</v>
      </c>
      <c r="L393" s="644"/>
      <c r="M393" s="24">
        <f t="shared" si="64"/>
        <v>1</v>
      </c>
      <c r="N393" s="644"/>
      <c r="O393" s="24">
        <f t="shared" si="65"/>
        <v>1</v>
      </c>
      <c r="P393" s="644"/>
      <c r="Q393" s="24">
        <f t="shared" si="66"/>
        <v>1</v>
      </c>
      <c r="R393" s="24">
        <f t="shared" si="67"/>
        <v>0</v>
      </c>
      <c r="S393" s="314">
        <f t="shared" si="68"/>
        <v>0</v>
      </c>
    </row>
    <row r="394" spans="1:19">
      <c r="A394" s="147"/>
      <c r="B394" s="55"/>
      <c r="C394" s="24">
        <f t="shared" si="59"/>
        <v>1</v>
      </c>
      <c r="D394" s="644"/>
      <c r="E394" s="24">
        <f t="shared" si="60"/>
        <v>1</v>
      </c>
      <c r="F394" s="644"/>
      <c r="G394" s="24">
        <f t="shared" si="61"/>
        <v>1</v>
      </c>
      <c r="H394" s="644"/>
      <c r="I394" s="24">
        <f t="shared" si="62"/>
        <v>1</v>
      </c>
      <c r="J394" s="644"/>
      <c r="K394" s="24">
        <f t="shared" si="63"/>
        <v>1</v>
      </c>
      <c r="L394" s="644"/>
      <c r="M394" s="24">
        <f t="shared" si="64"/>
        <v>1</v>
      </c>
      <c r="N394" s="644"/>
      <c r="O394" s="24">
        <f t="shared" si="65"/>
        <v>1</v>
      </c>
      <c r="P394" s="644"/>
      <c r="Q394" s="24">
        <f t="shared" si="66"/>
        <v>1</v>
      </c>
      <c r="R394" s="24">
        <f t="shared" si="67"/>
        <v>0</v>
      </c>
      <c r="S394" s="314">
        <f t="shared" si="68"/>
        <v>0</v>
      </c>
    </row>
    <row r="395" spans="1:19">
      <c r="A395" s="147"/>
      <c r="B395" s="55"/>
      <c r="C395" s="24">
        <f t="shared" si="59"/>
        <v>1</v>
      </c>
      <c r="D395" s="644"/>
      <c r="E395" s="24">
        <f t="shared" si="60"/>
        <v>1</v>
      </c>
      <c r="F395" s="644"/>
      <c r="G395" s="24">
        <f t="shared" si="61"/>
        <v>1</v>
      </c>
      <c r="H395" s="644"/>
      <c r="I395" s="24">
        <f t="shared" si="62"/>
        <v>1</v>
      </c>
      <c r="J395" s="644"/>
      <c r="K395" s="24">
        <f t="shared" si="63"/>
        <v>1</v>
      </c>
      <c r="L395" s="644"/>
      <c r="M395" s="24">
        <f t="shared" si="64"/>
        <v>1</v>
      </c>
      <c r="N395" s="644"/>
      <c r="O395" s="24">
        <f t="shared" si="65"/>
        <v>1</v>
      </c>
      <c r="P395" s="644"/>
      <c r="Q395" s="24">
        <f t="shared" si="66"/>
        <v>1</v>
      </c>
      <c r="R395" s="24">
        <f t="shared" si="67"/>
        <v>0</v>
      </c>
      <c r="S395" s="314">
        <f t="shared" si="68"/>
        <v>0</v>
      </c>
    </row>
    <row r="396" spans="1:19">
      <c r="A396" s="147"/>
      <c r="B396" s="55"/>
      <c r="C396" s="24">
        <f t="shared" si="59"/>
        <v>1</v>
      </c>
      <c r="D396" s="644"/>
      <c r="E396" s="24">
        <f t="shared" si="60"/>
        <v>1</v>
      </c>
      <c r="F396" s="644"/>
      <c r="G396" s="24">
        <f t="shared" si="61"/>
        <v>1</v>
      </c>
      <c r="H396" s="644"/>
      <c r="I396" s="24">
        <f t="shared" si="62"/>
        <v>1</v>
      </c>
      <c r="J396" s="644"/>
      <c r="K396" s="24">
        <f t="shared" si="63"/>
        <v>1</v>
      </c>
      <c r="L396" s="644"/>
      <c r="M396" s="24">
        <f t="shared" si="64"/>
        <v>1</v>
      </c>
      <c r="N396" s="644"/>
      <c r="O396" s="24">
        <f t="shared" si="65"/>
        <v>1</v>
      </c>
      <c r="P396" s="644"/>
      <c r="Q396" s="24">
        <f t="shared" si="66"/>
        <v>1</v>
      </c>
      <c r="R396" s="24">
        <f t="shared" si="67"/>
        <v>0</v>
      </c>
      <c r="S396" s="314">
        <f t="shared" si="68"/>
        <v>0</v>
      </c>
    </row>
    <row r="397" spans="1:19">
      <c r="A397" s="147"/>
      <c r="B397" s="55"/>
      <c r="C397" s="24">
        <f t="shared" si="59"/>
        <v>1</v>
      </c>
      <c r="D397" s="644"/>
      <c r="E397" s="24">
        <f t="shared" si="60"/>
        <v>1</v>
      </c>
      <c r="F397" s="644"/>
      <c r="G397" s="24">
        <f t="shared" si="61"/>
        <v>1</v>
      </c>
      <c r="H397" s="644"/>
      <c r="I397" s="24">
        <f t="shared" si="62"/>
        <v>1</v>
      </c>
      <c r="J397" s="644"/>
      <c r="K397" s="24">
        <f t="shared" si="63"/>
        <v>1</v>
      </c>
      <c r="L397" s="644"/>
      <c r="M397" s="24">
        <f t="shared" si="64"/>
        <v>1</v>
      </c>
      <c r="N397" s="644"/>
      <c r="O397" s="24">
        <f t="shared" si="65"/>
        <v>1</v>
      </c>
      <c r="P397" s="644"/>
      <c r="Q397" s="24">
        <f t="shared" si="66"/>
        <v>1</v>
      </c>
      <c r="R397" s="24">
        <f t="shared" si="67"/>
        <v>0</v>
      </c>
      <c r="S397" s="314">
        <f t="shared" si="68"/>
        <v>0</v>
      </c>
    </row>
    <row r="398" spans="1:19">
      <c r="A398" s="147"/>
      <c r="B398" s="55"/>
      <c r="C398" s="24">
        <f t="shared" si="59"/>
        <v>1</v>
      </c>
      <c r="D398" s="644"/>
      <c r="E398" s="24">
        <f t="shared" si="60"/>
        <v>1</v>
      </c>
      <c r="F398" s="644"/>
      <c r="G398" s="24">
        <f t="shared" si="61"/>
        <v>1</v>
      </c>
      <c r="H398" s="644"/>
      <c r="I398" s="24">
        <f t="shared" si="62"/>
        <v>1</v>
      </c>
      <c r="J398" s="644"/>
      <c r="K398" s="24">
        <f t="shared" si="63"/>
        <v>1</v>
      </c>
      <c r="L398" s="644"/>
      <c r="M398" s="24">
        <f t="shared" si="64"/>
        <v>1</v>
      </c>
      <c r="N398" s="644"/>
      <c r="O398" s="24">
        <f t="shared" si="65"/>
        <v>1</v>
      </c>
      <c r="P398" s="644"/>
      <c r="Q398" s="24">
        <f t="shared" si="66"/>
        <v>1</v>
      </c>
      <c r="R398" s="24">
        <f t="shared" si="67"/>
        <v>0</v>
      </c>
      <c r="S398" s="314">
        <f t="shared" si="68"/>
        <v>0</v>
      </c>
    </row>
    <row r="399" spans="1:19">
      <c r="A399" s="147"/>
      <c r="B399" s="55"/>
      <c r="C399" s="24">
        <f t="shared" si="59"/>
        <v>1</v>
      </c>
      <c r="D399" s="644"/>
      <c r="E399" s="24">
        <f t="shared" si="60"/>
        <v>1</v>
      </c>
      <c r="F399" s="644"/>
      <c r="G399" s="24">
        <f t="shared" si="61"/>
        <v>1</v>
      </c>
      <c r="H399" s="644"/>
      <c r="I399" s="24">
        <f t="shared" si="62"/>
        <v>1</v>
      </c>
      <c r="J399" s="644"/>
      <c r="K399" s="24">
        <f t="shared" si="63"/>
        <v>1</v>
      </c>
      <c r="L399" s="644"/>
      <c r="M399" s="24">
        <f t="shared" si="64"/>
        <v>1</v>
      </c>
      <c r="N399" s="644"/>
      <c r="O399" s="24">
        <f t="shared" si="65"/>
        <v>1</v>
      </c>
      <c r="P399" s="644"/>
      <c r="Q399" s="24">
        <f t="shared" si="66"/>
        <v>1</v>
      </c>
      <c r="R399" s="24">
        <f t="shared" si="67"/>
        <v>0</v>
      </c>
      <c r="S399" s="314">
        <f t="shared" si="68"/>
        <v>0</v>
      </c>
    </row>
    <row r="400" spans="1:19">
      <c r="A400" s="147"/>
      <c r="B400" s="55"/>
      <c r="C400" s="24">
        <f t="shared" si="59"/>
        <v>1</v>
      </c>
      <c r="D400" s="644"/>
      <c r="E400" s="24">
        <f t="shared" si="60"/>
        <v>1</v>
      </c>
      <c r="F400" s="644"/>
      <c r="G400" s="24">
        <f t="shared" si="61"/>
        <v>1</v>
      </c>
      <c r="H400" s="644"/>
      <c r="I400" s="24">
        <f t="shared" si="62"/>
        <v>1</v>
      </c>
      <c r="J400" s="644"/>
      <c r="K400" s="24">
        <f t="shared" si="63"/>
        <v>1</v>
      </c>
      <c r="L400" s="644"/>
      <c r="M400" s="24">
        <f t="shared" si="64"/>
        <v>1</v>
      </c>
      <c r="N400" s="644"/>
      <c r="O400" s="24">
        <f t="shared" si="65"/>
        <v>1</v>
      </c>
      <c r="P400" s="644"/>
      <c r="Q400" s="24">
        <f t="shared" si="66"/>
        <v>1</v>
      </c>
      <c r="R400" s="24">
        <f t="shared" si="67"/>
        <v>0</v>
      </c>
      <c r="S400" s="314">
        <f t="shared" si="68"/>
        <v>0</v>
      </c>
    </row>
    <row r="401" spans="1:19">
      <c r="A401" s="147"/>
      <c r="B401" s="55"/>
      <c r="C401" s="24">
        <f t="shared" si="59"/>
        <v>1</v>
      </c>
      <c r="D401" s="644"/>
      <c r="E401" s="24">
        <f t="shared" si="60"/>
        <v>1</v>
      </c>
      <c r="F401" s="644"/>
      <c r="G401" s="24">
        <f t="shared" si="61"/>
        <v>1</v>
      </c>
      <c r="H401" s="644"/>
      <c r="I401" s="24">
        <f t="shared" si="62"/>
        <v>1</v>
      </c>
      <c r="J401" s="644"/>
      <c r="K401" s="24">
        <f t="shared" si="63"/>
        <v>1</v>
      </c>
      <c r="L401" s="644"/>
      <c r="M401" s="24">
        <f t="shared" si="64"/>
        <v>1</v>
      </c>
      <c r="N401" s="644"/>
      <c r="O401" s="24">
        <f t="shared" si="65"/>
        <v>1</v>
      </c>
      <c r="P401" s="644"/>
      <c r="Q401" s="24">
        <f t="shared" si="66"/>
        <v>1</v>
      </c>
      <c r="R401" s="24">
        <f t="shared" si="67"/>
        <v>0</v>
      </c>
      <c r="S401" s="314">
        <f t="shared" si="68"/>
        <v>0</v>
      </c>
    </row>
    <row r="402" spans="1:19">
      <c r="A402" s="147"/>
      <c r="B402" s="55"/>
      <c r="C402" s="24">
        <f t="shared" si="59"/>
        <v>1</v>
      </c>
      <c r="D402" s="644"/>
      <c r="E402" s="24">
        <f t="shared" si="60"/>
        <v>1</v>
      </c>
      <c r="F402" s="644"/>
      <c r="G402" s="24">
        <f t="shared" si="61"/>
        <v>1</v>
      </c>
      <c r="H402" s="644"/>
      <c r="I402" s="24">
        <f t="shared" si="62"/>
        <v>1</v>
      </c>
      <c r="J402" s="644"/>
      <c r="K402" s="24">
        <f t="shared" si="63"/>
        <v>1</v>
      </c>
      <c r="L402" s="644"/>
      <c r="M402" s="24">
        <f t="shared" si="64"/>
        <v>1</v>
      </c>
      <c r="N402" s="644"/>
      <c r="O402" s="24">
        <f t="shared" si="65"/>
        <v>1</v>
      </c>
      <c r="P402" s="644"/>
      <c r="Q402" s="24">
        <f t="shared" si="66"/>
        <v>1</v>
      </c>
      <c r="R402" s="24">
        <f t="shared" si="67"/>
        <v>0</v>
      </c>
      <c r="S402" s="314">
        <f t="shared" si="68"/>
        <v>0</v>
      </c>
    </row>
    <row r="403" spans="1:19">
      <c r="A403" s="147"/>
      <c r="B403" s="55"/>
      <c r="C403" s="24">
        <f t="shared" si="59"/>
        <v>1</v>
      </c>
      <c r="D403" s="644"/>
      <c r="E403" s="24">
        <f t="shared" si="60"/>
        <v>1</v>
      </c>
      <c r="F403" s="644"/>
      <c r="G403" s="24">
        <f t="shared" si="61"/>
        <v>1</v>
      </c>
      <c r="H403" s="644"/>
      <c r="I403" s="24">
        <f t="shared" si="62"/>
        <v>1</v>
      </c>
      <c r="J403" s="644"/>
      <c r="K403" s="24">
        <f t="shared" si="63"/>
        <v>1</v>
      </c>
      <c r="L403" s="644"/>
      <c r="M403" s="24">
        <f t="shared" si="64"/>
        <v>1</v>
      </c>
      <c r="N403" s="644"/>
      <c r="O403" s="24">
        <f t="shared" si="65"/>
        <v>1</v>
      </c>
      <c r="P403" s="644"/>
      <c r="Q403" s="24">
        <f t="shared" si="66"/>
        <v>1</v>
      </c>
      <c r="R403" s="24">
        <f t="shared" si="67"/>
        <v>0</v>
      </c>
      <c r="S403" s="314">
        <f t="shared" si="68"/>
        <v>0</v>
      </c>
    </row>
    <row r="404" spans="1:19">
      <c r="A404" s="147"/>
      <c r="B404" s="55"/>
      <c r="C404" s="24">
        <f t="shared" si="59"/>
        <v>1</v>
      </c>
      <c r="D404" s="644"/>
      <c r="E404" s="24">
        <f t="shared" si="60"/>
        <v>1</v>
      </c>
      <c r="F404" s="644"/>
      <c r="G404" s="24">
        <f t="shared" si="61"/>
        <v>1</v>
      </c>
      <c r="H404" s="644"/>
      <c r="I404" s="24">
        <f t="shared" si="62"/>
        <v>1</v>
      </c>
      <c r="J404" s="644"/>
      <c r="K404" s="24">
        <f t="shared" si="63"/>
        <v>1</v>
      </c>
      <c r="L404" s="644"/>
      <c r="M404" s="24">
        <f t="shared" si="64"/>
        <v>1</v>
      </c>
      <c r="N404" s="644"/>
      <c r="O404" s="24">
        <f t="shared" si="65"/>
        <v>1</v>
      </c>
      <c r="P404" s="644"/>
      <c r="Q404" s="24">
        <f t="shared" si="66"/>
        <v>1</v>
      </c>
      <c r="R404" s="24">
        <f t="shared" si="67"/>
        <v>0</v>
      </c>
      <c r="S404" s="314">
        <f t="shared" si="68"/>
        <v>0</v>
      </c>
    </row>
    <row r="405" spans="1:19">
      <c r="A405" s="147"/>
      <c r="B405" s="55"/>
      <c r="C405" s="24">
        <f t="shared" si="59"/>
        <v>1</v>
      </c>
      <c r="D405" s="644"/>
      <c r="E405" s="24">
        <f t="shared" si="60"/>
        <v>1</v>
      </c>
      <c r="F405" s="644"/>
      <c r="G405" s="24">
        <f t="shared" si="61"/>
        <v>1</v>
      </c>
      <c r="H405" s="644"/>
      <c r="I405" s="24">
        <f t="shared" si="62"/>
        <v>1</v>
      </c>
      <c r="J405" s="644"/>
      <c r="K405" s="24">
        <f t="shared" si="63"/>
        <v>1</v>
      </c>
      <c r="L405" s="644"/>
      <c r="M405" s="24">
        <f t="shared" si="64"/>
        <v>1</v>
      </c>
      <c r="N405" s="644"/>
      <c r="O405" s="24">
        <f t="shared" si="65"/>
        <v>1</v>
      </c>
      <c r="P405" s="644"/>
      <c r="Q405" s="24">
        <f t="shared" si="66"/>
        <v>1</v>
      </c>
      <c r="R405" s="24">
        <f t="shared" si="67"/>
        <v>0</v>
      </c>
      <c r="S405" s="314">
        <f t="shared" si="68"/>
        <v>0</v>
      </c>
    </row>
    <row r="406" spans="1:19">
      <c r="A406" s="147"/>
      <c r="B406" s="55"/>
      <c r="C406" s="24">
        <f t="shared" si="59"/>
        <v>1</v>
      </c>
      <c r="D406" s="644"/>
      <c r="E406" s="24">
        <f t="shared" si="60"/>
        <v>1</v>
      </c>
      <c r="F406" s="644"/>
      <c r="G406" s="24">
        <f t="shared" si="61"/>
        <v>1</v>
      </c>
      <c r="H406" s="644"/>
      <c r="I406" s="24">
        <f t="shared" si="62"/>
        <v>1</v>
      </c>
      <c r="J406" s="644"/>
      <c r="K406" s="24">
        <f t="shared" si="63"/>
        <v>1</v>
      </c>
      <c r="L406" s="644"/>
      <c r="M406" s="24">
        <f t="shared" si="64"/>
        <v>1</v>
      </c>
      <c r="N406" s="644"/>
      <c r="O406" s="24">
        <f t="shared" si="65"/>
        <v>1</v>
      </c>
      <c r="P406" s="644"/>
      <c r="Q406" s="24">
        <f t="shared" si="66"/>
        <v>1</v>
      </c>
      <c r="R406" s="24">
        <f t="shared" si="67"/>
        <v>0</v>
      </c>
      <c r="S406" s="314">
        <f t="shared" si="68"/>
        <v>0</v>
      </c>
    </row>
    <row r="407" spans="1:19">
      <c r="A407" s="147"/>
      <c r="B407" s="55"/>
      <c r="C407" s="24">
        <f t="shared" si="59"/>
        <v>1</v>
      </c>
      <c r="D407" s="644"/>
      <c r="E407" s="24">
        <f t="shared" si="60"/>
        <v>1</v>
      </c>
      <c r="F407" s="644"/>
      <c r="G407" s="24">
        <f t="shared" si="61"/>
        <v>1</v>
      </c>
      <c r="H407" s="644"/>
      <c r="I407" s="24">
        <f t="shared" si="62"/>
        <v>1</v>
      </c>
      <c r="J407" s="644"/>
      <c r="K407" s="24">
        <f t="shared" si="63"/>
        <v>1</v>
      </c>
      <c r="L407" s="644"/>
      <c r="M407" s="24">
        <f t="shared" si="64"/>
        <v>1</v>
      </c>
      <c r="N407" s="644"/>
      <c r="O407" s="24">
        <f t="shared" si="65"/>
        <v>1</v>
      </c>
      <c r="P407" s="644"/>
      <c r="Q407" s="24">
        <f t="shared" si="66"/>
        <v>1</v>
      </c>
      <c r="R407" s="24">
        <f t="shared" si="67"/>
        <v>0</v>
      </c>
      <c r="S407" s="314">
        <f t="shared" si="68"/>
        <v>0</v>
      </c>
    </row>
    <row r="408" spans="1:19">
      <c r="A408" s="147"/>
      <c r="B408" s="55"/>
      <c r="C408" s="24">
        <f t="shared" si="59"/>
        <v>1</v>
      </c>
      <c r="D408" s="644"/>
      <c r="E408" s="24">
        <f t="shared" si="60"/>
        <v>1</v>
      </c>
      <c r="F408" s="644"/>
      <c r="G408" s="24">
        <f t="shared" si="61"/>
        <v>1</v>
      </c>
      <c r="H408" s="644"/>
      <c r="I408" s="24">
        <f t="shared" si="62"/>
        <v>1</v>
      </c>
      <c r="J408" s="644"/>
      <c r="K408" s="24">
        <f t="shared" si="63"/>
        <v>1</v>
      </c>
      <c r="L408" s="644"/>
      <c r="M408" s="24">
        <f t="shared" si="64"/>
        <v>1</v>
      </c>
      <c r="N408" s="644"/>
      <c r="O408" s="24">
        <f t="shared" si="65"/>
        <v>1</v>
      </c>
      <c r="P408" s="644"/>
      <c r="Q408" s="24">
        <f t="shared" si="66"/>
        <v>1</v>
      </c>
      <c r="R408" s="24">
        <f t="shared" si="67"/>
        <v>0</v>
      </c>
      <c r="S408" s="314">
        <f t="shared" si="68"/>
        <v>0</v>
      </c>
    </row>
    <row r="409" spans="1:19">
      <c r="A409" s="147"/>
      <c r="B409" s="55"/>
      <c r="C409" s="24">
        <f t="shared" si="59"/>
        <v>1</v>
      </c>
      <c r="D409" s="644"/>
      <c r="E409" s="24">
        <f t="shared" si="60"/>
        <v>1</v>
      </c>
      <c r="F409" s="644"/>
      <c r="G409" s="24">
        <f t="shared" si="61"/>
        <v>1</v>
      </c>
      <c r="H409" s="644"/>
      <c r="I409" s="24">
        <f t="shared" si="62"/>
        <v>1</v>
      </c>
      <c r="J409" s="644"/>
      <c r="K409" s="24">
        <f t="shared" si="63"/>
        <v>1</v>
      </c>
      <c r="L409" s="644"/>
      <c r="M409" s="24">
        <f t="shared" si="64"/>
        <v>1</v>
      </c>
      <c r="N409" s="644"/>
      <c r="O409" s="24">
        <f t="shared" si="65"/>
        <v>1</v>
      </c>
      <c r="P409" s="644"/>
      <c r="Q409" s="24">
        <f t="shared" si="66"/>
        <v>1</v>
      </c>
      <c r="R409" s="24">
        <f t="shared" si="67"/>
        <v>0</v>
      </c>
      <c r="S409" s="314">
        <f t="shared" si="68"/>
        <v>0</v>
      </c>
    </row>
    <row r="410" spans="1:19">
      <c r="A410" s="147"/>
      <c r="B410" s="55"/>
      <c r="C410" s="24">
        <f t="shared" ref="C410:C473" si="69">IF(B410="",1,(LOOKUP(B410,$3:$3,$4:$4)-LOOKUP($B$24,$3:$3,$4:$4)+100)/100)</f>
        <v>1</v>
      </c>
      <c r="D410" s="644"/>
      <c r="E410" s="24">
        <f t="shared" ref="E410:E473" si="70">(SUMIF($5:$5,D410,$6:$6)-SUMIF($5:$5,$D$24,$6:$6)+100)/100</f>
        <v>1</v>
      </c>
      <c r="F410" s="644"/>
      <c r="G410" s="24">
        <f t="shared" ref="G410:G473" si="71">(SUMIF($7:$7,F410,$8:$8)-SUMIF($7:$7,$F$24,$8:$8)+100)/100</f>
        <v>1</v>
      </c>
      <c r="H410" s="644"/>
      <c r="I410" s="24">
        <f t="shared" ref="I410:I473" si="72">(SUMIF($9:$9,H410,$10:$10)-SUMIF($9:$9,$H$24,$10:$10)+100)/100</f>
        <v>1</v>
      </c>
      <c r="J410" s="644"/>
      <c r="K410" s="24">
        <f t="shared" ref="K410:K473" si="73">(SUMIF($11:$11,J410,$12:$12)-SUMIF($11:$11,$J$24,$12:$12)+100)/100</f>
        <v>1</v>
      </c>
      <c r="L410" s="644"/>
      <c r="M410" s="24">
        <f t="shared" ref="M410:M473" si="74">(SUMIF($13:$13,L410,$14:$14)-SUMIF($13:$13,$L$24,$14:$14)+100)/100</f>
        <v>1</v>
      </c>
      <c r="N410" s="644"/>
      <c r="O410" s="24">
        <f t="shared" ref="O410:O473" si="75">(SUMIF($15:$15,N410,$16:$16)-SUMIF($15:$15,$N$24,$16:$16)+100)/100</f>
        <v>1</v>
      </c>
      <c r="P410" s="644"/>
      <c r="Q410" s="24">
        <f t="shared" ref="Q410:Q473" si="76">(SUMIF($17:$17,P410,$18:$18)-SUMIF($17:$17,$P$24,$18:$18)+100)/100</f>
        <v>1</v>
      </c>
      <c r="R410" s="24">
        <f t="shared" ref="R410:R473" si="77">IF(B410="",0,ROUND($R$24*C410*E410*G410*I410*K410*M410*O410*Q410,0))</f>
        <v>0</v>
      </c>
      <c r="S410" s="314">
        <f t="shared" si="68"/>
        <v>0</v>
      </c>
    </row>
    <row r="411" spans="1:19">
      <c r="A411" s="147"/>
      <c r="B411" s="55"/>
      <c r="C411" s="24">
        <f t="shared" si="69"/>
        <v>1</v>
      </c>
      <c r="D411" s="644"/>
      <c r="E411" s="24">
        <f t="shared" si="70"/>
        <v>1</v>
      </c>
      <c r="F411" s="644"/>
      <c r="G411" s="24">
        <f t="shared" si="71"/>
        <v>1</v>
      </c>
      <c r="H411" s="644"/>
      <c r="I411" s="24">
        <f t="shared" si="72"/>
        <v>1</v>
      </c>
      <c r="J411" s="644"/>
      <c r="K411" s="24">
        <f t="shared" si="73"/>
        <v>1</v>
      </c>
      <c r="L411" s="644"/>
      <c r="M411" s="24">
        <f t="shared" si="74"/>
        <v>1</v>
      </c>
      <c r="N411" s="644"/>
      <c r="O411" s="24">
        <f t="shared" si="75"/>
        <v>1</v>
      </c>
      <c r="P411" s="644"/>
      <c r="Q411" s="24">
        <f t="shared" si="76"/>
        <v>1</v>
      </c>
      <c r="R411" s="24">
        <f t="shared" si="77"/>
        <v>0</v>
      </c>
      <c r="S411" s="314">
        <f t="shared" si="68"/>
        <v>0</v>
      </c>
    </row>
    <row r="412" spans="1:19">
      <c r="A412" s="147"/>
      <c r="B412" s="55"/>
      <c r="C412" s="24">
        <f t="shared" si="69"/>
        <v>1</v>
      </c>
      <c r="D412" s="644"/>
      <c r="E412" s="24">
        <f t="shared" si="70"/>
        <v>1</v>
      </c>
      <c r="F412" s="644"/>
      <c r="G412" s="24">
        <f t="shared" si="71"/>
        <v>1</v>
      </c>
      <c r="H412" s="644"/>
      <c r="I412" s="24">
        <f t="shared" si="72"/>
        <v>1</v>
      </c>
      <c r="J412" s="644"/>
      <c r="K412" s="24">
        <f t="shared" si="73"/>
        <v>1</v>
      </c>
      <c r="L412" s="644"/>
      <c r="M412" s="24">
        <f t="shared" si="74"/>
        <v>1</v>
      </c>
      <c r="N412" s="644"/>
      <c r="O412" s="24">
        <f t="shared" si="75"/>
        <v>1</v>
      </c>
      <c r="P412" s="644"/>
      <c r="Q412" s="24">
        <f t="shared" si="76"/>
        <v>1</v>
      </c>
      <c r="R412" s="24">
        <f t="shared" si="77"/>
        <v>0</v>
      </c>
      <c r="S412" s="314">
        <f t="shared" si="68"/>
        <v>0</v>
      </c>
    </row>
    <row r="413" spans="1:19">
      <c r="A413" s="147"/>
      <c r="B413" s="55"/>
      <c r="C413" s="24">
        <f t="shared" si="69"/>
        <v>1</v>
      </c>
      <c r="D413" s="644"/>
      <c r="E413" s="24">
        <f t="shared" si="70"/>
        <v>1</v>
      </c>
      <c r="F413" s="644"/>
      <c r="G413" s="24">
        <f t="shared" si="71"/>
        <v>1</v>
      </c>
      <c r="H413" s="644"/>
      <c r="I413" s="24">
        <f t="shared" si="72"/>
        <v>1</v>
      </c>
      <c r="J413" s="644"/>
      <c r="K413" s="24">
        <f t="shared" si="73"/>
        <v>1</v>
      </c>
      <c r="L413" s="644"/>
      <c r="M413" s="24">
        <f t="shared" si="74"/>
        <v>1</v>
      </c>
      <c r="N413" s="644"/>
      <c r="O413" s="24">
        <f t="shared" si="75"/>
        <v>1</v>
      </c>
      <c r="P413" s="644"/>
      <c r="Q413" s="24">
        <f t="shared" si="76"/>
        <v>1</v>
      </c>
      <c r="R413" s="24">
        <f t="shared" si="77"/>
        <v>0</v>
      </c>
      <c r="S413" s="314">
        <f t="shared" si="68"/>
        <v>0</v>
      </c>
    </row>
    <row r="414" spans="1:19">
      <c r="A414" s="147"/>
      <c r="B414" s="55"/>
      <c r="C414" s="24">
        <f t="shared" si="69"/>
        <v>1</v>
      </c>
      <c r="D414" s="644"/>
      <c r="E414" s="24">
        <f t="shared" si="70"/>
        <v>1</v>
      </c>
      <c r="F414" s="644"/>
      <c r="G414" s="24">
        <f t="shared" si="71"/>
        <v>1</v>
      </c>
      <c r="H414" s="644"/>
      <c r="I414" s="24">
        <f t="shared" si="72"/>
        <v>1</v>
      </c>
      <c r="J414" s="644"/>
      <c r="K414" s="24">
        <f t="shared" si="73"/>
        <v>1</v>
      </c>
      <c r="L414" s="644"/>
      <c r="M414" s="24">
        <f t="shared" si="74"/>
        <v>1</v>
      </c>
      <c r="N414" s="644"/>
      <c r="O414" s="24">
        <f t="shared" si="75"/>
        <v>1</v>
      </c>
      <c r="P414" s="644"/>
      <c r="Q414" s="24">
        <f t="shared" si="76"/>
        <v>1</v>
      </c>
      <c r="R414" s="24">
        <f t="shared" si="77"/>
        <v>0</v>
      </c>
      <c r="S414" s="314">
        <f t="shared" si="68"/>
        <v>0</v>
      </c>
    </row>
    <row r="415" spans="1:19">
      <c r="A415" s="147"/>
      <c r="B415" s="55"/>
      <c r="C415" s="24">
        <f t="shared" si="69"/>
        <v>1</v>
      </c>
      <c r="D415" s="644"/>
      <c r="E415" s="24">
        <f t="shared" si="70"/>
        <v>1</v>
      </c>
      <c r="F415" s="644"/>
      <c r="G415" s="24">
        <f t="shared" si="71"/>
        <v>1</v>
      </c>
      <c r="H415" s="644"/>
      <c r="I415" s="24">
        <f t="shared" si="72"/>
        <v>1</v>
      </c>
      <c r="J415" s="644"/>
      <c r="K415" s="24">
        <f t="shared" si="73"/>
        <v>1</v>
      </c>
      <c r="L415" s="644"/>
      <c r="M415" s="24">
        <f t="shared" si="74"/>
        <v>1</v>
      </c>
      <c r="N415" s="644"/>
      <c r="O415" s="24">
        <f t="shared" si="75"/>
        <v>1</v>
      </c>
      <c r="P415" s="644"/>
      <c r="Q415" s="24">
        <f t="shared" si="76"/>
        <v>1</v>
      </c>
      <c r="R415" s="24">
        <f t="shared" si="77"/>
        <v>0</v>
      </c>
      <c r="S415" s="314">
        <f t="shared" si="68"/>
        <v>0</v>
      </c>
    </row>
    <row r="416" spans="1:19">
      <c r="A416" s="147"/>
      <c r="B416" s="55"/>
      <c r="C416" s="24">
        <f t="shared" si="69"/>
        <v>1</v>
      </c>
      <c r="D416" s="644"/>
      <c r="E416" s="24">
        <f t="shared" si="70"/>
        <v>1</v>
      </c>
      <c r="F416" s="644"/>
      <c r="G416" s="24">
        <f t="shared" si="71"/>
        <v>1</v>
      </c>
      <c r="H416" s="644"/>
      <c r="I416" s="24">
        <f t="shared" si="72"/>
        <v>1</v>
      </c>
      <c r="J416" s="644"/>
      <c r="K416" s="24">
        <f t="shared" si="73"/>
        <v>1</v>
      </c>
      <c r="L416" s="644"/>
      <c r="M416" s="24">
        <f t="shared" si="74"/>
        <v>1</v>
      </c>
      <c r="N416" s="644"/>
      <c r="O416" s="24">
        <f t="shared" si="75"/>
        <v>1</v>
      </c>
      <c r="P416" s="644"/>
      <c r="Q416" s="24">
        <f t="shared" si="76"/>
        <v>1</v>
      </c>
      <c r="R416" s="24">
        <f t="shared" si="77"/>
        <v>0</v>
      </c>
      <c r="S416" s="314">
        <f t="shared" si="68"/>
        <v>0</v>
      </c>
    </row>
    <row r="417" spans="1:19">
      <c r="A417" s="147"/>
      <c r="B417" s="55"/>
      <c r="C417" s="24">
        <f t="shared" si="69"/>
        <v>1</v>
      </c>
      <c r="D417" s="644"/>
      <c r="E417" s="24">
        <f t="shared" si="70"/>
        <v>1</v>
      </c>
      <c r="F417" s="644"/>
      <c r="G417" s="24">
        <f t="shared" si="71"/>
        <v>1</v>
      </c>
      <c r="H417" s="644"/>
      <c r="I417" s="24">
        <f t="shared" si="72"/>
        <v>1</v>
      </c>
      <c r="J417" s="644"/>
      <c r="K417" s="24">
        <f t="shared" si="73"/>
        <v>1</v>
      </c>
      <c r="L417" s="644"/>
      <c r="M417" s="24">
        <f t="shared" si="74"/>
        <v>1</v>
      </c>
      <c r="N417" s="644"/>
      <c r="O417" s="24">
        <f t="shared" si="75"/>
        <v>1</v>
      </c>
      <c r="P417" s="644"/>
      <c r="Q417" s="24">
        <f t="shared" si="76"/>
        <v>1</v>
      </c>
      <c r="R417" s="24">
        <f t="shared" si="77"/>
        <v>0</v>
      </c>
      <c r="S417" s="314">
        <f t="shared" si="68"/>
        <v>0</v>
      </c>
    </row>
    <row r="418" spans="1:19">
      <c r="A418" s="147"/>
      <c r="B418" s="55"/>
      <c r="C418" s="24">
        <f t="shared" si="69"/>
        <v>1</v>
      </c>
      <c r="D418" s="644"/>
      <c r="E418" s="24">
        <f t="shared" si="70"/>
        <v>1</v>
      </c>
      <c r="F418" s="644"/>
      <c r="G418" s="24">
        <f t="shared" si="71"/>
        <v>1</v>
      </c>
      <c r="H418" s="644"/>
      <c r="I418" s="24">
        <f t="shared" si="72"/>
        <v>1</v>
      </c>
      <c r="J418" s="644"/>
      <c r="K418" s="24">
        <f t="shared" si="73"/>
        <v>1</v>
      </c>
      <c r="L418" s="644"/>
      <c r="M418" s="24">
        <f t="shared" si="74"/>
        <v>1</v>
      </c>
      <c r="N418" s="644"/>
      <c r="O418" s="24">
        <f t="shared" si="75"/>
        <v>1</v>
      </c>
      <c r="P418" s="644"/>
      <c r="Q418" s="24">
        <f t="shared" si="76"/>
        <v>1</v>
      </c>
      <c r="R418" s="24">
        <f t="shared" si="77"/>
        <v>0</v>
      </c>
      <c r="S418" s="314">
        <f t="shared" si="68"/>
        <v>0</v>
      </c>
    </row>
    <row r="419" spans="1:19">
      <c r="A419" s="147"/>
      <c r="B419" s="55"/>
      <c r="C419" s="24">
        <f t="shared" si="69"/>
        <v>1</v>
      </c>
      <c r="D419" s="644"/>
      <c r="E419" s="24">
        <f t="shared" si="70"/>
        <v>1</v>
      </c>
      <c r="F419" s="644"/>
      <c r="G419" s="24">
        <f t="shared" si="71"/>
        <v>1</v>
      </c>
      <c r="H419" s="644"/>
      <c r="I419" s="24">
        <f t="shared" si="72"/>
        <v>1</v>
      </c>
      <c r="J419" s="644"/>
      <c r="K419" s="24">
        <f t="shared" si="73"/>
        <v>1</v>
      </c>
      <c r="L419" s="644"/>
      <c r="M419" s="24">
        <f t="shared" si="74"/>
        <v>1</v>
      </c>
      <c r="N419" s="644"/>
      <c r="O419" s="24">
        <f t="shared" si="75"/>
        <v>1</v>
      </c>
      <c r="P419" s="644"/>
      <c r="Q419" s="24">
        <f t="shared" si="76"/>
        <v>1</v>
      </c>
      <c r="R419" s="24">
        <f t="shared" si="77"/>
        <v>0</v>
      </c>
      <c r="S419" s="314">
        <f t="shared" si="68"/>
        <v>0</v>
      </c>
    </row>
    <row r="420" spans="1:19">
      <c r="A420" s="147"/>
      <c r="B420" s="55"/>
      <c r="C420" s="24">
        <f t="shared" si="69"/>
        <v>1</v>
      </c>
      <c r="D420" s="644"/>
      <c r="E420" s="24">
        <f t="shared" si="70"/>
        <v>1</v>
      </c>
      <c r="F420" s="644"/>
      <c r="G420" s="24">
        <f t="shared" si="71"/>
        <v>1</v>
      </c>
      <c r="H420" s="644"/>
      <c r="I420" s="24">
        <f t="shared" si="72"/>
        <v>1</v>
      </c>
      <c r="J420" s="644"/>
      <c r="K420" s="24">
        <f t="shared" si="73"/>
        <v>1</v>
      </c>
      <c r="L420" s="644"/>
      <c r="M420" s="24">
        <f t="shared" si="74"/>
        <v>1</v>
      </c>
      <c r="N420" s="644"/>
      <c r="O420" s="24">
        <f t="shared" si="75"/>
        <v>1</v>
      </c>
      <c r="P420" s="644"/>
      <c r="Q420" s="24">
        <f t="shared" si="76"/>
        <v>1</v>
      </c>
      <c r="R420" s="24">
        <f t="shared" si="77"/>
        <v>0</v>
      </c>
      <c r="S420" s="314">
        <f t="shared" si="68"/>
        <v>0</v>
      </c>
    </row>
    <row r="421" spans="1:19">
      <c r="A421" s="147"/>
      <c r="B421" s="55"/>
      <c r="C421" s="24">
        <f t="shared" si="69"/>
        <v>1</v>
      </c>
      <c r="D421" s="644"/>
      <c r="E421" s="24">
        <f t="shared" si="70"/>
        <v>1</v>
      </c>
      <c r="F421" s="644"/>
      <c r="G421" s="24">
        <f t="shared" si="71"/>
        <v>1</v>
      </c>
      <c r="H421" s="644"/>
      <c r="I421" s="24">
        <f t="shared" si="72"/>
        <v>1</v>
      </c>
      <c r="J421" s="644"/>
      <c r="K421" s="24">
        <f t="shared" si="73"/>
        <v>1</v>
      </c>
      <c r="L421" s="644"/>
      <c r="M421" s="24">
        <f t="shared" si="74"/>
        <v>1</v>
      </c>
      <c r="N421" s="644"/>
      <c r="O421" s="24">
        <f t="shared" si="75"/>
        <v>1</v>
      </c>
      <c r="P421" s="644"/>
      <c r="Q421" s="24">
        <f t="shared" si="76"/>
        <v>1</v>
      </c>
      <c r="R421" s="24">
        <f t="shared" si="77"/>
        <v>0</v>
      </c>
      <c r="S421" s="314">
        <f t="shared" si="68"/>
        <v>0</v>
      </c>
    </row>
    <row r="422" spans="1:19">
      <c r="A422" s="147"/>
      <c r="B422" s="55"/>
      <c r="C422" s="24">
        <f t="shared" si="69"/>
        <v>1</v>
      </c>
      <c r="D422" s="644"/>
      <c r="E422" s="24">
        <f t="shared" si="70"/>
        <v>1</v>
      </c>
      <c r="F422" s="644"/>
      <c r="G422" s="24">
        <f t="shared" si="71"/>
        <v>1</v>
      </c>
      <c r="H422" s="644"/>
      <c r="I422" s="24">
        <f t="shared" si="72"/>
        <v>1</v>
      </c>
      <c r="J422" s="644"/>
      <c r="K422" s="24">
        <f t="shared" si="73"/>
        <v>1</v>
      </c>
      <c r="L422" s="644"/>
      <c r="M422" s="24">
        <f t="shared" si="74"/>
        <v>1</v>
      </c>
      <c r="N422" s="644"/>
      <c r="O422" s="24">
        <f t="shared" si="75"/>
        <v>1</v>
      </c>
      <c r="P422" s="644"/>
      <c r="Q422" s="24">
        <f t="shared" si="76"/>
        <v>1</v>
      </c>
      <c r="R422" s="24">
        <f t="shared" si="77"/>
        <v>0</v>
      </c>
      <c r="S422" s="314">
        <f t="shared" si="68"/>
        <v>0</v>
      </c>
    </row>
    <row r="423" spans="1:19">
      <c r="A423" s="147"/>
      <c r="B423" s="55"/>
      <c r="C423" s="24">
        <f t="shared" si="69"/>
        <v>1</v>
      </c>
      <c r="D423" s="644"/>
      <c r="E423" s="24">
        <f t="shared" si="70"/>
        <v>1</v>
      </c>
      <c r="F423" s="644"/>
      <c r="G423" s="24">
        <f t="shared" si="71"/>
        <v>1</v>
      </c>
      <c r="H423" s="644"/>
      <c r="I423" s="24">
        <f t="shared" si="72"/>
        <v>1</v>
      </c>
      <c r="J423" s="644"/>
      <c r="K423" s="24">
        <f t="shared" si="73"/>
        <v>1</v>
      </c>
      <c r="L423" s="644"/>
      <c r="M423" s="24">
        <f t="shared" si="74"/>
        <v>1</v>
      </c>
      <c r="N423" s="644"/>
      <c r="O423" s="24">
        <f t="shared" si="75"/>
        <v>1</v>
      </c>
      <c r="P423" s="644"/>
      <c r="Q423" s="24">
        <f t="shared" si="76"/>
        <v>1</v>
      </c>
      <c r="R423" s="24">
        <f t="shared" si="77"/>
        <v>0</v>
      </c>
      <c r="S423" s="314">
        <f t="shared" ref="S423:S467" si="78">ROUND(R423*B423/10000,0)</f>
        <v>0</v>
      </c>
    </row>
    <row r="424" spans="1:19">
      <c r="A424" s="147"/>
      <c r="B424" s="55"/>
      <c r="C424" s="24">
        <f t="shared" si="69"/>
        <v>1</v>
      </c>
      <c r="D424" s="644"/>
      <c r="E424" s="24">
        <f t="shared" si="70"/>
        <v>1</v>
      </c>
      <c r="F424" s="644"/>
      <c r="G424" s="24">
        <f t="shared" si="71"/>
        <v>1</v>
      </c>
      <c r="H424" s="644"/>
      <c r="I424" s="24">
        <f t="shared" si="72"/>
        <v>1</v>
      </c>
      <c r="J424" s="644"/>
      <c r="K424" s="24">
        <f t="shared" si="73"/>
        <v>1</v>
      </c>
      <c r="L424" s="644"/>
      <c r="M424" s="24">
        <f t="shared" si="74"/>
        <v>1</v>
      </c>
      <c r="N424" s="644"/>
      <c r="O424" s="24">
        <f t="shared" si="75"/>
        <v>1</v>
      </c>
      <c r="P424" s="644"/>
      <c r="Q424" s="24">
        <f t="shared" si="76"/>
        <v>1</v>
      </c>
      <c r="R424" s="24">
        <f t="shared" si="77"/>
        <v>0</v>
      </c>
      <c r="S424" s="314">
        <f t="shared" si="78"/>
        <v>0</v>
      </c>
    </row>
    <row r="425" spans="1:19">
      <c r="A425" s="147"/>
      <c r="B425" s="55"/>
      <c r="C425" s="24">
        <f t="shared" si="69"/>
        <v>1</v>
      </c>
      <c r="D425" s="644"/>
      <c r="E425" s="24">
        <f t="shared" si="70"/>
        <v>1</v>
      </c>
      <c r="F425" s="644"/>
      <c r="G425" s="24">
        <f t="shared" si="71"/>
        <v>1</v>
      </c>
      <c r="H425" s="644"/>
      <c r="I425" s="24">
        <f t="shared" si="72"/>
        <v>1</v>
      </c>
      <c r="J425" s="644"/>
      <c r="K425" s="24">
        <f t="shared" si="73"/>
        <v>1</v>
      </c>
      <c r="L425" s="644"/>
      <c r="M425" s="24">
        <f t="shared" si="74"/>
        <v>1</v>
      </c>
      <c r="N425" s="644"/>
      <c r="O425" s="24">
        <f t="shared" si="75"/>
        <v>1</v>
      </c>
      <c r="P425" s="644"/>
      <c r="Q425" s="24">
        <f t="shared" si="76"/>
        <v>1</v>
      </c>
      <c r="R425" s="24">
        <f t="shared" si="77"/>
        <v>0</v>
      </c>
      <c r="S425" s="314">
        <f t="shared" si="78"/>
        <v>0</v>
      </c>
    </row>
    <row r="426" spans="1:19">
      <c r="A426" s="147"/>
      <c r="B426" s="55"/>
      <c r="C426" s="24">
        <f t="shared" si="69"/>
        <v>1</v>
      </c>
      <c r="D426" s="644"/>
      <c r="E426" s="24">
        <f t="shared" si="70"/>
        <v>1</v>
      </c>
      <c r="F426" s="644"/>
      <c r="G426" s="24">
        <f t="shared" si="71"/>
        <v>1</v>
      </c>
      <c r="H426" s="644"/>
      <c r="I426" s="24">
        <f t="shared" si="72"/>
        <v>1</v>
      </c>
      <c r="J426" s="644"/>
      <c r="K426" s="24">
        <f t="shared" si="73"/>
        <v>1</v>
      </c>
      <c r="L426" s="644"/>
      <c r="M426" s="24">
        <f t="shared" si="74"/>
        <v>1</v>
      </c>
      <c r="N426" s="644"/>
      <c r="O426" s="24">
        <f t="shared" si="75"/>
        <v>1</v>
      </c>
      <c r="P426" s="644"/>
      <c r="Q426" s="24">
        <f t="shared" si="76"/>
        <v>1</v>
      </c>
      <c r="R426" s="24">
        <f t="shared" si="77"/>
        <v>0</v>
      </c>
      <c r="S426" s="314">
        <f t="shared" si="78"/>
        <v>0</v>
      </c>
    </row>
    <row r="427" spans="1:19">
      <c r="A427" s="147"/>
      <c r="B427" s="55"/>
      <c r="C427" s="24">
        <f t="shared" si="69"/>
        <v>1</v>
      </c>
      <c r="D427" s="644"/>
      <c r="E427" s="24">
        <f t="shared" si="70"/>
        <v>1</v>
      </c>
      <c r="F427" s="644"/>
      <c r="G427" s="24">
        <f t="shared" si="71"/>
        <v>1</v>
      </c>
      <c r="H427" s="644"/>
      <c r="I427" s="24">
        <f t="shared" si="72"/>
        <v>1</v>
      </c>
      <c r="J427" s="644"/>
      <c r="K427" s="24">
        <f t="shared" si="73"/>
        <v>1</v>
      </c>
      <c r="L427" s="644"/>
      <c r="M427" s="24">
        <f t="shared" si="74"/>
        <v>1</v>
      </c>
      <c r="N427" s="644"/>
      <c r="O427" s="24">
        <f t="shared" si="75"/>
        <v>1</v>
      </c>
      <c r="P427" s="644"/>
      <c r="Q427" s="24">
        <f t="shared" si="76"/>
        <v>1</v>
      </c>
      <c r="R427" s="24">
        <f t="shared" si="77"/>
        <v>0</v>
      </c>
      <c r="S427" s="314">
        <f t="shared" si="78"/>
        <v>0</v>
      </c>
    </row>
    <row r="428" spans="1:19">
      <c r="A428" s="147"/>
      <c r="B428" s="55"/>
      <c r="C428" s="24">
        <f t="shared" si="69"/>
        <v>1</v>
      </c>
      <c r="D428" s="644"/>
      <c r="E428" s="24">
        <f t="shared" si="70"/>
        <v>1</v>
      </c>
      <c r="F428" s="644"/>
      <c r="G428" s="24">
        <f t="shared" si="71"/>
        <v>1</v>
      </c>
      <c r="H428" s="644"/>
      <c r="I428" s="24">
        <f t="shared" si="72"/>
        <v>1</v>
      </c>
      <c r="J428" s="644"/>
      <c r="K428" s="24">
        <f t="shared" si="73"/>
        <v>1</v>
      </c>
      <c r="L428" s="644"/>
      <c r="M428" s="24">
        <f t="shared" si="74"/>
        <v>1</v>
      </c>
      <c r="N428" s="644"/>
      <c r="O428" s="24">
        <f t="shared" si="75"/>
        <v>1</v>
      </c>
      <c r="P428" s="644"/>
      <c r="Q428" s="24">
        <f t="shared" si="76"/>
        <v>1</v>
      </c>
      <c r="R428" s="24">
        <f t="shared" si="77"/>
        <v>0</v>
      </c>
      <c r="S428" s="314">
        <f t="shared" si="78"/>
        <v>0</v>
      </c>
    </row>
    <row r="429" spans="1:19">
      <c r="A429" s="147"/>
      <c r="B429" s="55"/>
      <c r="C429" s="24">
        <f t="shared" si="69"/>
        <v>1</v>
      </c>
      <c r="D429" s="644"/>
      <c r="E429" s="24">
        <f t="shared" si="70"/>
        <v>1</v>
      </c>
      <c r="F429" s="644"/>
      <c r="G429" s="24">
        <f t="shared" si="71"/>
        <v>1</v>
      </c>
      <c r="H429" s="644"/>
      <c r="I429" s="24">
        <f t="shared" si="72"/>
        <v>1</v>
      </c>
      <c r="J429" s="644"/>
      <c r="K429" s="24">
        <f t="shared" si="73"/>
        <v>1</v>
      </c>
      <c r="L429" s="644"/>
      <c r="M429" s="24">
        <f t="shared" si="74"/>
        <v>1</v>
      </c>
      <c r="N429" s="644"/>
      <c r="O429" s="24">
        <f t="shared" si="75"/>
        <v>1</v>
      </c>
      <c r="P429" s="644"/>
      <c r="Q429" s="24">
        <f t="shared" si="76"/>
        <v>1</v>
      </c>
      <c r="R429" s="24">
        <f t="shared" si="77"/>
        <v>0</v>
      </c>
      <c r="S429" s="314">
        <f t="shared" si="78"/>
        <v>0</v>
      </c>
    </row>
    <row r="430" spans="1:19">
      <c r="A430" s="147"/>
      <c r="B430" s="55"/>
      <c r="C430" s="24">
        <f t="shared" si="69"/>
        <v>1</v>
      </c>
      <c r="D430" s="644"/>
      <c r="E430" s="24">
        <f t="shared" si="70"/>
        <v>1</v>
      </c>
      <c r="F430" s="644"/>
      <c r="G430" s="24">
        <f t="shared" si="71"/>
        <v>1</v>
      </c>
      <c r="H430" s="644"/>
      <c r="I430" s="24">
        <f t="shared" si="72"/>
        <v>1</v>
      </c>
      <c r="J430" s="644"/>
      <c r="K430" s="24">
        <f t="shared" si="73"/>
        <v>1</v>
      </c>
      <c r="L430" s="644"/>
      <c r="M430" s="24">
        <f t="shared" si="74"/>
        <v>1</v>
      </c>
      <c r="N430" s="644"/>
      <c r="O430" s="24">
        <f t="shared" si="75"/>
        <v>1</v>
      </c>
      <c r="P430" s="644"/>
      <c r="Q430" s="24">
        <f t="shared" si="76"/>
        <v>1</v>
      </c>
      <c r="R430" s="24">
        <f t="shared" si="77"/>
        <v>0</v>
      </c>
      <c r="S430" s="314">
        <f t="shared" si="78"/>
        <v>0</v>
      </c>
    </row>
    <row r="431" spans="1:19">
      <c r="A431" s="147"/>
      <c r="B431" s="55"/>
      <c r="C431" s="24">
        <f t="shared" si="69"/>
        <v>1</v>
      </c>
      <c r="D431" s="644"/>
      <c r="E431" s="24">
        <f t="shared" si="70"/>
        <v>1</v>
      </c>
      <c r="F431" s="644"/>
      <c r="G431" s="24">
        <f t="shared" si="71"/>
        <v>1</v>
      </c>
      <c r="H431" s="644"/>
      <c r="I431" s="24">
        <f t="shared" si="72"/>
        <v>1</v>
      </c>
      <c r="J431" s="644"/>
      <c r="K431" s="24">
        <f t="shared" si="73"/>
        <v>1</v>
      </c>
      <c r="L431" s="644"/>
      <c r="M431" s="24">
        <f t="shared" si="74"/>
        <v>1</v>
      </c>
      <c r="N431" s="644"/>
      <c r="O431" s="24">
        <f t="shared" si="75"/>
        <v>1</v>
      </c>
      <c r="P431" s="644"/>
      <c r="Q431" s="24">
        <f t="shared" si="76"/>
        <v>1</v>
      </c>
      <c r="R431" s="24">
        <f t="shared" si="77"/>
        <v>0</v>
      </c>
      <c r="S431" s="314">
        <f t="shared" si="78"/>
        <v>0</v>
      </c>
    </row>
    <row r="432" spans="1:19">
      <c r="A432" s="147"/>
      <c r="B432" s="55"/>
      <c r="C432" s="24">
        <f t="shared" si="69"/>
        <v>1</v>
      </c>
      <c r="D432" s="644"/>
      <c r="E432" s="24">
        <f t="shared" si="70"/>
        <v>1</v>
      </c>
      <c r="F432" s="644"/>
      <c r="G432" s="24">
        <f t="shared" si="71"/>
        <v>1</v>
      </c>
      <c r="H432" s="644"/>
      <c r="I432" s="24">
        <f t="shared" si="72"/>
        <v>1</v>
      </c>
      <c r="J432" s="644"/>
      <c r="K432" s="24">
        <f t="shared" si="73"/>
        <v>1</v>
      </c>
      <c r="L432" s="644"/>
      <c r="M432" s="24">
        <f t="shared" si="74"/>
        <v>1</v>
      </c>
      <c r="N432" s="644"/>
      <c r="O432" s="24">
        <f t="shared" si="75"/>
        <v>1</v>
      </c>
      <c r="P432" s="644"/>
      <c r="Q432" s="24">
        <f t="shared" si="76"/>
        <v>1</v>
      </c>
      <c r="R432" s="24">
        <f t="shared" si="77"/>
        <v>0</v>
      </c>
      <c r="S432" s="314">
        <f t="shared" si="78"/>
        <v>0</v>
      </c>
    </row>
    <row r="433" spans="1:19">
      <c r="A433" s="147"/>
      <c r="B433" s="55"/>
      <c r="C433" s="24">
        <f t="shared" si="69"/>
        <v>1</v>
      </c>
      <c r="D433" s="644"/>
      <c r="E433" s="24">
        <f t="shared" si="70"/>
        <v>1</v>
      </c>
      <c r="F433" s="644"/>
      <c r="G433" s="24">
        <f t="shared" si="71"/>
        <v>1</v>
      </c>
      <c r="H433" s="644"/>
      <c r="I433" s="24">
        <f t="shared" si="72"/>
        <v>1</v>
      </c>
      <c r="J433" s="644"/>
      <c r="K433" s="24">
        <f t="shared" si="73"/>
        <v>1</v>
      </c>
      <c r="L433" s="644"/>
      <c r="M433" s="24">
        <f t="shared" si="74"/>
        <v>1</v>
      </c>
      <c r="N433" s="644"/>
      <c r="O433" s="24">
        <f t="shared" si="75"/>
        <v>1</v>
      </c>
      <c r="P433" s="644"/>
      <c r="Q433" s="24">
        <f t="shared" si="76"/>
        <v>1</v>
      </c>
      <c r="R433" s="24">
        <f t="shared" si="77"/>
        <v>0</v>
      </c>
      <c r="S433" s="314">
        <f t="shared" si="78"/>
        <v>0</v>
      </c>
    </row>
    <row r="434" spans="1:19">
      <c r="A434" s="147"/>
      <c r="B434" s="55"/>
      <c r="C434" s="24">
        <f t="shared" si="69"/>
        <v>1</v>
      </c>
      <c r="D434" s="644"/>
      <c r="E434" s="24">
        <f t="shared" si="70"/>
        <v>1</v>
      </c>
      <c r="F434" s="644"/>
      <c r="G434" s="24">
        <f t="shared" si="71"/>
        <v>1</v>
      </c>
      <c r="H434" s="644"/>
      <c r="I434" s="24">
        <f t="shared" si="72"/>
        <v>1</v>
      </c>
      <c r="J434" s="644"/>
      <c r="K434" s="24">
        <f t="shared" si="73"/>
        <v>1</v>
      </c>
      <c r="L434" s="644"/>
      <c r="M434" s="24">
        <f t="shared" si="74"/>
        <v>1</v>
      </c>
      <c r="N434" s="644"/>
      <c r="O434" s="24">
        <f t="shared" si="75"/>
        <v>1</v>
      </c>
      <c r="P434" s="644"/>
      <c r="Q434" s="24">
        <f t="shared" si="76"/>
        <v>1</v>
      </c>
      <c r="R434" s="24">
        <f t="shared" si="77"/>
        <v>0</v>
      </c>
      <c r="S434" s="314">
        <f t="shared" si="78"/>
        <v>0</v>
      </c>
    </row>
    <row r="435" spans="1:19">
      <c r="A435" s="147"/>
      <c r="B435" s="55"/>
      <c r="C435" s="24">
        <f t="shared" si="69"/>
        <v>1</v>
      </c>
      <c r="D435" s="644"/>
      <c r="E435" s="24">
        <f t="shared" si="70"/>
        <v>1</v>
      </c>
      <c r="F435" s="644"/>
      <c r="G435" s="24">
        <f t="shared" si="71"/>
        <v>1</v>
      </c>
      <c r="H435" s="644"/>
      <c r="I435" s="24">
        <f t="shared" si="72"/>
        <v>1</v>
      </c>
      <c r="J435" s="644"/>
      <c r="K435" s="24">
        <f t="shared" si="73"/>
        <v>1</v>
      </c>
      <c r="L435" s="644"/>
      <c r="M435" s="24">
        <f t="shared" si="74"/>
        <v>1</v>
      </c>
      <c r="N435" s="644"/>
      <c r="O435" s="24">
        <f t="shared" si="75"/>
        <v>1</v>
      </c>
      <c r="P435" s="644"/>
      <c r="Q435" s="24">
        <f t="shared" si="76"/>
        <v>1</v>
      </c>
      <c r="R435" s="24">
        <f t="shared" si="77"/>
        <v>0</v>
      </c>
      <c r="S435" s="314">
        <f t="shared" si="78"/>
        <v>0</v>
      </c>
    </row>
    <row r="436" spans="1:19">
      <c r="A436" s="147"/>
      <c r="B436" s="55"/>
      <c r="C436" s="24">
        <f t="shared" si="69"/>
        <v>1</v>
      </c>
      <c r="D436" s="644"/>
      <c r="E436" s="24">
        <f t="shared" si="70"/>
        <v>1</v>
      </c>
      <c r="F436" s="644"/>
      <c r="G436" s="24">
        <f t="shared" si="71"/>
        <v>1</v>
      </c>
      <c r="H436" s="644"/>
      <c r="I436" s="24">
        <f t="shared" si="72"/>
        <v>1</v>
      </c>
      <c r="J436" s="644"/>
      <c r="K436" s="24">
        <f t="shared" si="73"/>
        <v>1</v>
      </c>
      <c r="L436" s="644"/>
      <c r="M436" s="24">
        <f t="shared" si="74"/>
        <v>1</v>
      </c>
      <c r="N436" s="644"/>
      <c r="O436" s="24">
        <f t="shared" si="75"/>
        <v>1</v>
      </c>
      <c r="P436" s="644"/>
      <c r="Q436" s="24">
        <f t="shared" si="76"/>
        <v>1</v>
      </c>
      <c r="R436" s="24">
        <f t="shared" si="77"/>
        <v>0</v>
      </c>
      <c r="S436" s="314">
        <f t="shared" si="78"/>
        <v>0</v>
      </c>
    </row>
    <row r="437" spans="1:19">
      <c r="A437" s="147"/>
      <c r="B437" s="55"/>
      <c r="C437" s="24">
        <f t="shared" si="69"/>
        <v>1</v>
      </c>
      <c r="D437" s="644"/>
      <c r="E437" s="24">
        <f t="shared" si="70"/>
        <v>1</v>
      </c>
      <c r="F437" s="644"/>
      <c r="G437" s="24">
        <f t="shared" si="71"/>
        <v>1</v>
      </c>
      <c r="H437" s="644"/>
      <c r="I437" s="24">
        <f t="shared" si="72"/>
        <v>1</v>
      </c>
      <c r="J437" s="644"/>
      <c r="K437" s="24">
        <f t="shared" si="73"/>
        <v>1</v>
      </c>
      <c r="L437" s="644"/>
      <c r="M437" s="24">
        <f t="shared" si="74"/>
        <v>1</v>
      </c>
      <c r="N437" s="644"/>
      <c r="O437" s="24">
        <f t="shared" si="75"/>
        <v>1</v>
      </c>
      <c r="P437" s="644"/>
      <c r="Q437" s="24">
        <f t="shared" si="76"/>
        <v>1</v>
      </c>
      <c r="R437" s="24">
        <f t="shared" si="77"/>
        <v>0</v>
      </c>
      <c r="S437" s="314">
        <f t="shared" si="78"/>
        <v>0</v>
      </c>
    </row>
    <row r="438" spans="1:19">
      <c r="A438" s="147"/>
      <c r="B438" s="55"/>
      <c r="C438" s="24">
        <f t="shared" si="69"/>
        <v>1</v>
      </c>
      <c r="D438" s="644"/>
      <c r="E438" s="24">
        <f t="shared" si="70"/>
        <v>1</v>
      </c>
      <c r="F438" s="644"/>
      <c r="G438" s="24">
        <f t="shared" si="71"/>
        <v>1</v>
      </c>
      <c r="H438" s="644"/>
      <c r="I438" s="24">
        <f t="shared" si="72"/>
        <v>1</v>
      </c>
      <c r="J438" s="644"/>
      <c r="K438" s="24">
        <f t="shared" si="73"/>
        <v>1</v>
      </c>
      <c r="L438" s="644"/>
      <c r="M438" s="24">
        <f t="shared" si="74"/>
        <v>1</v>
      </c>
      <c r="N438" s="644"/>
      <c r="O438" s="24">
        <f t="shared" si="75"/>
        <v>1</v>
      </c>
      <c r="P438" s="644"/>
      <c r="Q438" s="24">
        <f t="shared" si="76"/>
        <v>1</v>
      </c>
      <c r="R438" s="24">
        <f t="shared" si="77"/>
        <v>0</v>
      </c>
      <c r="S438" s="314">
        <f t="shared" si="78"/>
        <v>0</v>
      </c>
    </row>
    <row r="439" spans="1:19">
      <c r="A439" s="147"/>
      <c r="B439" s="55"/>
      <c r="C439" s="24">
        <f t="shared" si="69"/>
        <v>1</v>
      </c>
      <c r="D439" s="644"/>
      <c r="E439" s="24">
        <f t="shared" si="70"/>
        <v>1</v>
      </c>
      <c r="F439" s="644"/>
      <c r="G439" s="24">
        <f t="shared" si="71"/>
        <v>1</v>
      </c>
      <c r="H439" s="644"/>
      <c r="I439" s="24">
        <f t="shared" si="72"/>
        <v>1</v>
      </c>
      <c r="J439" s="644"/>
      <c r="K439" s="24">
        <f t="shared" si="73"/>
        <v>1</v>
      </c>
      <c r="L439" s="644"/>
      <c r="M439" s="24">
        <f t="shared" si="74"/>
        <v>1</v>
      </c>
      <c r="N439" s="644"/>
      <c r="O439" s="24">
        <f t="shared" si="75"/>
        <v>1</v>
      </c>
      <c r="P439" s="644"/>
      <c r="Q439" s="24">
        <f t="shared" si="76"/>
        <v>1</v>
      </c>
      <c r="R439" s="24">
        <f t="shared" si="77"/>
        <v>0</v>
      </c>
      <c r="S439" s="314">
        <f t="shared" si="78"/>
        <v>0</v>
      </c>
    </row>
    <row r="440" spans="1:19">
      <c r="A440" s="147"/>
      <c r="B440" s="55"/>
      <c r="C440" s="24">
        <f t="shared" si="69"/>
        <v>1</v>
      </c>
      <c r="D440" s="644"/>
      <c r="E440" s="24">
        <f t="shared" si="70"/>
        <v>1</v>
      </c>
      <c r="F440" s="644"/>
      <c r="G440" s="24">
        <f t="shared" si="71"/>
        <v>1</v>
      </c>
      <c r="H440" s="644"/>
      <c r="I440" s="24">
        <f t="shared" si="72"/>
        <v>1</v>
      </c>
      <c r="J440" s="644"/>
      <c r="K440" s="24">
        <f t="shared" si="73"/>
        <v>1</v>
      </c>
      <c r="L440" s="644"/>
      <c r="M440" s="24">
        <f t="shared" si="74"/>
        <v>1</v>
      </c>
      <c r="N440" s="644"/>
      <c r="O440" s="24">
        <f t="shared" si="75"/>
        <v>1</v>
      </c>
      <c r="P440" s="644"/>
      <c r="Q440" s="24">
        <f t="shared" si="76"/>
        <v>1</v>
      </c>
      <c r="R440" s="24">
        <f t="shared" si="77"/>
        <v>0</v>
      </c>
      <c r="S440" s="314">
        <f t="shared" si="78"/>
        <v>0</v>
      </c>
    </row>
    <row r="441" spans="1:19">
      <c r="A441" s="147"/>
      <c r="B441" s="55"/>
      <c r="C441" s="24">
        <f t="shared" si="69"/>
        <v>1</v>
      </c>
      <c r="D441" s="644"/>
      <c r="E441" s="24">
        <f t="shared" si="70"/>
        <v>1</v>
      </c>
      <c r="F441" s="644"/>
      <c r="G441" s="24">
        <f t="shared" si="71"/>
        <v>1</v>
      </c>
      <c r="H441" s="644"/>
      <c r="I441" s="24">
        <f t="shared" si="72"/>
        <v>1</v>
      </c>
      <c r="J441" s="644"/>
      <c r="K441" s="24">
        <f t="shared" si="73"/>
        <v>1</v>
      </c>
      <c r="L441" s="644"/>
      <c r="M441" s="24">
        <f t="shared" si="74"/>
        <v>1</v>
      </c>
      <c r="N441" s="644"/>
      <c r="O441" s="24">
        <f t="shared" si="75"/>
        <v>1</v>
      </c>
      <c r="P441" s="644"/>
      <c r="Q441" s="24">
        <f t="shared" si="76"/>
        <v>1</v>
      </c>
      <c r="R441" s="24">
        <f t="shared" si="77"/>
        <v>0</v>
      </c>
      <c r="S441" s="314">
        <f t="shared" si="78"/>
        <v>0</v>
      </c>
    </row>
    <row r="442" spans="1:19">
      <c r="A442" s="147"/>
      <c r="B442" s="55"/>
      <c r="C442" s="24">
        <f t="shared" si="69"/>
        <v>1</v>
      </c>
      <c r="D442" s="644"/>
      <c r="E442" s="24">
        <f t="shared" si="70"/>
        <v>1</v>
      </c>
      <c r="F442" s="644"/>
      <c r="G442" s="24">
        <f t="shared" si="71"/>
        <v>1</v>
      </c>
      <c r="H442" s="644"/>
      <c r="I442" s="24">
        <f t="shared" si="72"/>
        <v>1</v>
      </c>
      <c r="J442" s="644"/>
      <c r="K442" s="24">
        <f t="shared" si="73"/>
        <v>1</v>
      </c>
      <c r="L442" s="644"/>
      <c r="M442" s="24">
        <f t="shared" si="74"/>
        <v>1</v>
      </c>
      <c r="N442" s="644"/>
      <c r="O442" s="24">
        <f t="shared" si="75"/>
        <v>1</v>
      </c>
      <c r="P442" s="644"/>
      <c r="Q442" s="24">
        <f t="shared" si="76"/>
        <v>1</v>
      </c>
      <c r="R442" s="24">
        <f t="shared" si="77"/>
        <v>0</v>
      </c>
      <c r="S442" s="314">
        <f t="shared" si="78"/>
        <v>0</v>
      </c>
    </row>
    <row r="443" spans="1:19">
      <c r="A443" s="147"/>
      <c r="B443" s="55"/>
      <c r="C443" s="24">
        <f t="shared" si="69"/>
        <v>1</v>
      </c>
      <c r="D443" s="644"/>
      <c r="E443" s="24">
        <f t="shared" si="70"/>
        <v>1</v>
      </c>
      <c r="F443" s="644"/>
      <c r="G443" s="24">
        <f t="shared" si="71"/>
        <v>1</v>
      </c>
      <c r="H443" s="644"/>
      <c r="I443" s="24">
        <f t="shared" si="72"/>
        <v>1</v>
      </c>
      <c r="J443" s="644"/>
      <c r="K443" s="24">
        <f t="shared" si="73"/>
        <v>1</v>
      </c>
      <c r="L443" s="644"/>
      <c r="M443" s="24">
        <f t="shared" si="74"/>
        <v>1</v>
      </c>
      <c r="N443" s="644"/>
      <c r="O443" s="24">
        <f t="shared" si="75"/>
        <v>1</v>
      </c>
      <c r="P443" s="644"/>
      <c r="Q443" s="24">
        <f t="shared" si="76"/>
        <v>1</v>
      </c>
      <c r="R443" s="24">
        <f t="shared" si="77"/>
        <v>0</v>
      </c>
      <c r="S443" s="314">
        <f t="shared" si="78"/>
        <v>0</v>
      </c>
    </row>
    <row r="444" spans="1:19">
      <c r="A444" s="147"/>
      <c r="B444" s="55"/>
      <c r="C444" s="24">
        <f t="shared" si="69"/>
        <v>1</v>
      </c>
      <c r="D444" s="644"/>
      <c r="E444" s="24">
        <f t="shared" si="70"/>
        <v>1</v>
      </c>
      <c r="F444" s="644"/>
      <c r="G444" s="24">
        <f t="shared" si="71"/>
        <v>1</v>
      </c>
      <c r="H444" s="644"/>
      <c r="I444" s="24">
        <f t="shared" si="72"/>
        <v>1</v>
      </c>
      <c r="J444" s="644"/>
      <c r="K444" s="24">
        <f t="shared" si="73"/>
        <v>1</v>
      </c>
      <c r="L444" s="644"/>
      <c r="M444" s="24">
        <f t="shared" si="74"/>
        <v>1</v>
      </c>
      <c r="N444" s="644"/>
      <c r="O444" s="24">
        <f t="shared" si="75"/>
        <v>1</v>
      </c>
      <c r="P444" s="644"/>
      <c r="Q444" s="24">
        <f t="shared" si="76"/>
        <v>1</v>
      </c>
      <c r="R444" s="24">
        <f t="shared" si="77"/>
        <v>0</v>
      </c>
      <c r="S444" s="314">
        <f t="shared" si="78"/>
        <v>0</v>
      </c>
    </row>
    <row r="445" spans="1:19">
      <c r="A445" s="147"/>
      <c r="B445" s="55"/>
      <c r="C445" s="24">
        <f t="shared" si="69"/>
        <v>1</v>
      </c>
      <c r="D445" s="644"/>
      <c r="E445" s="24">
        <f t="shared" si="70"/>
        <v>1</v>
      </c>
      <c r="F445" s="644"/>
      <c r="G445" s="24">
        <f t="shared" si="71"/>
        <v>1</v>
      </c>
      <c r="H445" s="644"/>
      <c r="I445" s="24">
        <f t="shared" si="72"/>
        <v>1</v>
      </c>
      <c r="J445" s="644"/>
      <c r="K445" s="24">
        <f t="shared" si="73"/>
        <v>1</v>
      </c>
      <c r="L445" s="644"/>
      <c r="M445" s="24">
        <f t="shared" si="74"/>
        <v>1</v>
      </c>
      <c r="N445" s="644"/>
      <c r="O445" s="24">
        <f t="shared" si="75"/>
        <v>1</v>
      </c>
      <c r="P445" s="644"/>
      <c r="Q445" s="24">
        <f t="shared" si="76"/>
        <v>1</v>
      </c>
      <c r="R445" s="24">
        <f t="shared" si="77"/>
        <v>0</v>
      </c>
      <c r="S445" s="314">
        <f t="shared" si="78"/>
        <v>0</v>
      </c>
    </row>
    <row r="446" spans="1:19">
      <c r="A446" s="147"/>
      <c r="B446" s="55"/>
      <c r="C446" s="24">
        <f t="shared" si="69"/>
        <v>1</v>
      </c>
      <c r="D446" s="644"/>
      <c r="E446" s="24">
        <f t="shared" si="70"/>
        <v>1</v>
      </c>
      <c r="F446" s="644"/>
      <c r="G446" s="24">
        <f t="shared" si="71"/>
        <v>1</v>
      </c>
      <c r="H446" s="644"/>
      <c r="I446" s="24">
        <f t="shared" si="72"/>
        <v>1</v>
      </c>
      <c r="J446" s="644"/>
      <c r="K446" s="24">
        <f t="shared" si="73"/>
        <v>1</v>
      </c>
      <c r="L446" s="644"/>
      <c r="M446" s="24">
        <f t="shared" si="74"/>
        <v>1</v>
      </c>
      <c r="N446" s="644"/>
      <c r="O446" s="24">
        <f t="shared" si="75"/>
        <v>1</v>
      </c>
      <c r="P446" s="644"/>
      <c r="Q446" s="24">
        <f t="shared" si="76"/>
        <v>1</v>
      </c>
      <c r="R446" s="24">
        <f t="shared" si="77"/>
        <v>0</v>
      </c>
      <c r="S446" s="314">
        <f t="shared" si="78"/>
        <v>0</v>
      </c>
    </row>
    <row r="447" spans="1:19">
      <c r="A447" s="147"/>
      <c r="B447" s="55"/>
      <c r="C447" s="24">
        <f t="shared" si="69"/>
        <v>1</v>
      </c>
      <c r="D447" s="644"/>
      <c r="E447" s="24">
        <f t="shared" si="70"/>
        <v>1</v>
      </c>
      <c r="F447" s="644"/>
      <c r="G447" s="24">
        <f t="shared" si="71"/>
        <v>1</v>
      </c>
      <c r="H447" s="644"/>
      <c r="I447" s="24">
        <f t="shared" si="72"/>
        <v>1</v>
      </c>
      <c r="J447" s="644"/>
      <c r="K447" s="24">
        <f t="shared" si="73"/>
        <v>1</v>
      </c>
      <c r="L447" s="644"/>
      <c r="M447" s="24">
        <f t="shared" si="74"/>
        <v>1</v>
      </c>
      <c r="N447" s="644"/>
      <c r="O447" s="24">
        <f t="shared" si="75"/>
        <v>1</v>
      </c>
      <c r="P447" s="644"/>
      <c r="Q447" s="24">
        <f t="shared" si="76"/>
        <v>1</v>
      </c>
      <c r="R447" s="24">
        <f t="shared" si="77"/>
        <v>0</v>
      </c>
      <c r="S447" s="314">
        <f t="shared" si="78"/>
        <v>0</v>
      </c>
    </row>
    <row r="448" spans="1:19">
      <c r="A448" s="147"/>
      <c r="B448" s="55"/>
      <c r="C448" s="24">
        <f t="shared" si="69"/>
        <v>1</v>
      </c>
      <c r="D448" s="644"/>
      <c r="E448" s="24">
        <f t="shared" si="70"/>
        <v>1</v>
      </c>
      <c r="F448" s="644"/>
      <c r="G448" s="24">
        <f t="shared" si="71"/>
        <v>1</v>
      </c>
      <c r="H448" s="644"/>
      <c r="I448" s="24">
        <f t="shared" si="72"/>
        <v>1</v>
      </c>
      <c r="J448" s="644"/>
      <c r="K448" s="24">
        <f t="shared" si="73"/>
        <v>1</v>
      </c>
      <c r="L448" s="644"/>
      <c r="M448" s="24">
        <f t="shared" si="74"/>
        <v>1</v>
      </c>
      <c r="N448" s="644"/>
      <c r="O448" s="24">
        <f t="shared" si="75"/>
        <v>1</v>
      </c>
      <c r="P448" s="644"/>
      <c r="Q448" s="24">
        <f t="shared" si="76"/>
        <v>1</v>
      </c>
      <c r="R448" s="24">
        <f t="shared" si="77"/>
        <v>0</v>
      </c>
      <c r="S448" s="314">
        <f t="shared" si="78"/>
        <v>0</v>
      </c>
    </row>
    <row r="449" spans="1:19">
      <c r="A449" s="147"/>
      <c r="B449" s="55"/>
      <c r="C449" s="24">
        <f t="shared" si="69"/>
        <v>1</v>
      </c>
      <c r="D449" s="644"/>
      <c r="E449" s="24">
        <f t="shared" si="70"/>
        <v>1</v>
      </c>
      <c r="F449" s="644"/>
      <c r="G449" s="24">
        <f t="shared" si="71"/>
        <v>1</v>
      </c>
      <c r="H449" s="644"/>
      <c r="I449" s="24">
        <f t="shared" si="72"/>
        <v>1</v>
      </c>
      <c r="J449" s="644"/>
      <c r="K449" s="24">
        <f t="shared" si="73"/>
        <v>1</v>
      </c>
      <c r="L449" s="644"/>
      <c r="M449" s="24">
        <f t="shared" si="74"/>
        <v>1</v>
      </c>
      <c r="N449" s="644"/>
      <c r="O449" s="24">
        <f t="shared" si="75"/>
        <v>1</v>
      </c>
      <c r="P449" s="644"/>
      <c r="Q449" s="24">
        <f t="shared" si="76"/>
        <v>1</v>
      </c>
      <c r="R449" s="24">
        <f t="shared" si="77"/>
        <v>0</v>
      </c>
      <c r="S449" s="314">
        <f t="shared" si="78"/>
        <v>0</v>
      </c>
    </row>
    <row r="450" spans="1:19">
      <c r="A450" s="147"/>
      <c r="B450" s="55"/>
      <c r="C450" s="24">
        <f t="shared" si="69"/>
        <v>1</v>
      </c>
      <c r="D450" s="644"/>
      <c r="E450" s="24">
        <f t="shared" si="70"/>
        <v>1</v>
      </c>
      <c r="F450" s="644"/>
      <c r="G450" s="24">
        <f t="shared" si="71"/>
        <v>1</v>
      </c>
      <c r="H450" s="644"/>
      <c r="I450" s="24">
        <f t="shared" si="72"/>
        <v>1</v>
      </c>
      <c r="J450" s="644"/>
      <c r="K450" s="24">
        <f t="shared" si="73"/>
        <v>1</v>
      </c>
      <c r="L450" s="644"/>
      <c r="M450" s="24">
        <f t="shared" si="74"/>
        <v>1</v>
      </c>
      <c r="N450" s="644"/>
      <c r="O450" s="24">
        <f t="shared" si="75"/>
        <v>1</v>
      </c>
      <c r="P450" s="644"/>
      <c r="Q450" s="24">
        <f t="shared" si="76"/>
        <v>1</v>
      </c>
      <c r="R450" s="24">
        <f t="shared" si="77"/>
        <v>0</v>
      </c>
      <c r="S450" s="314">
        <f t="shared" si="78"/>
        <v>0</v>
      </c>
    </row>
    <row r="451" spans="1:19">
      <c r="A451" s="147"/>
      <c r="B451" s="55"/>
      <c r="C451" s="24">
        <f t="shared" si="69"/>
        <v>1</v>
      </c>
      <c r="D451" s="644"/>
      <c r="E451" s="24">
        <f t="shared" si="70"/>
        <v>1</v>
      </c>
      <c r="F451" s="644"/>
      <c r="G451" s="24">
        <f t="shared" si="71"/>
        <v>1</v>
      </c>
      <c r="H451" s="644"/>
      <c r="I451" s="24">
        <f t="shared" si="72"/>
        <v>1</v>
      </c>
      <c r="J451" s="644"/>
      <c r="K451" s="24">
        <f t="shared" si="73"/>
        <v>1</v>
      </c>
      <c r="L451" s="644"/>
      <c r="M451" s="24">
        <f t="shared" si="74"/>
        <v>1</v>
      </c>
      <c r="N451" s="644"/>
      <c r="O451" s="24">
        <f t="shared" si="75"/>
        <v>1</v>
      </c>
      <c r="P451" s="644"/>
      <c r="Q451" s="24">
        <f t="shared" si="76"/>
        <v>1</v>
      </c>
      <c r="R451" s="24">
        <f t="shared" si="77"/>
        <v>0</v>
      </c>
      <c r="S451" s="314">
        <f t="shared" si="78"/>
        <v>0</v>
      </c>
    </row>
    <row r="452" spans="1:19">
      <c r="A452" s="147"/>
      <c r="B452" s="55"/>
      <c r="C452" s="24">
        <f t="shared" si="69"/>
        <v>1</v>
      </c>
      <c r="D452" s="644"/>
      <c r="E452" s="24">
        <f t="shared" si="70"/>
        <v>1</v>
      </c>
      <c r="F452" s="644"/>
      <c r="G452" s="24">
        <f t="shared" si="71"/>
        <v>1</v>
      </c>
      <c r="H452" s="644"/>
      <c r="I452" s="24">
        <f t="shared" si="72"/>
        <v>1</v>
      </c>
      <c r="J452" s="644"/>
      <c r="K452" s="24">
        <f t="shared" si="73"/>
        <v>1</v>
      </c>
      <c r="L452" s="644"/>
      <c r="M452" s="24">
        <f t="shared" si="74"/>
        <v>1</v>
      </c>
      <c r="N452" s="644"/>
      <c r="O452" s="24">
        <f t="shared" si="75"/>
        <v>1</v>
      </c>
      <c r="P452" s="644"/>
      <c r="Q452" s="24">
        <f t="shared" si="76"/>
        <v>1</v>
      </c>
      <c r="R452" s="24">
        <f t="shared" si="77"/>
        <v>0</v>
      </c>
      <c r="S452" s="314">
        <f t="shared" si="78"/>
        <v>0</v>
      </c>
    </row>
    <row r="453" spans="1:19">
      <c r="A453" s="147"/>
      <c r="B453" s="55"/>
      <c r="C453" s="24">
        <f t="shared" si="69"/>
        <v>1</v>
      </c>
      <c r="D453" s="644"/>
      <c r="E453" s="24">
        <f t="shared" si="70"/>
        <v>1</v>
      </c>
      <c r="F453" s="644"/>
      <c r="G453" s="24">
        <f t="shared" si="71"/>
        <v>1</v>
      </c>
      <c r="H453" s="644"/>
      <c r="I453" s="24">
        <f t="shared" si="72"/>
        <v>1</v>
      </c>
      <c r="J453" s="644"/>
      <c r="K453" s="24">
        <f t="shared" si="73"/>
        <v>1</v>
      </c>
      <c r="L453" s="644"/>
      <c r="M453" s="24">
        <f t="shared" si="74"/>
        <v>1</v>
      </c>
      <c r="N453" s="644"/>
      <c r="O453" s="24">
        <f t="shared" si="75"/>
        <v>1</v>
      </c>
      <c r="P453" s="644"/>
      <c r="Q453" s="24">
        <f t="shared" si="76"/>
        <v>1</v>
      </c>
      <c r="R453" s="24">
        <f t="shared" si="77"/>
        <v>0</v>
      </c>
      <c r="S453" s="314">
        <f t="shared" si="78"/>
        <v>0</v>
      </c>
    </row>
    <row r="454" spans="1:19">
      <c r="A454" s="147"/>
      <c r="B454" s="55"/>
      <c r="C454" s="24">
        <f t="shared" si="69"/>
        <v>1</v>
      </c>
      <c r="D454" s="644"/>
      <c r="E454" s="24">
        <f t="shared" si="70"/>
        <v>1</v>
      </c>
      <c r="F454" s="644"/>
      <c r="G454" s="24">
        <f t="shared" si="71"/>
        <v>1</v>
      </c>
      <c r="H454" s="644"/>
      <c r="I454" s="24">
        <f t="shared" si="72"/>
        <v>1</v>
      </c>
      <c r="J454" s="644"/>
      <c r="K454" s="24">
        <f t="shared" si="73"/>
        <v>1</v>
      </c>
      <c r="L454" s="644"/>
      <c r="M454" s="24">
        <f t="shared" si="74"/>
        <v>1</v>
      </c>
      <c r="N454" s="644"/>
      <c r="O454" s="24">
        <f t="shared" si="75"/>
        <v>1</v>
      </c>
      <c r="P454" s="644"/>
      <c r="Q454" s="24">
        <f t="shared" si="76"/>
        <v>1</v>
      </c>
      <c r="R454" s="24">
        <f t="shared" si="77"/>
        <v>0</v>
      </c>
      <c r="S454" s="314">
        <f t="shared" si="78"/>
        <v>0</v>
      </c>
    </row>
    <row r="455" spans="1:19">
      <c r="A455" s="147"/>
      <c r="B455" s="55"/>
      <c r="C455" s="24">
        <f t="shared" si="69"/>
        <v>1</v>
      </c>
      <c r="D455" s="644"/>
      <c r="E455" s="24">
        <f t="shared" si="70"/>
        <v>1</v>
      </c>
      <c r="F455" s="644"/>
      <c r="G455" s="24">
        <f t="shared" si="71"/>
        <v>1</v>
      </c>
      <c r="H455" s="644"/>
      <c r="I455" s="24">
        <f t="shared" si="72"/>
        <v>1</v>
      </c>
      <c r="J455" s="644"/>
      <c r="K455" s="24">
        <f t="shared" si="73"/>
        <v>1</v>
      </c>
      <c r="L455" s="644"/>
      <c r="M455" s="24">
        <f t="shared" si="74"/>
        <v>1</v>
      </c>
      <c r="N455" s="644"/>
      <c r="O455" s="24">
        <f t="shared" si="75"/>
        <v>1</v>
      </c>
      <c r="P455" s="644"/>
      <c r="Q455" s="24">
        <f t="shared" si="76"/>
        <v>1</v>
      </c>
      <c r="R455" s="24">
        <f t="shared" si="77"/>
        <v>0</v>
      </c>
      <c r="S455" s="314">
        <f t="shared" si="78"/>
        <v>0</v>
      </c>
    </row>
    <row r="456" spans="1:19">
      <c r="A456" s="147"/>
      <c r="B456" s="55"/>
      <c r="C456" s="24">
        <f t="shared" si="69"/>
        <v>1</v>
      </c>
      <c r="D456" s="644"/>
      <c r="E456" s="24">
        <f t="shared" si="70"/>
        <v>1</v>
      </c>
      <c r="F456" s="644"/>
      <c r="G456" s="24">
        <f t="shared" si="71"/>
        <v>1</v>
      </c>
      <c r="H456" s="644"/>
      <c r="I456" s="24">
        <f t="shared" si="72"/>
        <v>1</v>
      </c>
      <c r="J456" s="644"/>
      <c r="K456" s="24">
        <f t="shared" si="73"/>
        <v>1</v>
      </c>
      <c r="L456" s="644"/>
      <c r="M456" s="24">
        <f t="shared" si="74"/>
        <v>1</v>
      </c>
      <c r="N456" s="644"/>
      <c r="O456" s="24">
        <f t="shared" si="75"/>
        <v>1</v>
      </c>
      <c r="P456" s="644"/>
      <c r="Q456" s="24">
        <f t="shared" si="76"/>
        <v>1</v>
      </c>
      <c r="R456" s="24">
        <f t="shared" si="77"/>
        <v>0</v>
      </c>
      <c r="S456" s="314">
        <f t="shared" si="78"/>
        <v>0</v>
      </c>
    </row>
    <row r="457" spans="1:19">
      <c r="A457" s="147"/>
      <c r="B457" s="55"/>
      <c r="C457" s="24">
        <f t="shared" si="69"/>
        <v>1</v>
      </c>
      <c r="D457" s="644"/>
      <c r="E457" s="24">
        <f t="shared" si="70"/>
        <v>1</v>
      </c>
      <c r="F457" s="644"/>
      <c r="G457" s="24">
        <f t="shared" si="71"/>
        <v>1</v>
      </c>
      <c r="H457" s="644"/>
      <c r="I457" s="24">
        <f t="shared" si="72"/>
        <v>1</v>
      </c>
      <c r="J457" s="644"/>
      <c r="K457" s="24">
        <f t="shared" si="73"/>
        <v>1</v>
      </c>
      <c r="L457" s="644"/>
      <c r="M457" s="24">
        <f t="shared" si="74"/>
        <v>1</v>
      </c>
      <c r="N457" s="644"/>
      <c r="O457" s="24">
        <f t="shared" si="75"/>
        <v>1</v>
      </c>
      <c r="P457" s="644"/>
      <c r="Q457" s="24">
        <f t="shared" si="76"/>
        <v>1</v>
      </c>
      <c r="R457" s="24">
        <f t="shared" si="77"/>
        <v>0</v>
      </c>
      <c r="S457" s="314">
        <f t="shared" si="78"/>
        <v>0</v>
      </c>
    </row>
    <row r="458" spans="1:19">
      <c r="A458" s="147"/>
      <c r="B458" s="55"/>
      <c r="C458" s="24">
        <f t="shared" si="69"/>
        <v>1</v>
      </c>
      <c r="D458" s="644"/>
      <c r="E458" s="24">
        <f t="shared" si="70"/>
        <v>1</v>
      </c>
      <c r="F458" s="644"/>
      <c r="G458" s="24">
        <f t="shared" si="71"/>
        <v>1</v>
      </c>
      <c r="H458" s="644"/>
      <c r="I458" s="24">
        <f t="shared" si="72"/>
        <v>1</v>
      </c>
      <c r="J458" s="644"/>
      <c r="K458" s="24">
        <f t="shared" si="73"/>
        <v>1</v>
      </c>
      <c r="L458" s="644"/>
      <c r="M458" s="24">
        <f t="shared" si="74"/>
        <v>1</v>
      </c>
      <c r="N458" s="644"/>
      <c r="O458" s="24">
        <f t="shared" si="75"/>
        <v>1</v>
      </c>
      <c r="P458" s="644"/>
      <c r="Q458" s="24">
        <f t="shared" si="76"/>
        <v>1</v>
      </c>
      <c r="R458" s="24">
        <f t="shared" si="77"/>
        <v>0</v>
      </c>
      <c r="S458" s="314">
        <f t="shared" si="78"/>
        <v>0</v>
      </c>
    </row>
    <row r="459" spans="1:19">
      <c r="A459" s="147"/>
      <c r="B459" s="55"/>
      <c r="C459" s="24">
        <f t="shared" si="69"/>
        <v>1</v>
      </c>
      <c r="D459" s="644"/>
      <c r="E459" s="24">
        <f t="shared" si="70"/>
        <v>1</v>
      </c>
      <c r="F459" s="644"/>
      <c r="G459" s="24">
        <f t="shared" si="71"/>
        <v>1</v>
      </c>
      <c r="H459" s="644"/>
      <c r="I459" s="24">
        <f t="shared" si="72"/>
        <v>1</v>
      </c>
      <c r="J459" s="644"/>
      <c r="K459" s="24">
        <f t="shared" si="73"/>
        <v>1</v>
      </c>
      <c r="L459" s="644"/>
      <c r="M459" s="24">
        <f t="shared" si="74"/>
        <v>1</v>
      </c>
      <c r="N459" s="644"/>
      <c r="O459" s="24">
        <f t="shared" si="75"/>
        <v>1</v>
      </c>
      <c r="P459" s="644"/>
      <c r="Q459" s="24">
        <f t="shared" si="76"/>
        <v>1</v>
      </c>
      <c r="R459" s="24">
        <f t="shared" si="77"/>
        <v>0</v>
      </c>
      <c r="S459" s="314">
        <f t="shared" si="78"/>
        <v>0</v>
      </c>
    </row>
    <row r="460" spans="1:19">
      <c r="A460" s="147"/>
      <c r="B460" s="55"/>
      <c r="C460" s="24">
        <f t="shared" si="69"/>
        <v>1</v>
      </c>
      <c r="D460" s="644"/>
      <c r="E460" s="24">
        <f t="shared" si="70"/>
        <v>1</v>
      </c>
      <c r="F460" s="644"/>
      <c r="G460" s="24">
        <f t="shared" si="71"/>
        <v>1</v>
      </c>
      <c r="H460" s="644"/>
      <c r="I460" s="24">
        <f t="shared" si="72"/>
        <v>1</v>
      </c>
      <c r="J460" s="644"/>
      <c r="K460" s="24">
        <f t="shared" si="73"/>
        <v>1</v>
      </c>
      <c r="L460" s="644"/>
      <c r="M460" s="24">
        <f t="shared" si="74"/>
        <v>1</v>
      </c>
      <c r="N460" s="644"/>
      <c r="O460" s="24">
        <f t="shared" si="75"/>
        <v>1</v>
      </c>
      <c r="P460" s="644"/>
      <c r="Q460" s="24">
        <f t="shared" si="76"/>
        <v>1</v>
      </c>
      <c r="R460" s="24">
        <f t="shared" si="77"/>
        <v>0</v>
      </c>
      <c r="S460" s="314">
        <f t="shared" si="78"/>
        <v>0</v>
      </c>
    </row>
    <row r="461" spans="1:19">
      <c r="A461" s="147"/>
      <c r="B461" s="55"/>
      <c r="C461" s="24">
        <f t="shared" si="69"/>
        <v>1</v>
      </c>
      <c r="D461" s="644"/>
      <c r="E461" s="24">
        <f t="shared" si="70"/>
        <v>1</v>
      </c>
      <c r="F461" s="644"/>
      <c r="G461" s="24">
        <f t="shared" si="71"/>
        <v>1</v>
      </c>
      <c r="H461" s="644"/>
      <c r="I461" s="24">
        <f t="shared" si="72"/>
        <v>1</v>
      </c>
      <c r="J461" s="644"/>
      <c r="K461" s="24">
        <f t="shared" si="73"/>
        <v>1</v>
      </c>
      <c r="L461" s="644"/>
      <c r="M461" s="24">
        <f t="shared" si="74"/>
        <v>1</v>
      </c>
      <c r="N461" s="644"/>
      <c r="O461" s="24">
        <f t="shared" si="75"/>
        <v>1</v>
      </c>
      <c r="P461" s="644"/>
      <c r="Q461" s="24">
        <f t="shared" si="76"/>
        <v>1</v>
      </c>
      <c r="R461" s="24">
        <f t="shared" si="77"/>
        <v>0</v>
      </c>
      <c r="S461" s="314">
        <f t="shared" si="78"/>
        <v>0</v>
      </c>
    </row>
    <row r="462" spans="1:19">
      <c r="A462" s="147"/>
      <c r="B462" s="55"/>
      <c r="C462" s="24">
        <f t="shared" si="69"/>
        <v>1</v>
      </c>
      <c r="D462" s="644"/>
      <c r="E462" s="24">
        <f t="shared" si="70"/>
        <v>1</v>
      </c>
      <c r="F462" s="644"/>
      <c r="G462" s="24">
        <f t="shared" si="71"/>
        <v>1</v>
      </c>
      <c r="H462" s="644"/>
      <c r="I462" s="24">
        <f t="shared" si="72"/>
        <v>1</v>
      </c>
      <c r="J462" s="644"/>
      <c r="K462" s="24">
        <f t="shared" si="73"/>
        <v>1</v>
      </c>
      <c r="L462" s="644"/>
      <c r="M462" s="24">
        <f t="shared" si="74"/>
        <v>1</v>
      </c>
      <c r="N462" s="644"/>
      <c r="O462" s="24">
        <f t="shared" si="75"/>
        <v>1</v>
      </c>
      <c r="P462" s="644"/>
      <c r="Q462" s="24">
        <f t="shared" si="76"/>
        <v>1</v>
      </c>
      <c r="R462" s="24">
        <f t="shared" si="77"/>
        <v>0</v>
      </c>
      <c r="S462" s="314">
        <f t="shared" si="78"/>
        <v>0</v>
      </c>
    </row>
    <row r="463" spans="1:19">
      <c r="A463" s="147"/>
      <c r="B463" s="55"/>
      <c r="C463" s="24">
        <f t="shared" si="69"/>
        <v>1</v>
      </c>
      <c r="D463" s="644"/>
      <c r="E463" s="24">
        <f t="shared" si="70"/>
        <v>1</v>
      </c>
      <c r="F463" s="644"/>
      <c r="G463" s="24">
        <f t="shared" si="71"/>
        <v>1</v>
      </c>
      <c r="H463" s="644"/>
      <c r="I463" s="24">
        <f t="shared" si="72"/>
        <v>1</v>
      </c>
      <c r="J463" s="644"/>
      <c r="K463" s="24">
        <f t="shared" si="73"/>
        <v>1</v>
      </c>
      <c r="L463" s="644"/>
      <c r="M463" s="24">
        <f t="shared" si="74"/>
        <v>1</v>
      </c>
      <c r="N463" s="644"/>
      <c r="O463" s="24">
        <f t="shared" si="75"/>
        <v>1</v>
      </c>
      <c r="P463" s="644"/>
      <c r="Q463" s="24">
        <f t="shared" si="76"/>
        <v>1</v>
      </c>
      <c r="R463" s="24">
        <f t="shared" si="77"/>
        <v>0</v>
      </c>
      <c r="S463" s="314">
        <f t="shared" si="78"/>
        <v>0</v>
      </c>
    </row>
    <row r="464" spans="1:19">
      <c r="A464" s="147"/>
      <c r="B464" s="55"/>
      <c r="C464" s="24">
        <f t="shared" si="69"/>
        <v>1</v>
      </c>
      <c r="D464" s="644"/>
      <c r="E464" s="24">
        <f t="shared" si="70"/>
        <v>1</v>
      </c>
      <c r="F464" s="644"/>
      <c r="G464" s="24">
        <f t="shared" si="71"/>
        <v>1</v>
      </c>
      <c r="H464" s="644"/>
      <c r="I464" s="24">
        <f t="shared" si="72"/>
        <v>1</v>
      </c>
      <c r="J464" s="644"/>
      <c r="K464" s="24">
        <f t="shared" si="73"/>
        <v>1</v>
      </c>
      <c r="L464" s="644"/>
      <c r="M464" s="24">
        <f t="shared" si="74"/>
        <v>1</v>
      </c>
      <c r="N464" s="644"/>
      <c r="O464" s="24">
        <f t="shared" si="75"/>
        <v>1</v>
      </c>
      <c r="P464" s="644"/>
      <c r="Q464" s="24">
        <f t="shared" si="76"/>
        <v>1</v>
      </c>
      <c r="R464" s="24">
        <f t="shared" si="77"/>
        <v>0</v>
      </c>
      <c r="S464" s="314">
        <f t="shared" si="78"/>
        <v>0</v>
      </c>
    </row>
    <row r="465" spans="1:19">
      <c r="A465" s="147"/>
      <c r="B465" s="55"/>
      <c r="C465" s="24">
        <f t="shared" si="69"/>
        <v>1</v>
      </c>
      <c r="D465" s="644"/>
      <c r="E465" s="24">
        <f t="shared" si="70"/>
        <v>1</v>
      </c>
      <c r="F465" s="644"/>
      <c r="G465" s="24">
        <f t="shared" si="71"/>
        <v>1</v>
      </c>
      <c r="H465" s="644"/>
      <c r="I465" s="24">
        <f t="shared" si="72"/>
        <v>1</v>
      </c>
      <c r="J465" s="644"/>
      <c r="K465" s="24">
        <f t="shared" si="73"/>
        <v>1</v>
      </c>
      <c r="L465" s="644"/>
      <c r="M465" s="24">
        <f t="shared" si="74"/>
        <v>1</v>
      </c>
      <c r="N465" s="644"/>
      <c r="O465" s="24">
        <f t="shared" si="75"/>
        <v>1</v>
      </c>
      <c r="P465" s="644"/>
      <c r="Q465" s="24">
        <f t="shared" si="76"/>
        <v>1</v>
      </c>
      <c r="R465" s="24">
        <f t="shared" si="77"/>
        <v>0</v>
      </c>
      <c r="S465" s="314">
        <f t="shared" si="78"/>
        <v>0</v>
      </c>
    </row>
    <row r="466" spans="1:19">
      <c r="A466" s="147"/>
      <c r="B466" s="55"/>
      <c r="C466" s="24">
        <f t="shared" si="69"/>
        <v>1</v>
      </c>
      <c r="D466" s="644"/>
      <c r="E466" s="24">
        <f t="shared" si="70"/>
        <v>1</v>
      </c>
      <c r="F466" s="644"/>
      <c r="G466" s="24">
        <f t="shared" si="71"/>
        <v>1</v>
      </c>
      <c r="H466" s="644"/>
      <c r="I466" s="24">
        <f t="shared" si="72"/>
        <v>1</v>
      </c>
      <c r="J466" s="644"/>
      <c r="K466" s="24">
        <f t="shared" si="73"/>
        <v>1</v>
      </c>
      <c r="L466" s="644"/>
      <c r="M466" s="24">
        <f t="shared" si="74"/>
        <v>1</v>
      </c>
      <c r="N466" s="644"/>
      <c r="O466" s="24">
        <f t="shared" si="75"/>
        <v>1</v>
      </c>
      <c r="P466" s="644"/>
      <c r="Q466" s="24">
        <f t="shared" si="76"/>
        <v>1</v>
      </c>
      <c r="R466" s="24">
        <f t="shared" si="77"/>
        <v>0</v>
      </c>
      <c r="S466" s="314">
        <f t="shared" si="78"/>
        <v>0</v>
      </c>
    </row>
    <row r="467" spans="1:19">
      <c r="A467" s="147"/>
      <c r="B467" s="55"/>
      <c r="C467" s="24">
        <f t="shared" si="69"/>
        <v>1</v>
      </c>
      <c r="D467" s="644"/>
      <c r="E467" s="24">
        <f t="shared" si="70"/>
        <v>1</v>
      </c>
      <c r="F467" s="644"/>
      <c r="G467" s="24">
        <f t="shared" si="71"/>
        <v>1</v>
      </c>
      <c r="H467" s="644"/>
      <c r="I467" s="24">
        <f t="shared" si="72"/>
        <v>1</v>
      </c>
      <c r="J467" s="644"/>
      <c r="K467" s="24">
        <f t="shared" si="73"/>
        <v>1</v>
      </c>
      <c r="L467" s="644"/>
      <c r="M467" s="24">
        <f t="shared" si="74"/>
        <v>1</v>
      </c>
      <c r="N467" s="644"/>
      <c r="O467" s="24">
        <f t="shared" si="75"/>
        <v>1</v>
      </c>
      <c r="P467" s="644"/>
      <c r="Q467" s="24">
        <f t="shared" si="76"/>
        <v>1</v>
      </c>
      <c r="R467" s="24">
        <f t="shared" si="77"/>
        <v>0</v>
      </c>
      <c r="S467" s="314">
        <f t="shared" si="78"/>
        <v>0</v>
      </c>
    </row>
    <row r="468" spans="1:19">
      <c r="A468" s="147"/>
      <c r="B468" s="55"/>
      <c r="C468" s="24">
        <f t="shared" si="69"/>
        <v>1</v>
      </c>
      <c r="D468" s="644"/>
      <c r="E468" s="24">
        <f t="shared" si="70"/>
        <v>1</v>
      </c>
      <c r="F468" s="644"/>
      <c r="G468" s="24">
        <f t="shared" si="71"/>
        <v>1</v>
      </c>
      <c r="H468" s="644"/>
      <c r="I468" s="24">
        <f t="shared" si="72"/>
        <v>1</v>
      </c>
      <c r="J468" s="644"/>
      <c r="K468" s="24">
        <f t="shared" si="73"/>
        <v>1</v>
      </c>
      <c r="L468" s="644"/>
      <c r="M468" s="24">
        <f t="shared" si="74"/>
        <v>1</v>
      </c>
      <c r="N468" s="644"/>
      <c r="O468" s="24">
        <f t="shared" si="75"/>
        <v>1</v>
      </c>
      <c r="P468" s="644"/>
      <c r="Q468" s="24">
        <f t="shared" si="76"/>
        <v>1</v>
      </c>
      <c r="R468" s="24">
        <f t="shared" si="77"/>
        <v>0</v>
      </c>
      <c r="S468" s="314">
        <f t="shared" ref="S468:S497" si="79">ROUND(R468*B468/10000,0)</f>
        <v>0</v>
      </c>
    </row>
    <row r="469" spans="1:19">
      <c r="A469" s="147"/>
      <c r="B469" s="55"/>
      <c r="C469" s="24">
        <f t="shared" si="69"/>
        <v>1</v>
      </c>
      <c r="D469" s="644"/>
      <c r="E469" s="24">
        <f t="shared" si="70"/>
        <v>1</v>
      </c>
      <c r="F469" s="644"/>
      <c r="G469" s="24">
        <f t="shared" si="71"/>
        <v>1</v>
      </c>
      <c r="H469" s="644"/>
      <c r="I469" s="24">
        <f t="shared" si="72"/>
        <v>1</v>
      </c>
      <c r="J469" s="644"/>
      <c r="K469" s="24">
        <f t="shared" si="73"/>
        <v>1</v>
      </c>
      <c r="L469" s="644"/>
      <c r="M469" s="24">
        <f t="shared" si="74"/>
        <v>1</v>
      </c>
      <c r="N469" s="644"/>
      <c r="O469" s="24">
        <f t="shared" si="75"/>
        <v>1</v>
      </c>
      <c r="P469" s="644"/>
      <c r="Q469" s="24">
        <f t="shared" si="76"/>
        <v>1</v>
      </c>
      <c r="R469" s="24">
        <f t="shared" si="77"/>
        <v>0</v>
      </c>
      <c r="S469" s="314">
        <f t="shared" si="79"/>
        <v>0</v>
      </c>
    </row>
    <row r="470" spans="1:19">
      <c r="A470" s="147"/>
      <c r="B470" s="55"/>
      <c r="C470" s="24">
        <f t="shared" si="69"/>
        <v>1</v>
      </c>
      <c r="D470" s="644"/>
      <c r="E470" s="24">
        <f t="shared" si="70"/>
        <v>1</v>
      </c>
      <c r="F470" s="644"/>
      <c r="G470" s="24">
        <f t="shared" si="71"/>
        <v>1</v>
      </c>
      <c r="H470" s="644"/>
      <c r="I470" s="24">
        <f t="shared" si="72"/>
        <v>1</v>
      </c>
      <c r="J470" s="644"/>
      <c r="K470" s="24">
        <f t="shared" si="73"/>
        <v>1</v>
      </c>
      <c r="L470" s="644"/>
      <c r="M470" s="24">
        <f t="shared" si="74"/>
        <v>1</v>
      </c>
      <c r="N470" s="644"/>
      <c r="O470" s="24">
        <f t="shared" si="75"/>
        <v>1</v>
      </c>
      <c r="P470" s="644"/>
      <c r="Q470" s="24">
        <f t="shared" si="76"/>
        <v>1</v>
      </c>
      <c r="R470" s="24">
        <f t="shared" si="77"/>
        <v>0</v>
      </c>
      <c r="S470" s="314">
        <f t="shared" si="79"/>
        <v>0</v>
      </c>
    </row>
    <row r="471" spans="1:19">
      <c r="A471" s="147"/>
      <c r="B471" s="55"/>
      <c r="C471" s="24">
        <f t="shared" si="69"/>
        <v>1</v>
      </c>
      <c r="D471" s="644"/>
      <c r="E471" s="24">
        <f t="shared" si="70"/>
        <v>1</v>
      </c>
      <c r="F471" s="644"/>
      <c r="G471" s="24">
        <f t="shared" si="71"/>
        <v>1</v>
      </c>
      <c r="H471" s="644"/>
      <c r="I471" s="24">
        <f t="shared" si="72"/>
        <v>1</v>
      </c>
      <c r="J471" s="644"/>
      <c r="K471" s="24">
        <f t="shared" si="73"/>
        <v>1</v>
      </c>
      <c r="L471" s="644"/>
      <c r="M471" s="24">
        <f t="shared" si="74"/>
        <v>1</v>
      </c>
      <c r="N471" s="644"/>
      <c r="O471" s="24">
        <f t="shared" si="75"/>
        <v>1</v>
      </c>
      <c r="P471" s="644"/>
      <c r="Q471" s="24">
        <f t="shared" si="76"/>
        <v>1</v>
      </c>
      <c r="R471" s="24">
        <f t="shared" si="77"/>
        <v>0</v>
      </c>
      <c r="S471" s="314">
        <f t="shared" si="79"/>
        <v>0</v>
      </c>
    </row>
    <row r="472" spans="1:19">
      <c r="A472" s="147"/>
      <c r="B472" s="55"/>
      <c r="C472" s="24">
        <f t="shared" si="69"/>
        <v>1</v>
      </c>
      <c r="D472" s="644"/>
      <c r="E472" s="24">
        <f t="shared" si="70"/>
        <v>1</v>
      </c>
      <c r="F472" s="644"/>
      <c r="G472" s="24">
        <f t="shared" si="71"/>
        <v>1</v>
      </c>
      <c r="H472" s="644"/>
      <c r="I472" s="24">
        <f t="shared" si="72"/>
        <v>1</v>
      </c>
      <c r="J472" s="644"/>
      <c r="K472" s="24">
        <f t="shared" si="73"/>
        <v>1</v>
      </c>
      <c r="L472" s="644"/>
      <c r="M472" s="24">
        <f t="shared" si="74"/>
        <v>1</v>
      </c>
      <c r="N472" s="644"/>
      <c r="O472" s="24">
        <f t="shared" si="75"/>
        <v>1</v>
      </c>
      <c r="P472" s="644"/>
      <c r="Q472" s="24">
        <f t="shared" si="76"/>
        <v>1</v>
      </c>
      <c r="R472" s="24">
        <f t="shared" si="77"/>
        <v>0</v>
      </c>
      <c r="S472" s="314">
        <f t="shared" si="79"/>
        <v>0</v>
      </c>
    </row>
    <row r="473" spans="1:19">
      <c r="A473" s="147"/>
      <c r="B473" s="55"/>
      <c r="C473" s="24">
        <f t="shared" si="69"/>
        <v>1</v>
      </c>
      <c r="D473" s="644"/>
      <c r="E473" s="24">
        <f t="shared" si="70"/>
        <v>1</v>
      </c>
      <c r="F473" s="644"/>
      <c r="G473" s="24">
        <f t="shared" si="71"/>
        <v>1</v>
      </c>
      <c r="H473" s="644"/>
      <c r="I473" s="24">
        <f t="shared" si="72"/>
        <v>1</v>
      </c>
      <c r="J473" s="644"/>
      <c r="K473" s="24">
        <f t="shared" si="73"/>
        <v>1</v>
      </c>
      <c r="L473" s="644"/>
      <c r="M473" s="24">
        <f t="shared" si="74"/>
        <v>1</v>
      </c>
      <c r="N473" s="644"/>
      <c r="O473" s="24">
        <f t="shared" si="75"/>
        <v>1</v>
      </c>
      <c r="P473" s="644"/>
      <c r="Q473" s="24">
        <f t="shared" si="76"/>
        <v>1</v>
      </c>
      <c r="R473" s="24">
        <f t="shared" si="77"/>
        <v>0</v>
      </c>
      <c r="S473" s="314">
        <f t="shared" si="79"/>
        <v>0</v>
      </c>
    </row>
    <row r="474" spans="1:19">
      <c r="A474" s="147"/>
      <c r="B474" s="55"/>
      <c r="C474" s="24">
        <f t="shared" ref="C474:C524" si="80">IF(B474="",1,(LOOKUP(B474,$3:$3,$4:$4)-LOOKUP($B$24,$3:$3,$4:$4)+100)/100)</f>
        <v>1</v>
      </c>
      <c r="D474" s="644"/>
      <c r="E474" s="24">
        <f t="shared" ref="E474:E524" si="81">(SUMIF($5:$5,D474,$6:$6)-SUMIF($5:$5,$D$24,$6:$6)+100)/100</f>
        <v>1</v>
      </c>
      <c r="F474" s="644"/>
      <c r="G474" s="24">
        <f t="shared" ref="G474:G524" si="82">(SUMIF($7:$7,F474,$8:$8)-SUMIF($7:$7,$F$24,$8:$8)+100)/100</f>
        <v>1</v>
      </c>
      <c r="H474" s="644"/>
      <c r="I474" s="24">
        <f t="shared" ref="I474:I524" si="83">(SUMIF($9:$9,H474,$10:$10)-SUMIF($9:$9,$H$24,$10:$10)+100)/100</f>
        <v>1</v>
      </c>
      <c r="J474" s="644"/>
      <c r="K474" s="24">
        <f t="shared" ref="K474:K524" si="84">(SUMIF($11:$11,J474,$12:$12)-SUMIF($11:$11,$J$24,$12:$12)+100)/100</f>
        <v>1</v>
      </c>
      <c r="L474" s="644"/>
      <c r="M474" s="24">
        <f t="shared" ref="M474:M524" si="85">(SUMIF($13:$13,L474,$14:$14)-SUMIF($13:$13,$L$24,$14:$14)+100)/100</f>
        <v>1</v>
      </c>
      <c r="N474" s="644"/>
      <c r="O474" s="24">
        <f t="shared" ref="O474:O524" si="86">(SUMIF($15:$15,N474,$16:$16)-SUMIF($15:$15,$N$24,$16:$16)+100)/100</f>
        <v>1</v>
      </c>
      <c r="P474" s="644"/>
      <c r="Q474" s="24">
        <f t="shared" ref="Q474:Q524" si="87">(SUMIF($17:$17,P474,$18:$18)-SUMIF($17:$17,$P$24,$18:$18)+100)/100</f>
        <v>1</v>
      </c>
      <c r="R474" s="24">
        <f t="shared" ref="R474:R524" si="88">IF(B474="",0,ROUND($R$24*C474*E474*G474*I474*K474*M474*O474*Q474,0))</f>
        <v>0</v>
      </c>
      <c r="S474" s="314">
        <f t="shared" si="79"/>
        <v>0</v>
      </c>
    </row>
    <row r="475" spans="1:19">
      <c r="A475" s="147"/>
      <c r="B475" s="55"/>
      <c r="C475" s="24">
        <f t="shared" si="80"/>
        <v>1</v>
      </c>
      <c r="D475" s="644"/>
      <c r="E475" s="24">
        <f t="shared" si="81"/>
        <v>1</v>
      </c>
      <c r="F475" s="644"/>
      <c r="G475" s="24">
        <f t="shared" si="82"/>
        <v>1</v>
      </c>
      <c r="H475" s="644"/>
      <c r="I475" s="24">
        <f t="shared" si="83"/>
        <v>1</v>
      </c>
      <c r="J475" s="644"/>
      <c r="K475" s="24">
        <f t="shared" si="84"/>
        <v>1</v>
      </c>
      <c r="L475" s="644"/>
      <c r="M475" s="24">
        <f t="shared" si="85"/>
        <v>1</v>
      </c>
      <c r="N475" s="644"/>
      <c r="O475" s="24">
        <f t="shared" si="86"/>
        <v>1</v>
      </c>
      <c r="P475" s="644"/>
      <c r="Q475" s="24">
        <f t="shared" si="87"/>
        <v>1</v>
      </c>
      <c r="R475" s="24">
        <f t="shared" si="88"/>
        <v>0</v>
      </c>
      <c r="S475" s="314">
        <f t="shared" si="79"/>
        <v>0</v>
      </c>
    </row>
    <row r="476" spans="1:19">
      <c r="A476" s="147"/>
      <c r="B476" s="55"/>
      <c r="C476" s="24">
        <f t="shared" si="80"/>
        <v>1</v>
      </c>
      <c r="D476" s="644"/>
      <c r="E476" s="24">
        <f t="shared" si="81"/>
        <v>1</v>
      </c>
      <c r="F476" s="644"/>
      <c r="G476" s="24">
        <f t="shared" si="82"/>
        <v>1</v>
      </c>
      <c r="H476" s="644"/>
      <c r="I476" s="24">
        <f t="shared" si="83"/>
        <v>1</v>
      </c>
      <c r="J476" s="644"/>
      <c r="K476" s="24">
        <f t="shared" si="84"/>
        <v>1</v>
      </c>
      <c r="L476" s="644"/>
      <c r="M476" s="24">
        <f t="shared" si="85"/>
        <v>1</v>
      </c>
      <c r="N476" s="644"/>
      <c r="O476" s="24">
        <f t="shared" si="86"/>
        <v>1</v>
      </c>
      <c r="P476" s="644"/>
      <c r="Q476" s="24">
        <f t="shared" si="87"/>
        <v>1</v>
      </c>
      <c r="R476" s="24">
        <f t="shared" si="88"/>
        <v>0</v>
      </c>
      <c r="S476" s="314">
        <f t="shared" si="79"/>
        <v>0</v>
      </c>
    </row>
    <row r="477" spans="1:19">
      <c r="A477" s="147"/>
      <c r="B477" s="55"/>
      <c r="C477" s="24">
        <f t="shared" si="80"/>
        <v>1</v>
      </c>
      <c r="D477" s="644"/>
      <c r="E477" s="24">
        <f t="shared" si="81"/>
        <v>1</v>
      </c>
      <c r="F477" s="644"/>
      <c r="G477" s="24">
        <f t="shared" si="82"/>
        <v>1</v>
      </c>
      <c r="H477" s="644"/>
      <c r="I477" s="24">
        <f t="shared" si="83"/>
        <v>1</v>
      </c>
      <c r="J477" s="644"/>
      <c r="K477" s="24">
        <f t="shared" si="84"/>
        <v>1</v>
      </c>
      <c r="L477" s="644"/>
      <c r="M477" s="24">
        <f t="shared" si="85"/>
        <v>1</v>
      </c>
      <c r="N477" s="644"/>
      <c r="O477" s="24">
        <f t="shared" si="86"/>
        <v>1</v>
      </c>
      <c r="P477" s="644"/>
      <c r="Q477" s="24">
        <f t="shared" si="87"/>
        <v>1</v>
      </c>
      <c r="R477" s="24">
        <f t="shared" si="88"/>
        <v>0</v>
      </c>
      <c r="S477" s="314">
        <f t="shared" si="79"/>
        <v>0</v>
      </c>
    </row>
    <row r="478" spans="1:19">
      <c r="A478" s="147"/>
      <c r="B478" s="55"/>
      <c r="C478" s="24">
        <f t="shared" si="80"/>
        <v>1</v>
      </c>
      <c r="D478" s="644"/>
      <c r="E478" s="24">
        <f t="shared" si="81"/>
        <v>1</v>
      </c>
      <c r="F478" s="644"/>
      <c r="G478" s="24">
        <f t="shared" si="82"/>
        <v>1</v>
      </c>
      <c r="H478" s="644"/>
      <c r="I478" s="24">
        <f t="shared" si="83"/>
        <v>1</v>
      </c>
      <c r="J478" s="644"/>
      <c r="K478" s="24">
        <f t="shared" si="84"/>
        <v>1</v>
      </c>
      <c r="L478" s="644"/>
      <c r="M478" s="24">
        <f t="shared" si="85"/>
        <v>1</v>
      </c>
      <c r="N478" s="644"/>
      <c r="O478" s="24">
        <f t="shared" si="86"/>
        <v>1</v>
      </c>
      <c r="P478" s="644"/>
      <c r="Q478" s="24">
        <f t="shared" si="87"/>
        <v>1</v>
      </c>
      <c r="R478" s="24">
        <f t="shared" si="88"/>
        <v>0</v>
      </c>
      <c r="S478" s="314">
        <f t="shared" si="79"/>
        <v>0</v>
      </c>
    </row>
    <row r="479" spans="1:19">
      <c r="A479" s="147"/>
      <c r="B479" s="55"/>
      <c r="C479" s="24">
        <f t="shared" si="80"/>
        <v>1</v>
      </c>
      <c r="D479" s="644"/>
      <c r="E479" s="24">
        <f t="shared" si="81"/>
        <v>1</v>
      </c>
      <c r="F479" s="644"/>
      <c r="G479" s="24">
        <f t="shared" si="82"/>
        <v>1</v>
      </c>
      <c r="H479" s="644"/>
      <c r="I479" s="24">
        <f t="shared" si="83"/>
        <v>1</v>
      </c>
      <c r="J479" s="644"/>
      <c r="K479" s="24">
        <f t="shared" si="84"/>
        <v>1</v>
      </c>
      <c r="L479" s="644"/>
      <c r="M479" s="24">
        <f t="shared" si="85"/>
        <v>1</v>
      </c>
      <c r="N479" s="644"/>
      <c r="O479" s="24">
        <f t="shared" si="86"/>
        <v>1</v>
      </c>
      <c r="P479" s="644"/>
      <c r="Q479" s="24">
        <f t="shared" si="87"/>
        <v>1</v>
      </c>
      <c r="R479" s="24">
        <f t="shared" si="88"/>
        <v>0</v>
      </c>
      <c r="S479" s="314">
        <f t="shared" si="79"/>
        <v>0</v>
      </c>
    </row>
    <row r="480" spans="1:19">
      <c r="A480" s="147"/>
      <c r="B480" s="55"/>
      <c r="C480" s="24">
        <f t="shared" si="80"/>
        <v>1</v>
      </c>
      <c r="D480" s="644"/>
      <c r="E480" s="24">
        <f t="shared" si="81"/>
        <v>1</v>
      </c>
      <c r="F480" s="644"/>
      <c r="G480" s="24">
        <f t="shared" si="82"/>
        <v>1</v>
      </c>
      <c r="H480" s="644"/>
      <c r="I480" s="24">
        <f t="shared" si="83"/>
        <v>1</v>
      </c>
      <c r="J480" s="644"/>
      <c r="K480" s="24">
        <f t="shared" si="84"/>
        <v>1</v>
      </c>
      <c r="L480" s="644"/>
      <c r="M480" s="24">
        <f t="shared" si="85"/>
        <v>1</v>
      </c>
      <c r="N480" s="644"/>
      <c r="O480" s="24">
        <f t="shared" si="86"/>
        <v>1</v>
      </c>
      <c r="P480" s="644"/>
      <c r="Q480" s="24">
        <f t="shared" si="87"/>
        <v>1</v>
      </c>
      <c r="R480" s="24">
        <f t="shared" si="88"/>
        <v>0</v>
      </c>
      <c r="S480" s="314">
        <f t="shared" si="79"/>
        <v>0</v>
      </c>
    </row>
    <row r="481" spans="1:19">
      <c r="A481" s="147"/>
      <c r="B481" s="55"/>
      <c r="C481" s="24">
        <f t="shared" si="80"/>
        <v>1</v>
      </c>
      <c r="D481" s="644"/>
      <c r="E481" s="24">
        <f t="shared" si="81"/>
        <v>1</v>
      </c>
      <c r="F481" s="644"/>
      <c r="G481" s="24">
        <f t="shared" si="82"/>
        <v>1</v>
      </c>
      <c r="H481" s="644"/>
      <c r="I481" s="24">
        <f t="shared" si="83"/>
        <v>1</v>
      </c>
      <c r="J481" s="644"/>
      <c r="K481" s="24">
        <f t="shared" si="84"/>
        <v>1</v>
      </c>
      <c r="L481" s="644"/>
      <c r="M481" s="24">
        <f t="shared" si="85"/>
        <v>1</v>
      </c>
      <c r="N481" s="644"/>
      <c r="O481" s="24">
        <f t="shared" si="86"/>
        <v>1</v>
      </c>
      <c r="P481" s="644"/>
      <c r="Q481" s="24">
        <f t="shared" si="87"/>
        <v>1</v>
      </c>
      <c r="R481" s="24">
        <f t="shared" si="88"/>
        <v>0</v>
      </c>
      <c r="S481" s="314">
        <f t="shared" si="79"/>
        <v>0</v>
      </c>
    </row>
    <row r="482" spans="1:19">
      <c r="A482" s="147"/>
      <c r="B482" s="55"/>
      <c r="C482" s="24">
        <f t="shared" si="80"/>
        <v>1</v>
      </c>
      <c r="D482" s="644"/>
      <c r="E482" s="24">
        <f t="shared" si="81"/>
        <v>1</v>
      </c>
      <c r="F482" s="644"/>
      <c r="G482" s="24">
        <f t="shared" si="82"/>
        <v>1</v>
      </c>
      <c r="H482" s="644"/>
      <c r="I482" s="24">
        <f t="shared" si="83"/>
        <v>1</v>
      </c>
      <c r="J482" s="644"/>
      <c r="K482" s="24">
        <f t="shared" si="84"/>
        <v>1</v>
      </c>
      <c r="L482" s="644"/>
      <c r="M482" s="24">
        <f t="shared" si="85"/>
        <v>1</v>
      </c>
      <c r="N482" s="644"/>
      <c r="O482" s="24">
        <f t="shared" si="86"/>
        <v>1</v>
      </c>
      <c r="P482" s="644"/>
      <c r="Q482" s="24">
        <f t="shared" si="87"/>
        <v>1</v>
      </c>
      <c r="R482" s="24">
        <f t="shared" si="88"/>
        <v>0</v>
      </c>
      <c r="S482" s="314">
        <f t="shared" si="79"/>
        <v>0</v>
      </c>
    </row>
    <row r="483" spans="1:19">
      <c r="A483" s="147"/>
      <c r="B483" s="55"/>
      <c r="C483" s="24">
        <f t="shared" si="80"/>
        <v>1</v>
      </c>
      <c r="D483" s="644"/>
      <c r="E483" s="24">
        <f t="shared" si="81"/>
        <v>1</v>
      </c>
      <c r="F483" s="644"/>
      <c r="G483" s="24">
        <f t="shared" si="82"/>
        <v>1</v>
      </c>
      <c r="H483" s="644"/>
      <c r="I483" s="24">
        <f t="shared" si="83"/>
        <v>1</v>
      </c>
      <c r="J483" s="644"/>
      <c r="K483" s="24">
        <f t="shared" si="84"/>
        <v>1</v>
      </c>
      <c r="L483" s="644"/>
      <c r="M483" s="24">
        <f t="shared" si="85"/>
        <v>1</v>
      </c>
      <c r="N483" s="644"/>
      <c r="O483" s="24">
        <f t="shared" si="86"/>
        <v>1</v>
      </c>
      <c r="P483" s="644"/>
      <c r="Q483" s="24">
        <f t="shared" si="87"/>
        <v>1</v>
      </c>
      <c r="R483" s="24">
        <f t="shared" si="88"/>
        <v>0</v>
      </c>
      <c r="S483" s="314">
        <f t="shared" si="79"/>
        <v>0</v>
      </c>
    </row>
    <row r="484" spans="1:19">
      <c r="A484" s="147"/>
      <c r="B484" s="55"/>
      <c r="C484" s="24">
        <f t="shared" si="80"/>
        <v>1</v>
      </c>
      <c r="D484" s="644"/>
      <c r="E484" s="24">
        <f t="shared" si="81"/>
        <v>1</v>
      </c>
      <c r="F484" s="644"/>
      <c r="G484" s="24">
        <f t="shared" si="82"/>
        <v>1</v>
      </c>
      <c r="H484" s="644"/>
      <c r="I484" s="24">
        <f t="shared" si="83"/>
        <v>1</v>
      </c>
      <c r="J484" s="644"/>
      <c r="K484" s="24">
        <f t="shared" si="84"/>
        <v>1</v>
      </c>
      <c r="L484" s="644"/>
      <c r="M484" s="24">
        <f t="shared" si="85"/>
        <v>1</v>
      </c>
      <c r="N484" s="644"/>
      <c r="O484" s="24">
        <f t="shared" si="86"/>
        <v>1</v>
      </c>
      <c r="P484" s="644"/>
      <c r="Q484" s="24">
        <f t="shared" si="87"/>
        <v>1</v>
      </c>
      <c r="R484" s="24">
        <f t="shared" si="88"/>
        <v>0</v>
      </c>
      <c r="S484" s="314">
        <f t="shared" si="79"/>
        <v>0</v>
      </c>
    </row>
    <row r="485" spans="1:19">
      <c r="A485" s="147"/>
      <c r="B485" s="55"/>
      <c r="C485" s="24">
        <f t="shared" si="80"/>
        <v>1</v>
      </c>
      <c r="D485" s="644"/>
      <c r="E485" s="24">
        <f t="shared" si="81"/>
        <v>1</v>
      </c>
      <c r="F485" s="644"/>
      <c r="G485" s="24">
        <f t="shared" si="82"/>
        <v>1</v>
      </c>
      <c r="H485" s="644"/>
      <c r="I485" s="24">
        <f t="shared" si="83"/>
        <v>1</v>
      </c>
      <c r="J485" s="644"/>
      <c r="K485" s="24">
        <f t="shared" si="84"/>
        <v>1</v>
      </c>
      <c r="L485" s="644"/>
      <c r="M485" s="24">
        <f t="shared" si="85"/>
        <v>1</v>
      </c>
      <c r="N485" s="644"/>
      <c r="O485" s="24">
        <f t="shared" si="86"/>
        <v>1</v>
      </c>
      <c r="P485" s="644"/>
      <c r="Q485" s="24">
        <f t="shared" si="87"/>
        <v>1</v>
      </c>
      <c r="R485" s="24">
        <f t="shared" si="88"/>
        <v>0</v>
      </c>
      <c r="S485" s="314">
        <f t="shared" si="79"/>
        <v>0</v>
      </c>
    </row>
    <row r="486" spans="1:19">
      <c r="A486" s="147"/>
      <c r="B486" s="55"/>
      <c r="C486" s="24">
        <f t="shared" si="80"/>
        <v>1</v>
      </c>
      <c r="D486" s="644"/>
      <c r="E486" s="24">
        <f t="shared" si="81"/>
        <v>1</v>
      </c>
      <c r="F486" s="644"/>
      <c r="G486" s="24">
        <f t="shared" si="82"/>
        <v>1</v>
      </c>
      <c r="H486" s="644"/>
      <c r="I486" s="24">
        <f t="shared" si="83"/>
        <v>1</v>
      </c>
      <c r="J486" s="644"/>
      <c r="K486" s="24">
        <f t="shared" si="84"/>
        <v>1</v>
      </c>
      <c r="L486" s="644"/>
      <c r="M486" s="24">
        <f t="shared" si="85"/>
        <v>1</v>
      </c>
      <c r="N486" s="644"/>
      <c r="O486" s="24">
        <f t="shared" si="86"/>
        <v>1</v>
      </c>
      <c r="P486" s="644"/>
      <c r="Q486" s="24">
        <f t="shared" si="87"/>
        <v>1</v>
      </c>
      <c r="R486" s="24">
        <f t="shared" si="88"/>
        <v>0</v>
      </c>
      <c r="S486" s="314">
        <f t="shared" si="79"/>
        <v>0</v>
      </c>
    </row>
    <row r="487" spans="1:19">
      <c r="A487" s="147"/>
      <c r="B487" s="55"/>
      <c r="C487" s="24">
        <f t="shared" si="80"/>
        <v>1</v>
      </c>
      <c r="D487" s="644"/>
      <c r="E487" s="24">
        <f t="shared" si="81"/>
        <v>1</v>
      </c>
      <c r="F487" s="644"/>
      <c r="G487" s="24">
        <f t="shared" si="82"/>
        <v>1</v>
      </c>
      <c r="H487" s="644"/>
      <c r="I487" s="24">
        <f t="shared" si="83"/>
        <v>1</v>
      </c>
      <c r="J487" s="644"/>
      <c r="K487" s="24">
        <f t="shared" si="84"/>
        <v>1</v>
      </c>
      <c r="L487" s="644"/>
      <c r="M487" s="24">
        <f t="shared" si="85"/>
        <v>1</v>
      </c>
      <c r="N487" s="644"/>
      <c r="O487" s="24">
        <f t="shared" si="86"/>
        <v>1</v>
      </c>
      <c r="P487" s="644"/>
      <c r="Q487" s="24">
        <f t="shared" si="87"/>
        <v>1</v>
      </c>
      <c r="R487" s="24">
        <f t="shared" si="88"/>
        <v>0</v>
      </c>
      <c r="S487" s="314">
        <f t="shared" si="79"/>
        <v>0</v>
      </c>
    </row>
    <row r="488" spans="1:19">
      <c r="A488" s="147"/>
      <c r="B488" s="55"/>
      <c r="C488" s="24">
        <f t="shared" si="80"/>
        <v>1</v>
      </c>
      <c r="D488" s="644"/>
      <c r="E488" s="24">
        <f t="shared" si="81"/>
        <v>1</v>
      </c>
      <c r="F488" s="644"/>
      <c r="G488" s="24">
        <f t="shared" si="82"/>
        <v>1</v>
      </c>
      <c r="H488" s="644"/>
      <c r="I488" s="24">
        <f t="shared" si="83"/>
        <v>1</v>
      </c>
      <c r="J488" s="644"/>
      <c r="K488" s="24">
        <f t="shared" si="84"/>
        <v>1</v>
      </c>
      <c r="L488" s="644"/>
      <c r="M488" s="24">
        <f t="shared" si="85"/>
        <v>1</v>
      </c>
      <c r="N488" s="644"/>
      <c r="O488" s="24">
        <f t="shared" si="86"/>
        <v>1</v>
      </c>
      <c r="P488" s="644"/>
      <c r="Q488" s="24">
        <f t="shared" si="87"/>
        <v>1</v>
      </c>
      <c r="R488" s="24">
        <f t="shared" si="88"/>
        <v>0</v>
      </c>
      <c r="S488" s="314">
        <f t="shared" si="79"/>
        <v>0</v>
      </c>
    </row>
    <row r="489" spans="1:19">
      <c r="A489" s="147"/>
      <c r="B489" s="55"/>
      <c r="C489" s="24">
        <f t="shared" si="80"/>
        <v>1</v>
      </c>
      <c r="D489" s="644"/>
      <c r="E489" s="24">
        <f t="shared" si="81"/>
        <v>1</v>
      </c>
      <c r="F489" s="644"/>
      <c r="G489" s="24">
        <f t="shared" si="82"/>
        <v>1</v>
      </c>
      <c r="H489" s="644"/>
      <c r="I489" s="24">
        <f t="shared" si="83"/>
        <v>1</v>
      </c>
      <c r="J489" s="644"/>
      <c r="K489" s="24">
        <f t="shared" si="84"/>
        <v>1</v>
      </c>
      <c r="L489" s="644"/>
      <c r="M489" s="24">
        <f t="shared" si="85"/>
        <v>1</v>
      </c>
      <c r="N489" s="644"/>
      <c r="O489" s="24">
        <f t="shared" si="86"/>
        <v>1</v>
      </c>
      <c r="P489" s="644"/>
      <c r="Q489" s="24">
        <f t="shared" si="87"/>
        <v>1</v>
      </c>
      <c r="R489" s="24">
        <f t="shared" si="88"/>
        <v>0</v>
      </c>
      <c r="S489" s="314">
        <f t="shared" si="79"/>
        <v>0</v>
      </c>
    </row>
    <row r="490" spans="1:19">
      <c r="A490" s="147"/>
      <c r="B490" s="55"/>
      <c r="C490" s="24">
        <f t="shared" si="80"/>
        <v>1</v>
      </c>
      <c r="D490" s="644"/>
      <c r="E490" s="24">
        <f t="shared" si="81"/>
        <v>1</v>
      </c>
      <c r="F490" s="644"/>
      <c r="G490" s="24">
        <f t="shared" si="82"/>
        <v>1</v>
      </c>
      <c r="H490" s="644"/>
      <c r="I490" s="24">
        <f t="shared" si="83"/>
        <v>1</v>
      </c>
      <c r="J490" s="644"/>
      <c r="K490" s="24">
        <f t="shared" si="84"/>
        <v>1</v>
      </c>
      <c r="L490" s="644"/>
      <c r="M490" s="24">
        <f t="shared" si="85"/>
        <v>1</v>
      </c>
      <c r="N490" s="644"/>
      <c r="O490" s="24">
        <f t="shared" si="86"/>
        <v>1</v>
      </c>
      <c r="P490" s="644"/>
      <c r="Q490" s="24">
        <f t="shared" si="87"/>
        <v>1</v>
      </c>
      <c r="R490" s="24">
        <f t="shared" si="88"/>
        <v>0</v>
      </c>
      <c r="S490" s="314">
        <f t="shared" si="79"/>
        <v>0</v>
      </c>
    </row>
    <row r="491" spans="1:19">
      <c r="A491" s="147"/>
      <c r="B491" s="55"/>
      <c r="C491" s="24">
        <f t="shared" si="80"/>
        <v>1</v>
      </c>
      <c r="D491" s="644"/>
      <c r="E491" s="24">
        <f t="shared" si="81"/>
        <v>1</v>
      </c>
      <c r="F491" s="644"/>
      <c r="G491" s="24">
        <f t="shared" si="82"/>
        <v>1</v>
      </c>
      <c r="H491" s="644"/>
      <c r="I491" s="24">
        <f t="shared" si="83"/>
        <v>1</v>
      </c>
      <c r="J491" s="644"/>
      <c r="K491" s="24">
        <f t="shared" si="84"/>
        <v>1</v>
      </c>
      <c r="L491" s="644"/>
      <c r="M491" s="24">
        <f t="shared" si="85"/>
        <v>1</v>
      </c>
      <c r="N491" s="644"/>
      <c r="O491" s="24">
        <f t="shared" si="86"/>
        <v>1</v>
      </c>
      <c r="P491" s="644"/>
      <c r="Q491" s="24">
        <f t="shared" si="87"/>
        <v>1</v>
      </c>
      <c r="R491" s="24">
        <f t="shared" si="88"/>
        <v>0</v>
      </c>
      <c r="S491" s="314">
        <f t="shared" si="79"/>
        <v>0</v>
      </c>
    </row>
    <row r="492" spans="1:19">
      <c r="A492" s="147"/>
      <c r="B492" s="55"/>
      <c r="C492" s="24">
        <f t="shared" si="80"/>
        <v>1</v>
      </c>
      <c r="D492" s="644"/>
      <c r="E492" s="24">
        <f t="shared" si="81"/>
        <v>1</v>
      </c>
      <c r="F492" s="644"/>
      <c r="G492" s="24">
        <f t="shared" si="82"/>
        <v>1</v>
      </c>
      <c r="H492" s="644"/>
      <c r="I492" s="24">
        <f t="shared" si="83"/>
        <v>1</v>
      </c>
      <c r="J492" s="644"/>
      <c r="K492" s="24">
        <f t="shared" si="84"/>
        <v>1</v>
      </c>
      <c r="L492" s="644"/>
      <c r="M492" s="24">
        <f t="shared" si="85"/>
        <v>1</v>
      </c>
      <c r="N492" s="644"/>
      <c r="O492" s="24">
        <f t="shared" si="86"/>
        <v>1</v>
      </c>
      <c r="P492" s="644"/>
      <c r="Q492" s="24">
        <f t="shared" si="87"/>
        <v>1</v>
      </c>
      <c r="R492" s="24">
        <f t="shared" si="88"/>
        <v>0</v>
      </c>
      <c r="S492" s="314">
        <f t="shared" si="79"/>
        <v>0</v>
      </c>
    </row>
    <row r="493" spans="1:19">
      <c r="A493" s="147"/>
      <c r="B493" s="55"/>
      <c r="C493" s="24">
        <f t="shared" si="80"/>
        <v>1</v>
      </c>
      <c r="D493" s="644"/>
      <c r="E493" s="24">
        <f t="shared" si="81"/>
        <v>1</v>
      </c>
      <c r="F493" s="644"/>
      <c r="G493" s="24">
        <f t="shared" si="82"/>
        <v>1</v>
      </c>
      <c r="H493" s="644"/>
      <c r="I493" s="24">
        <f t="shared" si="83"/>
        <v>1</v>
      </c>
      <c r="J493" s="644"/>
      <c r="K493" s="24">
        <f t="shared" si="84"/>
        <v>1</v>
      </c>
      <c r="L493" s="644"/>
      <c r="M493" s="24">
        <f t="shared" si="85"/>
        <v>1</v>
      </c>
      <c r="N493" s="644"/>
      <c r="O493" s="24">
        <f t="shared" si="86"/>
        <v>1</v>
      </c>
      <c r="P493" s="644"/>
      <c r="Q493" s="24">
        <f t="shared" si="87"/>
        <v>1</v>
      </c>
      <c r="R493" s="24">
        <f t="shared" si="88"/>
        <v>0</v>
      </c>
      <c r="S493" s="314">
        <f t="shared" si="79"/>
        <v>0</v>
      </c>
    </row>
    <row r="494" spans="1:19">
      <c r="A494" s="147"/>
      <c r="B494" s="55"/>
      <c r="C494" s="24">
        <f t="shared" si="80"/>
        <v>1</v>
      </c>
      <c r="D494" s="644"/>
      <c r="E494" s="24">
        <f t="shared" si="81"/>
        <v>1</v>
      </c>
      <c r="F494" s="644"/>
      <c r="G494" s="24">
        <f t="shared" si="82"/>
        <v>1</v>
      </c>
      <c r="H494" s="644"/>
      <c r="I494" s="24">
        <f t="shared" si="83"/>
        <v>1</v>
      </c>
      <c r="J494" s="644"/>
      <c r="K494" s="24">
        <f t="shared" si="84"/>
        <v>1</v>
      </c>
      <c r="L494" s="644"/>
      <c r="M494" s="24">
        <f t="shared" si="85"/>
        <v>1</v>
      </c>
      <c r="N494" s="644"/>
      <c r="O494" s="24">
        <f t="shared" si="86"/>
        <v>1</v>
      </c>
      <c r="P494" s="644"/>
      <c r="Q494" s="24">
        <f t="shared" si="87"/>
        <v>1</v>
      </c>
      <c r="R494" s="24">
        <f t="shared" si="88"/>
        <v>0</v>
      </c>
      <c r="S494" s="314">
        <f t="shared" si="79"/>
        <v>0</v>
      </c>
    </row>
    <row r="495" spans="1:19">
      <c r="A495" s="147"/>
      <c r="B495" s="55"/>
      <c r="C495" s="24">
        <f t="shared" si="80"/>
        <v>1</v>
      </c>
      <c r="D495" s="644"/>
      <c r="E495" s="24">
        <f t="shared" si="81"/>
        <v>1</v>
      </c>
      <c r="F495" s="644"/>
      <c r="G495" s="24">
        <f t="shared" si="82"/>
        <v>1</v>
      </c>
      <c r="H495" s="644"/>
      <c r="I495" s="24">
        <f t="shared" si="83"/>
        <v>1</v>
      </c>
      <c r="J495" s="644"/>
      <c r="K495" s="24">
        <f t="shared" si="84"/>
        <v>1</v>
      </c>
      <c r="L495" s="644"/>
      <c r="M495" s="24">
        <f t="shared" si="85"/>
        <v>1</v>
      </c>
      <c r="N495" s="644"/>
      <c r="O495" s="24">
        <f t="shared" si="86"/>
        <v>1</v>
      </c>
      <c r="P495" s="644"/>
      <c r="Q495" s="24">
        <f t="shared" si="87"/>
        <v>1</v>
      </c>
      <c r="R495" s="24">
        <f t="shared" si="88"/>
        <v>0</v>
      </c>
      <c r="S495" s="314">
        <f t="shared" si="79"/>
        <v>0</v>
      </c>
    </row>
    <row r="496" spans="1:19">
      <c r="A496" s="147"/>
      <c r="B496" s="55"/>
      <c r="C496" s="24">
        <f t="shared" si="80"/>
        <v>1</v>
      </c>
      <c r="D496" s="644"/>
      <c r="E496" s="24">
        <f t="shared" si="81"/>
        <v>1</v>
      </c>
      <c r="F496" s="644"/>
      <c r="G496" s="24">
        <f t="shared" si="82"/>
        <v>1</v>
      </c>
      <c r="H496" s="644"/>
      <c r="I496" s="24">
        <f t="shared" si="83"/>
        <v>1</v>
      </c>
      <c r="J496" s="644"/>
      <c r="K496" s="24">
        <f t="shared" si="84"/>
        <v>1</v>
      </c>
      <c r="L496" s="644"/>
      <c r="M496" s="24">
        <f t="shared" si="85"/>
        <v>1</v>
      </c>
      <c r="N496" s="644"/>
      <c r="O496" s="24">
        <f t="shared" si="86"/>
        <v>1</v>
      </c>
      <c r="P496" s="644"/>
      <c r="Q496" s="24">
        <f t="shared" si="87"/>
        <v>1</v>
      </c>
      <c r="R496" s="24">
        <f t="shared" si="88"/>
        <v>0</v>
      </c>
      <c r="S496" s="314">
        <f t="shared" si="79"/>
        <v>0</v>
      </c>
    </row>
    <row r="497" spans="1:19">
      <c r="A497" s="147"/>
      <c r="B497" s="55"/>
      <c r="C497" s="24">
        <f t="shared" si="80"/>
        <v>1</v>
      </c>
      <c r="D497" s="644"/>
      <c r="E497" s="24">
        <f t="shared" si="81"/>
        <v>1</v>
      </c>
      <c r="F497" s="644"/>
      <c r="G497" s="24">
        <f t="shared" si="82"/>
        <v>1</v>
      </c>
      <c r="H497" s="644"/>
      <c r="I497" s="24">
        <f t="shared" si="83"/>
        <v>1</v>
      </c>
      <c r="J497" s="644"/>
      <c r="K497" s="24">
        <f t="shared" si="84"/>
        <v>1</v>
      </c>
      <c r="L497" s="644"/>
      <c r="M497" s="24">
        <f t="shared" si="85"/>
        <v>1</v>
      </c>
      <c r="N497" s="644"/>
      <c r="O497" s="24">
        <f t="shared" si="86"/>
        <v>1</v>
      </c>
      <c r="P497" s="644"/>
      <c r="Q497" s="24">
        <f t="shared" si="87"/>
        <v>1</v>
      </c>
      <c r="R497" s="24">
        <f t="shared" si="88"/>
        <v>0</v>
      </c>
      <c r="S497" s="314">
        <f t="shared" si="79"/>
        <v>0</v>
      </c>
    </row>
    <row r="498" spans="1:19">
      <c r="A498" s="147"/>
      <c r="B498" s="55"/>
      <c r="C498" s="24">
        <f t="shared" si="80"/>
        <v>1</v>
      </c>
      <c r="D498" s="644"/>
      <c r="E498" s="24">
        <f t="shared" si="81"/>
        <v>1</v>
      </c>
      <c r="F498" s="644"/>
      <c r="G498" s="24">
        <f t="shared" si="82"/>
        <v>1</v>
      </c>
      <c r="H498" s="644"/>
      <c r="I498" s="24">
        <f t="shared" si="83"/>
        <v>1</v>
      </c>
      <c r="J498" s="644"/>
      <c r="K498" s="24">
        <f t="shared" si="84"/>
        <v>1</v>
      </c>
      <c r="L498" s="644"/>
      <c r="M498" s="24">
        <f t="shared" si="85"/>
        <v>1</v>
      </c>
      <c r="N498" s="644"/>
      <c r="O498" s="24">
        <f t="shared" si="86"/>
        <v>1</v>
      </c>
      <c r="P498" s="644"/>
      <c r="Q498" s="24">
        <f t="shared" si="87"/>
        <v>1</v>
      </c>
      <c r="R498" s="24">
        <f t="shared" si="88"/>
        <v>0</v>
      </c>
      <c r="S498" s="314">
        <f t="shared" ref="S498:S524" si="89">ROUND(R498*B498/10000,0)</f>
        <v>0</v>
      </c>
    </row>
    <row r="499" spans="1:19">
      <c r="A499" s="147"/>
      <c r="B499" s="55"/>
      <c r="C499" s="24">
        <f t="shared" si="80"/>
        <v>1</v>
      </c>
      <c r="D499" s="644"/>
      <c r="E499" s="24">
        <f t="shared" si="81"/>
        <v>1</v>
      </c>
      <c r="F499" s="644"/>
      <c r="G499" s="24">
        <f t="shared" si="82"/>
        <v>1</v>
      </c>
      <c r="H499" s="644"/>
      <c r="I499" s="24">
        <f t="shared" si="83"/>
        <v>1</v>
      </c>
      <c r="J499" s="644"/>
      <c r="K499" s="24">
        <f t="shared" si="84"/>
        <v>1</v>
      </c>
      <c r="L499" s="644"/>
      <c r="M499" s="24">
        <f t="shared" si="85"/>
        <v>1</v>
      </c>
      <c r="N499" s="644"/>
      <c r="O499" s="24">
        <f t="shared" si="86"/>
        <v>1</v>
      </c>
      <c r="P499" s="644"/>
      <c r="Q499" s="24">
        <f t="shared" si="87"/>
        <v>1</v>
      </c>
      <c r="R499" s="24">
        <f t="shared" si="88"/>
        <v>0</v>
      </c>
      <c r="S499" s="314">
        <f t="shared" si="89"/>
        <v>0</v>
      </c>
    </row>
    <row r="500" spans="1:19">
      <c r="A500" s="147"/>
      <c r="B500" s="55"/>
      <c r="C500" s="24">
        <f t="shared" si="80"/>
        <v>1</v>
      </c>
      <c r="D500" s="644"/>
      <c r="E500" s="24">
        <f t="shared" si="81"/>
        <v>1</v>
      </c>
      <c r="F500" s="644"/>
      <c r="G500" s="24">
        <f t="shared" si="82"/>
        <v>1</v>
      </c>
      <c r="H500" s="644"/>
      <c r="I500" s="24">
        <f t="shared" si="83"/>
        <v>1</v>
      </c>
      <c r="J500" s="644"/>
      <c r="K500" s="24">
        <f t="shared" si="84"/>
        <v>1</v>
      </c>
      <c r="L500" s="644"/>
      <c r="M500" s="24">
        <f t="shared" si="85"/>
        <v>1</v>
      </c>
      <c r="N500" s="644"/>
      <c r="O500" s="24">
        <f t="shared" si="86"/>
        <v>1</v>
      </c>
      <c r="P500" s="644"/>
      <c r="Q500" s="24">
        <f t="shared" si="87"/>
        <v>1</v>
      </c>
      <c r="R500" s="24">
        <f t="shared" si="88"/>
        <v>0</v>
      </c>
      <c r="S500" s="314">
        <f t="shared" si="89"/>
        <v>0</v>
      </c>
    </row>
    <row r="501" spans="1:19">
      <c r="A501" s="147"/>
      <c r="B501" s="55"/>
      <c r="C501" s="24">
        <f t="shared" si="80"/>
        <v>1</v>
      </c>
      <c r="D501" s="644"/>
      <c r="E501" s="24">
        <f t="shared" si="81"/>
        <v>1</v>
      </c>
      <c r="F501" s="644"/>
      <c r="G501" s="24">
        <f t="shared" si="82"/>
        <v>1</v>
      </c>
      <c r="H501" s="644"/>
      <c r="I501" s="24">
        <f t="shared" si="83"/>
        <v>1</v>
      </c>
      <c r="J501" s="644"/>
      <c r="K501" s="24">
        <f t="shared" si="84"/>
        <v>1</v>
      </c>
      <c r="L501" s="644"/>
      <c r="M501" s="24">
        <f t="shared" si="85"/>
        <v>1</v>
      </c>
      <c r="N501" s="644"/>
      <c r="O501" s="24">
        <f t="shared" si="86"/>
        <v>1</v>
      </c>
      <c r="P501" s="644"/>
      <c r="Q501" s="24">
        <f t="shared" si="87"/>
        <v>1</v>
      </c>
      <c r="R501" s="24">
        <f t="shared" si="88"/>
        <v>0</v>
      </c>
      <c r="S501" s="314">
        <f t="shared" si="89"/>
        <v>0</v>
      </c>
    </row>
    <row r="502" spans="1:19">
      <c r="A502" s="147"/>
      <c r="B502" s="55"/>
      <c r="C502" s="24">
        <f t="shared" si="80"/>
        <v>1</v>
      </c>
      <c r="D502" s="644"/>
      <c r="E502" s="24">
        <f t="shared" si="81"/>
        <v>1</v>
      </c>
      <c r="F502" s="644"/>
      <c r="G502" s="24">
        <f t="shared" si="82"/>
        <v>1</v>
      </c>
      <c r="H502" s="644"/>
      <c r="I502" s="24">
        <f t="shared" si="83"/>
        <v>1</v>
      </c>
      <c r="J502" s="644"/>
      <c r="K502" s="24">
        <f t="shared" si="84"/>
        <v>1</v>
      </c>
      <c r="L502" s="644"/>
      <c r="M502" s="24">
        <f t="shared" si="85"/>
        <v>1</v>
      </c>
      <c r="N502" s="644"/>
      <c r="O502" s="24">
        <f t="shared" si="86"/>
        <v>1</v>
      </c>
      <c r="P502" s="644"/>
      <c r="Q502" s="24">
        <f t="shared" si="87"/>
        <v>1</v>
      </c>
      <c r="R502" s="24">
        <f t="shared" si="88"/>
        <v>0</v>
      </c>
      <c r="S502" s="314">
        <f t="shared" si="89"/>
        <v>0</v>
      </c>
    </row>
    <row r="503" spans="1:19">
      <c r="A503" s="147"/>
      <c r="B503" s="55"/>
      <c r="C503" s="24">
        <f t="shared" si="80"/>
        <v>1</v>
      </c>
      <c r="D503" s="644"/>
      <c r="E503" s="24">
        <f t="shared" si="81"/>
        <v>1</v>
      </c>
      <c r="F503" s="644"/>
      <c r="G503" s="24">
        <f t="shared" si="82"/>
        <v>1</v>
      </c>
      <c r="H503" s="644"/>
      <c r="I503" s="24">
        <f t="shared" si="83"/>
        <v>1</v>
      </c>
      <c r="J503" s="644"/>
      <c r="K503" s="24">
        <f t="shared" si="84"/>
        <v>1</v>
      </c>
      <c r="L503" s="644"/>
      <c r="M503" s="24">
        <f t="shared" si="85"/>
        <v>1</v>
      </c>
      <c r="N503" s="644"/>
      <c r="O503" s="24">
        <f t="shared" si="86"/>
        <v>1</v>
      </c>
      <c r="P503" s="644"/>
      <c r="Q503" s="24">
        <f t="shared" si="87"/>
        <v>1</v>
      </c>
      <c r="R503" s="24">
        <f t="shared" si="88"/>
        <v>0</v>
      </c>
      <c r="S503" s="314">
        <f t="shared" si="89"/>
        <v>0</v>
      </c>
    </row>
    <row r="504" spans="1:19">
      <c r="A504" s="147"/>
      <c r="B504" s="55"/>
      <c r="C504" s="24">
        <f t="shared" si="80"/>
        <v>1</v>
      </c>
      <c r="D504" s="644"/>
      <c r="E504" s="24">
        <f t="shared" si="81"/>
        <v>1</v>
      </c>
      <c r="F504" s="644"/>
      <c r="G504" s="24">
        <f t="shared" si="82"/>
        <v>1</v>
      </c>
      <c r="H504" s="644"/>
      <c r="I504" s="24">
        <f t="shared" si="83"/>
        <v>1</v>
      </c>
      <c r="J504" s="644"/>
      <c r="K504" s="24">
        <f t="shared" si="84"/>
        <v>1</v>
      </c>
      <c r="L504" s="644"/>
      <c r="M504" s="24">
        <f t="shared" si="85"/>
        <v>1</v>
      </c>
      <c r="N504" s="644"/>
      <c r="O504" s="24">
        <f t="shared" si="86"/>
        <v>1</v>
      </c>
      <c r="P504" s="644"/>
      <c r="Q504" s="24">
        <f t="shared" si="87"/>
        <v>1</v>
      </c>
      <c r="R504" s="24">
        <f t="shared" si="88"/>
        <v>0</v>
      </c>
      <c r="S504" s="314">
        <f t="shared" si="89"/>
        <v>0</v>
      </c>
    </row>
    <row r="505" spans="1:19">
      <c r="A505" s="147"/>
      <c r="B505" s="55"/>
      <c r="C505" s="24">
        <f t="shared" si="80"/>
        <v>1</v>
      </c>
      <c r="D505" s="644"/>
      <c r="E505" s="24">
        <f t="shared" si="81"/>
        <v>1</v>
      </c>
      <c r="F505" s="644"/>
      <c r="G505" s="24">
        <f t="shared" si="82"/>
        <v>1</v>
      </c>
      <c r="H505" s="644"/>
      <c r="I505" s="24">
        <f t="shared" si="83"/>
        <v>1</v>
      </c>
      <c r="J505" s="644"/>
      <c r="K505" s="24">
        <f t="shared" si="84"/>
        <v>1</v>
      </c>
      <c r="L505" s="644"/>
      <c r="M505" s="24">
        <f t="shared" si="85"/>
        <v>1</v>
      </c>
      <c r="N505" s="644"/>
      <c r="O505" s="24">
        <f t="shared" si="86"/>
        <v>1</v>
      </c>
      <c r="P505" s="644"/>
      <c r="Q505" s="24">
        <f t="shared" si="87"/>
        <v>1</v>
      </c>
      <c r="R505" s="24">
        <f t="shared" si="88"/>
        <v>0</v>
      </c>
      <c r="S505" s="314">
        <f t="shared" si="89"/>
        <v>0</v>
      </c>
    </row>
    <row r="506" spans="1:19">
      <c r="A506" s="147"/>
      <c r="B506" s="55"/>
      <c r="C506" s="24">
        <f t="shared" si="80"/>
        <v>1</v>
      </c>
      <c r="D506" s="644"/>
      <c r="E506" s="24">
        <f t="shared" si="81"/>
        <v>1</v>
      </c>
      <c r="F506" s="644"/>
      <c r="G506" s="24">
        <f t="shared" si="82"/>
        <v>1</v>
      </c>
      <c r="H506" s="644"/>
      <c r="I506" s="24">
        <f t="shared" si="83"/>
        <v>1</v>
      </c>
      <c r="J506" s="644"/>
      <c r="K506" s="24">
        <f t="shared" si="84"/>
        <v>1</v>
      </c>
      <c r="L506" s="644"/>
      <c r="M506" s="24">
        <f t="shared" si="85"/>
        <v>1</v>
      </c>
      <c r="N506" s="644"/>
      <c r="O506" s="24">
        <f t="shared" si="86"/>
        <v>1</v>
      </c>
      <c r="P506" s="644"/>
      <c r="Q506" s="24">
        <f t="shared" si="87"/>
        <v>1</v>
      </c>
      <c r="R506" s="24">
        <f t="shared" si="88"/>
        <v>0</v>
      </c>
      <c r="S506" s="314">
        <f t="shared" si="89"/>
        <v>0</v>
      </c>
    </row>
    <row r="507" spans="1:19">
      <c r="A507" s="147"/>
      <c r="B507" s="55"/>
      <c r="C507" s="24">
        <f t="shared" si="80"/>
        <v>1</v>
      </c>
      <c r="D507" s="644"/>
      <c r="E507" s="24">
        <f t="shared" si="81"/>
        <v>1</v>
      </c>
      <c r="F507" s="644"/>
      <c r="G507" s="24">
        <f t="shared" si="82"/>
        <v>1</v>
      </c>
      <c r="H507" s="644"/>
      <c r="I507" s="24">
        <f t="shared" si="83"/>
        <v>1</v>
      </c>
      <c r="J507" s="644"/>
      <c r="K507" s="24">
        <f t="shared" si="84"/>
        <v>1</v>
      </c>
      <c r="L507" s="644"/>
      <c r="M507" s="24">
        <f t="shared" si="85"/>
        <v>1</v>
      </c>
      <c r="N507" s="644"/>
      <c r="O507" s="24">
        <f t="shared" si="86"/>
        <v>1</v>
      </c>
      <c r="P507" s="644"/>
      <c r="Q507" s="24">
        <f t="shared" si="87"/>
        <v>1</v>
      </c>
      <c r="R507" s="24">
        <f t="shared" si="88"/>
        <v>0</v>
      </c>
      <c r="S507" s="314">
        <f t="shared" si="89"/>
        <v>0</v>
      </c>
    </row>
    <row r="508" spans="1:19">
      <c r="A508" s="147"/>
      <c r="B508" s="55"/>
      <c r="C508" s="24">
        <f t="shared" si="80"/>
        <v>1</v>
      </c>
      <c r="D508" s="644"/>
      <c r="E508" s="24">
        <f t="shared" si="81"/>
        <v>1</v>
      </c>
      <c r="F508" s="644"/>
      <c r="G508" s="24">
        <f t="shared" si="82"/>
        <v>1</v>
      </c>
      <c r="H508" s="644"/>
      <c r="I508" s="24">
        <f t="shared" si="83"/>
        <v>1</v>
      </c>
      <c r="J508" s="644"/>
      <c r="K508" s="24">
        <f t="shared" si="84"/>
        <v>1</v>
      </c>
      <c r="L508" s="644"/>
      <c r="M508" s="24">
        <f t="shared" si="85"/>
        <v>1</v>
      </c>
      <c r="N508" s="644"/>
      <c r="O508" s="24">
        <f t="shared" si="86"/>
        <v>1</v>
      </c>
      <c r="P508" s="644"/>
      <c r="Q508" s="24">
        <f t="shared" si="87"/>
        <v>1</v>
      </c>
      <c r="R508" s="24">
        <f t="shared" si="88"/>
        <v>0</v>
      </c>
      <c r="S508" s="314">
        <f t="shared" si="89"/>
        <v>0</v>
      </c>
    </row>
    <row r="509" spans="1:19">
      <c r="A509" s="147"/>
      <c r="B509" s="55"/>
      <c r="C509" s="24">
        <f t="shared" si="80"/>
        <v>1</v>
      </c>
      <c r="D509" s="644"/>
      <c r="E509" s="24">
        <f t="shared" si="81"/>
        <v>1</v>
      </c>
      <c r="F509" s="644"/>
      <c r="G509" s="24">
        <f t="shared" si="82"/>
        <v>1</v>
      </c>
      <c r="H509" s="644"/>
      <c r="I509" s="24">
        <f t="shared" si="83"/>
        <v>1</v>
      </c>
      <c r="J509" s="644"/>
      <c r="K509" s="24">
        <f t="shared" si="84"/>
        <v>1</v>
      </c>
      <c r="L509" s="644"/>
      <c r="M509" s="24">
        <f t="shared" si="85"/>
        <v>1</v>
      </c>
      <c r="N509" s="644"/>
      <c r="O509" s="24">
        <f t="shared" si="86"/>
        <v>1</v>
      </c>
      <c r="P509" s="644"/>
      <c r="Q509" s="24">
        <f t="shared" si="87"/>
        <v>1</v>
      </c>
      <c r="R509" s="24">
        <f t="shared" si="88"/>
        <v>0</v>
      </c>
      <c r="S509" s="314">
        <f t="shared" si="89"/>
        <v>0</v>
      </c>
    </row>
    <row r="510" spans="1:19">
      <c r="A510" s="147"/>
      <c r="B510" s="55"/>
      <c r="C510" s="24">
        <f t="shared" si="80"/>
        <v>1</v>
      </c>
      <c r="D510" s="644"/>
      <c r="E510" s="24">
        <f t="shared" si="81"/>
        <v>1</v>
      </c>
      <c r="F510" s="644"/>
      <c r="G510" s="24">
        <f t="shared" si="82"/>
        <v>1</v>
      </c>
      <c r="H510" s="644"/>
      <c r="I510" s="24">
        <f t="shared" si="83"/>
        <v>1</v>
      </c>
      <c r="J510" s="644"/>
      <c r="K510" s="24">
        <f t="shared" si="84"/>
        <v>1</v>
      </c>
      <c r="L510" s="644"/>
      <c r="M510" s="24">
        <f t="shared" si="85"/>
        <v>1</v>
      </c>
      <c r="N510" s="644"/>
      <c r="O510" s="24">
        <f t="shared" si="86"/>
        <v>1</v>
      </c>
      <c r="P510" s="644"/>
      <c r="Q510" s="24">
        <f t="shared" si="87"/>
        <v>1</v>
      </c>
      <c r="R510" s="24">
        <f t="shared" si="88"/>
        <v>0</v>
      </c>
      <c r="S510" s="314">
        <f t="shared" si="89"/>
        <v>0</v>
      </c>
    </row>
    <row r="511" spans="1:19">
      <c r="A511" s="147"/>
      <c r="B511" s="55"/>
      <c r="C511" s="24">
        <f t="shared" si="80"/>
        <v>1</v>
      </c>
      <c r="D511" s="644"/>
      <c r="E511" s="24">
        <f t="shared" si="81"/>
        <v>1</v>
      </c>
      <c r="F511" s="644"/>
      <c r="G511" s="24">
        <f t="shared" si="82"/>
        <v>1</v>
      </c>
      <c r="H511" s="644"/>
      <c r="I511" s="24">
        <f t="shared" si="83"/>
        <v>1</v>
      </c>
      <c r="J511" s="644"/>
      <c r="K511" s="24">
        <f t="shared" si="84"/>
        <v>1</v>
      </c>
      <c r="L511" s="644"/>
      <c r="M511" s="24">
        <f t="shared" si="85"/>
        <v>1</v>
      </c>
      <c r="N511" s="644"/>
      <c r="O511" s="24">
        <f t="shared" si="86"/>
        <v>1</v>
      </c>
      <c r="P511" s="644"/>
      <c r="Q511" s="24">
        <f t="shared" si="87"/>
        <v>1</v>
      </c>
      <c r="R511" s="24">
        <f t="shared" si="88"/>
        <v>0</v>
      </c>
      <c r="S511" s="314">
        <f t="shared" si="89"/>
        <v>0</v>
      </c>
    </row>
    <row r="512" spans="1:19">
      <c r="A512" s="147"/>
      <c r="B512" s="55"/>
      <c r="C512" s="24">
        <f t="shared" si="80"/>
        <v>1</v>
      </c>
      <c r="D512" s="644"/>
      <c r="E512" s="24">
        <f t="shared" si="81"/>
        <v>1</v>
      </c>
      <c r="F512" s="644"/>
      <c r="G512" s="24">
        <f t="shared" si="82"/>
        <v>1</v>
      </c>
      <c r="H512" s="644"/>
      <c r="I512" s="24">
        <f t="shared" si="83"/>
        <v>1</v>
      </c>
      <c r="J512" s="644"/>
      <c r="K512" s="24">
        <f t="shared" si="84"/>
        <v>1</v>
      </c>
      <c r="L512" s="644"/>
      <c r="M512" s="24">
        <f t="shared" si="85"/>
        <v>1</v>
      </c>
      <c r="N512" s="644"/>
      <c r="O512" s="24">
        <f t="shared" si="86"/>
        <v>1</v>
      </c>
      <c r="P512" s="644"/>
      <c r="Q512" s="24">
        <f t="shared" si="87"/>
        <v>1</v>
      </c>
      <c r="R512" s="24">
        <f t="shared" si="88"/>
        <v>0</v>
      </c>
      <c r="S512" s="314">
        <f t="shared" si="89"/>
        <v>0</v>
      </c>
    </row>
    <row r="513" spans="1:19">
      <c r="A513" s="147"/>
      <c r="B513" s="55"/>
      <c r="C513" s="24">
        <f t="shared" si="80"/>
        <v>1</v>
      </c>
      <c r="D513" s="644"/>
      <c r="E513" s="24">
        <f t="shared" si="81"/>
        <v>1</v>
      </c>
      <c r="F513" s="644"/>
      <c r="G513" s="24">
        <f t="shared" si="82"/>
        <v>1</v>
      </c>
      <c r="H513" s="644"/>
      <c r="I513" s="24">
        <f t="shared" si="83"/>
        <v>1</v>
      </c>
      <c r="J513" s="644"/>
      <c r="K513" s="24">
        <f t="shared" si="84"/>
        <v>1</v>
      </c>
      <c r="L513" s="644"/>
      <c r="M513" s="24">
        <f t="shared" si="85"/>
        <v>1</v>
      </c>
      <c r="N513" s="644"/>
      <c r="O513" s="24">
        <f t="shared" si="86"/>
        <v>1</v>
      </c>
      <c r="P513" s="644"/>
      <c r="Q513" s="24">
        <f t="shared" si="87"/>
        <v>1</v>
      </c>
      <c r="R513" s="24">
        <f t="shared" si="88"/>
        <v>0</v>
      </c>
      <c r="S513" s="314">
        <f t="shared" si="89"/>
        <v>0</v>
      </c>
    </row>
    <row r="514" spans="1:19">
      <c r="A514" s="147"/>
      <c r="B514" s="55"/>
      <c r="C514" s="24">
        <f t="shared" si="80"/>
        <v>1</v>
      </c>
      <c r="D514" s="644"/>
      <c r="E514" s="24">
        <f t="shared" si="81"/>
        <v>1</v>
      </c>
      <c r="F514" s="644"/>
      <c r="G514" s="24">
        <f t="shared" si="82"/>
        <v>1</v>
      </c>
      <c r="H514" s="644"/>
      <c r="I514" s="24">
        <f t="shared" si="83"/>
        <v>1</v>
      </c>
      <c r="J514" s="644"/>
      <c r="K514" s="24">
        <f t="shared" si="84"/>
        <v>1</v>
      </c>
      <c r="L514" s="644"/>
      <c r="M514" s="24">
        <f t="shared" si="85"/>
        <v>1</v>
      </c>
      <c r="N514" s="644"/>
      <c r="O514" s="24">
        <f t="shared" si="86"/>
        <v>1</v>
      </c>
      <c r="P514" s="644"/>
      <c r="Q514" s="24">
        <f t="shared" si="87"/>
        <v>1</v>
      </c>
      <c r="R514" s="24">
        <f t="shared" si="88"/>
        <v>0</v>
      </c>
      <c r="S514" s="314">
        <f t="shared" si="89"/>
        <v>0</v>
      </c>
    </row>
    <row r="515" spans="1:19">
      <c r="A515" s="147"/>
      <c r="B515" s="55"/>
      <c r="C515" s="24">
        <f t="shared" si="80"/>
        <v>1</v>
      </c>
      <c r="D515" s="644"/>
      <c r="E515" s="24">
        <f t="shared" si="81"/>
        <v>1</v>
      </c>
      <c r="F515" s="644"/>
      <c r="G515" s="24">
        <f t="shared" si="82"/>
        <v>1</v>
      </c>
      <c r="H515" s="644"/>
      <c r="I515" s="24">
        <f t="shared" si="83"/>
        <v>1</v>
      </c>
      <c r="J515" s="644"/>
      <c r="K515" s="24">
        <f t="shared" si="84"/>
        <v>1</v>
      </c>
      <c r="L515" s="644"/>
      <c r="M515" s="24">
        <f t="shared" si="85"/>
        <v>1</v>
      </c>
      <c r="N515" s="644"/>
      <c r="O515" s="24">
        <f t="shared" si="86"/>
        <v>1</v>
      </c>
      <c r="P515" s="644"/>
      <c r="Q515" s="24">
        <f t="shared" si="87"/>
        <v>1</v>
      </c>
      <c r="R515" s="24">
        <f t="shared" si="88"/>
        <v>0</v>
      </c>
      <c r="S515" s="314">
        <f t="shared" si="89"/>
        <v>0</v>
      </c>
    </row>
    <row r="516" spans="1:19">
      <c r="A516" s="147"/>
      <c r="B516" s="55"/>
      <c r="C516" s="24">
        <f t="shared" si="80"/>
        <v>1</v>
      </c>
      <c r="D516" s="644"/>
      <c r="E516" s="24">
        <f t="shared" si="81"/>
        <v>1</v>
      </c>
      <c r="F516" s="644"/>
      <c r="G516" s="24">
        <f t="shared" si="82"/>
        <v>1</v>
      </c>
      <c r="H516" s="644"/>
      <c r="I516" s="24">
        <f t="shared" si="83"/>
        <v>1</v>
      </c>
      <c r="J516" s="644"/>
      <c r="K516" s="24">
        <f t="shared" si="84"/>
        <v>1</v>
      </c>
      <c r="L516" s="644"/>
      <c r="M516" s="24">
        <f t="shared" si="85"/>
        <v>1</v>
      </c>
      <c r="N516" s="644"/>
      <c r="O516" s="24">
        <f t="shared" si="86"/>
        <v>1</v>
      </c>
      <c r="P516" s="644"/>
      <c r="Q516" s="24">
        <f t="shared" si="87"/>
        <v>1</v>
      </c>
      <c r="R516" s="24">
        <f t="shared" si="88"/>
        <v>0</v>
      </c>
      <c r="S516" s="314">
        <f t="shared" si="89"/>
        <v>0</v>
      </c>
    </row>
    <row r="517" spans="1:19">
      <c r="A517" s="147"/>
      <c r="B517" s="55"/>
      <c r="C517" s="24">
        <f t="shared" si="80"/>
        <v>1</v>
      </c>
      <c r="D517" s="644"/>
      <c r="E517" s="24">
        <f t="shared" si="81"/>
        <v>1</v>
      </c>
      <c r="F517" s="644"/>
      <c r="G517" s="24">
        <f t="shared" si="82"/>
        <v>1</v>
      </c>
      <c r="H517" s="644"/>
      <c r="I517" s="24">
        <f t="shared" si="83"/>
        <v>1</v>
      </c>
      <c r="J517" s="644"/>
      <c r="K517" s="24">
        <f t="shared" si="84"/>
        <v>1</v>
      </c>
      <c r="L517" s="644"/>
      <c r="M517" s="24">
        <f t="shared" si="85"/>
        <v>1</v>
      </c>
      <c r="N517" s="644"/>
      <c r="O517" s="24">
        <f t="shared" si="86"/>
        <v>1</v>
      </c>
      <c r="P517" s="644"/>
      <c r="Q517" s="24">
        <f t="shared" si="87"/>
        <v>1</v>
      </c>
      <c r="R517" s="24">
        <f t="shared" si="88"/>
        <v>0</v>
      </c>
      <c r="S517" s="314">
        <f t="shared" si="89"/>
        <v>0</v>
      </c>
    </row>
    <row r="518" spans="1:19">
      <c r="A518" s="147"/>
      <c r="B518" s="55"/>
      <c r="C518" s="24">
        <f t="shared" si="80"/>
        <v>1</v>
      </c>
      <c r="D518" s="644"/>
      <c r="E518" s="24">
        <f t="shared" si="81"/>
        <v>1</v>
      </c>
      <c r="F518" s="644"/>
      <c r="G518" s="24">
        <f t="shared" si="82"/>
        <v>1</v>
      </c>
      <c r="H518" s="644"/>
      <c r="I518" s="24">
        <f t="shared" si="83"/>
        <v>1</v>
      </c>
      <c r="J518" s="644"/>
      <c r="K518" s="24">
        <f t="shared" si="84"/>
        <v>1</v>
      </c>
      <c r="L518" s="644"/>
      <c r="M518" s="24">
        <f t="shared" si="85"/>
        <v>1</v>
      </c>
      <c r="N518" s="644"/>
      <c r="O518" s="24">
        <f t="shared" si="86"/>
        <v>1</v>
      </c>
      <c r="P518" s="644"/>
      <c r="Q518" s="24">
        <f t="shared" si="87"/>
        <v>1</v>
      </c>
      <c r="R518" s="24">
        <f t="shared" si="88"/>
        <v>0</v>
      </c>
      <c r="S518" s="314">
        <f t="shared" si="89"/>
        <v>0</v>
      </c>
    </row>
    <row r="519" spans="1:19">
      <c r="A519" s="147"/>
      <c r="B519" s="55"/>
      <c r="C519" s="24">
        <f t="shared" si="80"/>
        <v>1</v>
      </c>
      <c r="D519" s="644"/>
      <c r="E519" s="24">
        <f t="shared" si="81"/>
        <v>1</v>
      </c>
      <c r="F519" s="644"/>
      <c r="G519" s="24">
        <f t="shared" si="82"/>
        <v>1</v>
      </c>
      <c r="H519" s="644"/>
      <c r="I519" s="24">
        <f t="shared" si="83"/>
        <v>1</v>
      </c>
      <c r="J519" s="644"/>
      <c r="K519" s="24">
        <f t="shared" si="84"/>
        <v>1</v>
      </c>
      <c r="L519" s="644"/>
      <c r="M519" s="24">
        <f t="shared" si="85"/>
        <v>1</v>
      </c>
      <c r="N519" s="644"/>
      <c r="O519" s="24">
        <f t="shared" si="86"/>
        <v>1</v>
      </c>
      <c r="P519" s="644"/>
      <c r="Q519" s="24">
        <f t="shared" si="87"/>
        <v>1</v>
      </c>
      <c r="R519" s="24">
        <f t="shared" si="88"/>
        <v>0</v>
      </c>
      <c r="S519" s="314">
        <f t="shared" si="89"/>
        <v>0</v>
      </c>
    </row>
    <row r="520" spans="1:19">
      <c r="A520" s="147"/>
      <c r="B520" s="55"/>
      <c r="C520" s="24">
        <f t="shared" si="80"/>
        <v>1</v>
      </c>
      <c r="D520" s="644"/>
      <c r="E520" s="24">
        <f t="shared" si="81"/>
        <v>1</v>
      </c>
      <c r="F520" s="644"/>
      <c r="G520" s="24">
        <f t="shared" si="82"/>
        <v>1</v>
      </c>
      <c r="H520" s="644"/>
      <c r="I520" s="24">
        <f t="shared" si="83"/>
        <v>1</v>
      </c>
      <c r="J520" s="644"/>
      <c r="K520" s="24">
        <f t="shared" si="84"/>
        <v>1</v>
      </c>
      <c r="L520" s="644"/>
      <c r="M520" s="24">
        <f t="shared" si="85"/>
        <v>1</v>
      </c>
      <c r="N520" s="644"/>
      <c r="O520" s="24">
        <f t="shared" si="86"/>
        <v>1</v>
      </c>
      <c r="P520" s="644"/>
      <c r="Q520" s="24">
        <f t="shared" si="87"/>
        <v>1</v>
      </c>
      <c r="R520" s="24">
        <f t="shared" si="88"/>
        <v>0</v>
      </c>
      <c r="S520" s="314">
        <f t="shared" si="89"/>
        <v>0</v>
      </c>
    </row>
    <row r="521" spans="1:19">
      <c r="A521" s="147"/>
      <c r="B521" s="55"/>
      <c r="C521" s="24">
        <f t="shared" si="80"/>
        <v>1</v>
      </c>
      <c r="D521" s="644"/>
      <c r="E521" s="24">
        <f t="shared" si="81"/>
        <v>1</v>
      </c>
      <c r="F521" s="644"/>
      <c r="G521" s="24">
        <f t="shared" si="82"/>
        <v>1</v>
      </c>
      <c r="H521" s="644"/>
      <c r="I521" s="24">
        <f t="shared" si="83"/>
        <v>1</v>
      </c>
      <c r="J521" s="644"/>
      <c r="K521" s="24">
        <f t="shared" si="84"/>
        <v>1</v>
      </c>
      <c r="L521" s="644"/>
      <c r="M521" s="24">
        <f t="shared" si="85"/>
        <v>1</v>
      </c>
      <c r="N521" s="644"/>
      <c r="O521" s="24">
        <f t="shared" si="86"/>
        <v>1</v>
      </c>
      <c r="P521" s="644"/>
      <c r="Q521" s="24">
        <f t="shared" si="87"/>
        <v>1</v>
      </c>
      <c r="R521" s="24">
        <f t="shared" si="88"/>
        <v>0</v>
      </c>
      <c r="S521" s="314">
        <f t="shared" si="89"/>
        <v>0</v>
      </c>
    </row>
    <row r="522" spans="1:19">
      <c r="A522" s="147"/>
      <c r="B522" s="55"/>
      <c r="C522" s="24">
        <f t="shared" si="80"/>
        <v>1</v>
      </c>
      <c r="D522" s="644"/>
      <c r="E522" s="24">
        <f t="shared" si="81"/>
        <v>1</v>
      </c>
      <c r="F522" s="644"/>
      <c r="G522" s="24">
        <f t="shared" si="82"/>
        <v>1</v>
      </c>
      <c r="H522" s="644"/>
      <c r="I522" s="24">
        <f t="shared" si="83"/>
        <v>1</v>
      </c>
      <c r="J522" s="644"/>
      <c r="K522" s="24">
        <f t="shared" si="84"/>
        <v>1</v>
      </c>
      <c r="L522" s="644"/>
      <c r="M522" s="24">
        <f t="shared" si="85"/>
        <v>1</v>
      </c>
      <c r="N522" s="644"/>
      <c r="O522" s="24">
        <f t="shared" si="86"/>
        <v>1</v>
      </c>
      <c r="P522" s="644"/>
      <c r="Q522" s="24">
        <f t="shared" si="87"/>
        <v>1</v>
      </c>
      <c r="R522" s="24">
        <f t="shared" si="88"/>
        <v>0</v>
      </c>
      <c r="S522" s="314">
        <f t="shared" si="89"/>
        <v>0</v>
      </c>
    </row>
    <row r="523" spans="1:19">
      <c r="A523" s="147"/>
      <c r="B523" s="55"/>
      <c r="C523" s="24">
        <f t="shared" si="80"/>
        <v>1</v>
      </c>
      <c r="D523" s="644"/>
      <c r="E523" s="24">
        <f t="shared" si="81"/>
        <v>1</v>
      </c>
      <c r="F523" s="644"/>
      <c r="G523" s="24">
        <f t="shared" si="82"/>
        <v>1</v>
      </c>
      <c r="H523" s="644"/>
      <c r="I523" s="24">
        <f t="shared" si="83"/>
        <v>1</v>
      </c>
      <c r="J523" s="644"/>
      <c r="K523" s="24">
        <f t="shared" si="84"/>
        <v>1</v>
      </c>
      <c r="L523" s="644"/>
      <c r="M523" s="24">
        <f t="shared" si="85"/>
        <v>1</v>
      </c>
      <c r="N523" s="644"/>
      <c r="O523" s="24">
        <f t="shared" si="86"/>
        <v>1</v>
      </c>
      <c r="P523" s="644"/>
      <c r="Q523" s="24">
        <f t="shared" si="87"/>
        <v>1</v>
      </c>
      <c r="R523" s="24">
        <f t="shared" si="88"/>
        <v>0</v>
      </c>
      <c r="S523" s="314">
        <f t="shared" si="89"/>
        <v>0</v>
      </c>
    </row>
    <row r="524" spans="1:19">
      <c r="A524" s="147"/>
      <c r="B524" s="55"/>
      <c r="C524" s="24">
        <f t="shared" si="80"/>
        <v>1</v>
      </c>
      <c r="D524" s="644"/>
      <c r="E524" s="24">
        <f t="shared" si="81"/>
        <v>1</v>
      </c>
      <c r="F524" s="644"/>
      <c r="G524" s="24">
        <f t="shared" si="82"/>
        <v>1</v>
      </c>
      <c r="H524" s="644"/>
      <c r="I524" s="24">
        <f t="shared" si="83"/>
        <v>1</v>
      </c>
      <c r="J524" s="644"/>
      <c r="K524" s="24">
        <f t="shared" si="84"/>
        <v>1</v>
      </c>
      <c r="L524" s="644"/>
      <c r="M524" s="24">
        <f t="shared" si="85"/>
        <v>1</v>
      </c>
      <c r="N524" s="644"/>
      <c r="O524" s="24">
        <f t="shared" si="86"/>
        <v>1</v>
      </c>
      <c r="P524" s="644"/>
      <c r="Q524" s="24">
        <f t="shared" si="87"/>
        <v>1</v>
      </c>
      <c r="R524" s="24">
        <f t="shared" si="88"/>
        <v>0</v>
      </c>
      <c r="S524" s="314">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28819</v>
      </c>
      <c r="C2" s="2" t="s">
        <v>133</v>
      </c>
      <c r="D2" s="197"/>
      <c r="E2" s="197"/>
      <c r="F2" s="197"/>
      <c r="G2" s="197"/>
    </row>
    <row r="3" spans="1:7" s="198" customFormat="1" ht="18" customHeight="1" thickBot="1">
      <c r="A3" s="201" t="s">
        <v>85</v>
      </c>
      <c r="B3" s="202">
        <f ca="1">ROUND(B2*10000/'数据-汇总表'!E3,0)</f>
        <v>283094</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160</v>
      </c>
      <c r="F9" s="219"/>
      <c r="G9" s="224"/>
    </row>
    <row r="10" spans="1:7" s="212" customFormat="1" ht="13.5" customHeight="1">
      <c r="A10" s="817" t="s">
        <v>620</v>
      </c>
      <c r="B10" s="222" t="s">
        <v>94</v>
      </c>
      <c r="C10" s="223">
        <f>ROUND(D10*E10/10000,0)</f>
        <v>20</v>
      </c>
      <c r="D10" s="880">
        <f>'数据-汇总表'!E6</f>
        <v>1018</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20</v>
      </c>
      <c r="D19" s="210">
        <f>'数据-汇总表'!E3</f>
        <v>1018</v>
      </c>
      <c r="E19" s="209">
        <f>'数据-取费表'!B31</f>
        <v>200</v>
      </c>
      <c r="F19" s="229"/>
      <c r="G19" s="1" t="s">
        <v>861</v>
      </c>
    </row>
    <row r="20" spans="1:7" s="212" customFormat="1" ht="13.5" customHeight="1">
      <c r="A20" s="815" t="s">
        <v>844</v>
      </c>
      <c r="B20" s="208" t="s">
        <v>104</v>
      </c>
      <c r="C20" s="230">
        <f>ROUND((C5+C19)*F20,0)</f>
        <v>413</v>
      </c>
      <c r="D20" s="230"/>
      <c r="E20" s="230"/>
      <c r="F20" s="231">
        <f>'数据-取费表'!B37</f>
        <v>0.02</v>
      </c>
      <c r="G20" s="1112" t="s">
        <v>855</v>
      </c>
    </row>
    <row r="21" spans="1:7" s="212" customFormat="1" ht="13.5" customHeight="1">
      <c r="A21" s="815" t="s">
        <v>846</v>
      </c>
      <c r="B21" s="208" t="s">
        <v>105</v>
      </c>
      <c r="C21" s="233">
        <f>F21</f>
        <v>0.03</v>
      </c>
      <c r="D21" s="234" t="s">
        <v>126</v>
      </c>
      <c r="E21" s="230"/>
      <c r="F21" s="231">
        <f>'数据-取费表'!B38</f>
        <v>0.03</v>
      </c>
      <c r="G21" s="232" t="s">
        <v>106</v>
      </c>
    </row>
    <row r="22" spans="1:7" s="212" customFormat="1" ht="13.5" customHeight="1">
      <c r="A22" s="815" t="s">
        <v>605</v>
      </c>
      <c r="B22" s="208" t="s">
        <v>107</v>
      </c>
      <c r="C22" s="1149">
        <f ca="1">ROUND(SUM(C23:C25),0)</f>
        <v>2026</v>
      </c>
      <c r="D22" s="233">
        <f ca="1">C26</f>
        <v>1.4E-3</v>
      </c>
      <c r="E22" s="234" t="s">
        <v>126</v>
      </c>
      <c r="F22" s="235">
        <f ca="1">'数据-取费表'!B40</f>
        <v>4.7500000000000001E-2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2004</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2</v>
      </c>
      <c r="D24" s="236"/>
      <c r="E24" s="236"/>
      <c r="F24" s="237"/>
      <c r="G24" s="238" t="s">
        <v>109</v>
      </c>
    </row>
    <row r="25" spans="1:7" s="212" customFormat="1" ht="24">
      <c r="A25" s="818" t="s">
        <v>612</v>
      </c>
      <c r="B25" s="213" t="s">
        <v>845</v>
      </c>
      <c r="C25" s="1150">
        <f ca="1">ROUND(IF('数据-取费表'!B22&lt;=1,C20*F22*'数据-取费表'!B23/2,C20*(POWER((1+F22),'数据-取费表'!B23/2)-1)),0)</f>
        <v>20</v>
      </c>
      <c r="D25" s="236"/>
      <c r="E25" s="239"/>
      <c r="F25" s="237"/>
      <c r="G25" s="240" t="s">
        <v>110</v>
      </c>
    </row>
    <row r="26" spans="1:7" s="212" customFormat="1">
      <c r="A26" s="818" t="s">
        <v>614</v>
      </c>
      <c r="B26" s="213" t="s">
        <v>847</v>
      </c>
      <c r="C26" s="236">
        <f ca="1">ROUND(IF('数据-取费表'!B22&lt;=1,F21*F22*'数据-取费表'!B23/2,F21*(POWER((1+F22),'数据-取费表'!B23/2)-1)),4)</f>
        <v>1.4E-3</v>
      </c>
      <c r="D26" s="236"/>
      <c r="E26" s="239"/>
      <c r="F26" s="237"/>
      <c r="G26" s="241"/>
    </row>
    <row r="27" spans="1:7" s="212" customFormat="1" ht="24.75">
      <c r="A27" s="815" t="s">
        <v>606</v>
      </c>
      <c r="B27" s="242" t="s">
        <v>112</v>
      </c>
      <c r="C27" s="243">
        <f>C28</f>
        <v>2736</v>
      </c>
      <c r="D27" s="233">
        <f>C29</f>
        <v>3.8999999999999998E-3</v>
      </c>
      <c r="E27" s="234" t="s">
        <v>126</v>
      </c>
      <c r="F27" s="244">
        <f>'数据-取费表'!Q16</f>
        <v>0.13</v>
      </c>
      <c r="G27" s="245" t="s">
        <v>856</v>
      </c>
    </row>
    <row r="28" spans="1:7" s="212" customFormat="1" ht="13.5" customHeight="1">
      <c r="A28" s="818" t="s">
        <v>613</v>
      </c>
      <c r="B28" s="246" t="s">
        <v>849</v>
      </c>
      <c r="C28" s="247">
        <f>ROUND((C5+C19+C20)*F27*'数据-取费表'!B21/'数据-取费表'!B20,0)</f>
        <v>2736</v>
      </c>
      <c r="D28" s="233"/>
      <c r="E28" s="234"/>
      <c r="F28" s="244"/>
      <c r="G28" s="245"/>
    </row>
    <row r="29" spans="1:7" s="212" customFormat="1" ht="13.5" customHeight="1">
      <c r="A29" s="818" t="s">
        <v>611</v>
      </c>
      <c r="B29" s="246" t="s">
        <v>850</v>
      </c>
      <c r="C29" s="236">
        <f>ROUND(C21*F27*'数据-取费表'!B21/'数据-取费表'!B20,4)</f>
        <v>3.8999999999999998E-3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28315</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456</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407</v>
      </c>
      <c r="D34" s="215"/>
      <c r="E34" s="218"/>
      <c r="F34" s="255">
        <f>IF('数据-取费表'!B24=0,1,'数据-取费表'!N16)</f>
        <v>1</v>
      </c>
      <c r="G34" s="217" t="s">
        <v>116</v>
      </c>
    </row>
    <row r="35" spans="1:7" ht="13.5" customHeight="1">
      <c r="A35" s="818" t="s">
        <v>615</v>
      </c>
      <c r="B35" s="213" t="s">
        <v>60</v>
      </c>
      <c r="C35" s="218">
        <f>ROUND(C34*F35,0)</f>
        <v>12</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31</v>
      </c>
      <c r="D37" s="215">
        <f>'数据-汇总表'!E3</f>
        <v>1018</v>
      </c>
      <c r="E37" s="247">
        <f>'数据-取费表'!B35</f>
        <v>300</v>
      </c>
      <c r="F37" s="257"/>
      <c r="G37" s="259" t="s">
        <v>119</v>
      </c>
    </row>
    <row r="38" spans="1:7" ht="13.5" customHeight="1">
      <c r="A38" s="818" t="s">
        <v>618</v>
      </c>
      <c r="B38" s="213" t="s">
        <v>63</v>
      </c>
      <c r="C38" s="218">
        <f>ROUND(C34*F38,0)</f>
        <v>6</v>
      </c>
      <c r="D38" s="218"/>
      <c r="E38" s="218"/>
      <c r="F38" s="257">
        <f>'数据-取费表'!B36</f>
        <v>1.4999999999999999E-2</v>
      </c>
      <c r="G38" s="217" t="s">
        <v>117</v>
      </c>
    </row>
    <row r="39" spans="1:7" s="212" customFormat="1" ht="13.5" customHeight="1">
      <c r="A39" s="815" t="s">
        <v>602</v>
      </c>
      <c r="B39" s="208" t="s">
        <v>104</v>
      </c>
      <c r="C39" s="230">
        <f>ROUND(C33*F20,0)</f>
        <v>9</v>
      </c>
      <c r="D39" s="230"/>
      <c r="E39" s="230"/>
      <c r="F39" s="231"/>
      <c r="G39" s="1112" t="s">
        <v>858</v>
      </c>
    </row>
    <row r="40" spans="1:7" s="212" customFormat="1" ht="13.5" customHeight="1">
      <c r="A40" s="815" t="s">
        <v>603</v>
      </c>
      <c r="B40" s="208" t="s">
        <v>105</v>
      </c>
      <c r="C40" s="260">
        <f>F21</f>
        <v>0.03</v>
      </c>
      <c r="D40" s="234" t="s">
        <v>129</v>
      </c>
      <c r="E40" s="230"/>
      <c r="F40" s="231"/>
      <c r="G40" s="232" t="s">
        <v>120</v>
      </c>
    </row>
    <row r="41" spans="1:7" s="212" customFormat="1" ht="13.5" customHeight="1">
      <c r="A41" s="815" t="s">
        <v>604</v>
      </c>
      <c r="B41" s="208" t="s">
        <v>107</v>
      </c>
      <c r="C41" s="230">
        <f ca="1">ROUND(SUM(C42:C43),0)</f>
        <v>22</v>
      </c>
      <c r="D41" s="233">
        <f ca="1">C44</f>
        <v>1.4E-3</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22</v>
      </c>
      <c r="D42" s="236"/>
      <c r="E42" s="236"/>
      <c r="F42" s="237"/>
      <c r="G42" s="3220" t="s">
        <v>121</v>
      </c>
    </row>
    <row r="43" spans="1:7" ht="13.5" customHeight="1">
      <c r="A43" s="818" t="s">
        <v>611</v>
      </c>
      <c r="B43" s="213" t="s">
        <v>851</v>
      </c>
      <c r="C43" s="236">
        <f ca="1">ROUND(IF('数据-取费表'!B22&lt;=1,C39*F22*'数据-取费表'!B21/2,C39*(POWER((1+F22),'数据-取费表'!B21/2)-1)),0)</f>
        <v>0</v>
      </c>
      <c r="D43" s="236"/>
      <c r="E43" s="236"/>
      <c r="F43" s="237"/>
      <c r="G43" s="3221"/>
    </row>
    <row r="44" spans="1:7" ht="13.5" customHeight="1">
      <c r="A44" s="818" t="s">
        <v>612</v>
      </c>
      <c r="B44" s="213" t="s">
        <v>853</v>
      </c>
      <c r="C44" s="236">
        <f ca="1">ROUND(IF('数据-取费表'!B22&lt;=1,C40*F22*'数据-取费表'!B21/2,C40*(POWER((1+F22),'数据-取费表'!B21/2)-1)),4)</f>
        <v>1.4E-3</v>
      </c>
      <c r="D44" s="236"/>
      <c r="E44" s="236"/>
      <c r="F44" s="237"/>
      <c r="G44" s="3222"/>
    </row>
    <row r="45" spans="1:7" s="212" customFormat="1" ht="13.5" customHeight="1">
      <c r="A45" s="815" t="s">
        <v>605</v>
      </c>
      <c r="B45" s="242" t="s">
        <v>112</v>
      </c>
      <c r="C45" s="243">
        <f>C46</f>
        <v>60</v>
      </c>
      <c r="D45" s="233">
        <f>C47</f>
        <v>3.8999999999999998E-3</v>
      </c>
      <c r="E45" s="234" t="s">
        <v>129</v>
      </c>
      <c r="F45" s="244"/>
      <c r="G45" s="245" t="s">
        <v>859</v>
      </c>
    </row>
    <row r="46" spans="1:7" s="212" customFormat="1" ht="13.5" customHeight="1">
      <c r="A46" s="818" t="s">
        <v>613</v>
      </c>
      <c r="B46" s="246" t="s">
        <v>852</v>
      </c>
      <c r="C46" s="247">
        <f>ROUND((C33+C39)*F27,0)</f>
        <v>60</v>
      </c>
      <c r="D46" s="261"/>
      <c r="E46" s="234"/>
      <c r="F46" s="244"/>
      <c r="G46" s="245"/>
    </row>
    <row r="47" spans="1:7" s="212" customFormat="1" ht="13.5" customHeight="1">
      <c r="A47" s="818" t="s">
        <v>611</v>
      </c>
      <c r="B47" s="246" t="s">
        <v>854</v>
      </c>
      <c r="C47" s="236">
        <f>ROUND(C40*F27,4)</f>
        <v>3.8999999999999998E-3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600</v>
      </c>
      <c r="D49" s="230"/>
      <c r="E49" s="230"/>
      <c r="F49" s="262"/>
      <c r="G49" s="232" t="s">
        <v>860</v>
      </c>
    </row>
    <row r="50" spans="1:7" s="256" customFormat="1" ht="24">
      <c r="A50" s="815" t="s">
        <v>608</v>
      </c>
      <c r="B50" s="208" t="s">
        <v>124</v>
      </c>
      <c r="C50" s="230"/>
      <c r="D50" s="230"/>
      <c r="E50" s="230"/>
      <c r="F50" s="262">
        <f>IF('数据-取费表'!B24=0,'数据-取费表'!N16,1)</f>
        <v>0.84</v>
      </c>
      <c r="G50" s="245" t="s">
        <v>125</v>
      </c>
    </row>
    <row r="51" spans="1:7" ht="16.5" customHeight="1">
      <c r="A51" s="815" t="s">
        <v>609</v>
      </c>
      <c r="B51" s="208" t="s">
        <v>132</v>
      </c>
      <c r="C51" s="230">
        <f ca="1">ROUND(C49*F50,0)</f>
        <v>504</v>
      </c>
      <c r="D51" s="230"/>
      <c r="E51" s="230"/>
      <c r="F51" s="262"/>
      <c r="G51" s="232" t="s">
        <v>64</v>
      </c>
    </row>
    <row r="52" spans="1:7" s="206" customFormat="1" ht="16.5" thickBot="1">
      <c r="A52" s="263" t="s">
        <v>65</v>
      </c>
      <c r="B52" s="264"/>
      <c r="C52" s="265">
        <f ca="1">C31+C51</f>
        <v>28819</v>
      </c>
      <c r="D52" s="264"/>
      <c r="E52" s="264"/>
      <c r="F52" s="264"/>
      <c r="G52" s="266"/>
    </row>
    <row r="55" spans="1:7" ht="15">
      <c r="B55" s="268" t="s">
        <v>66</v>
      </c>
      <c r="C55" s="269"/>
    </row>
    <row r="56" spans="1:7">
      <c r="B56" s="271" t="s">
        <v>67</v>
      </c>
      <c r="C56" s="272">
        <f ca="1">ROUND(C51/C52,3)</f>
        <v>1.7000000000000001E-2</v>
      </c>
    </row>
    <row r="57" spans="1:7">
      <c r="B57" s="271" t="s">
        <v>68</v>
      </c>
      <c r="C57" s="273">
        <f ca="1">1-C56</f>
        <v>0.98299999999999998</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381" t="s">
        <v>156</v>
      </c>
      <c r="B1" s="3381"/>
      <c r="C1" s="3381"/>
      <c r="D1" s="3381"/>
      <c r="E1" s="3381"/>
      <c r="F1" s="3381"/>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382" t="s">
        <v>169</v>
      </c>
      <c r="B2" s="3382"/>
      <c r="C2" s="3382"/>
      <c r="D2" s="3382"/>
      <c r="E2" s="3382"/>
      <c r="F2" s="3382"/>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83"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84"/>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1364</v>
      </c>
      <c r="B2" s="3039" t="s">
        <v>1365</v>
      </c>
      <c r="C2" s="3039" t="s">
        <v>1366</v>
      </c>
      <c r="D2" s="3039" t="str">
        <f>结果表!D116</f>
        <v>出让国有建设用地使用权价值</v>
      </c>
      <c r="E2" s="3039"/>
      <c r="F2" s="3039" t="str">
        <f>结果表!F116</f>
        <v>在建建筑物价值</v>
      </c>
      <c r="G2" s="3039"/>
      <c r="H2" s="3039" t="str">
        <f>IF(项目基本情况!B9="房地产市场价值","房地产市场价值","房地产价值")</f>
        <v>房地产市场价值</v>
      </c>
      <c r="I2" s="3039"/>
    </row>
    <row r="3" spans="1:9" ht="15">
      <c r="A3" s="3040"/>
      <c r="B3" s="3040"/>
      <c r="C3" s="3040"/>
      <c r="D3" s="886" t="s">
        <v>1361</v>
      </c>
      <c r="E3" s="886" t="s">
        <v>1367</v>
      </c>
      <c r="F3" s="886" t="s">
        <v>1361</v>
      </c>
      <c r="G3" s="886" t="s">
        <v>1362</v>
      </c>
      <c r="H3" s="886" t="s">
        <v>1361</v>
      </c>
      <c r="I3" s="886" t="s">
        <v>1362</v>
      </c>
    </row>
    <row r="4" spans="1:9" ht="15">
      <c r="A4" s="1533" t="str">
        <f>项目基本情况!S2</f>
        <v>北京市房地产</v>
      </c>
      <c r="B4" s="886">
        <f>项目基本情况!C17</f>
        <v>1018</v>
      </c>
      <c r="C4" s="886">
        <f>项目基本情况!C18</f>
        <v>1</v>
      </c>
      <c r="D4" s="886" t="e">
        <f ca="1">结果表!D118</f>
        <v>#REF!</v>
      </c>
      <c r="E4" s="886" t="e">
        <f ca="1">结果表!E118</f>
        <v>#REF!</v>
      </c>
      <c r="F4" s="886" t="e">
        <f ca="1">结果表!F118</f>
        <v>#REF!</v>
      </c>
      <c r="G4" s="886" t="e">
        <f ca="1">结果表!G118</f>
        <v>#REF!</v>
      </c>
      <c r="H4" s="886">
        <f ca="1">结果表!H118</f>
        <v>1417</v>
      </c>
      <c r="I4" s="886">
        <f ca="1">结果表!I118</f>
        <v>55359</v>
      </c>
    </row>
    <row r="5" spans="1:9" ht="30" customHeight="1">
      <c r="A5" s="3040" t="s">
        <v>1363</v>
      </c>
      <c r="B5" s="3040"/>
      <c r="C5" s="3040"/>
      <c r="D5" s="3041" t="e">
        <f ca="1">结果表!D119</f>
        <v>#REF!</v>
      </c>
      <c r="E5" s="3041"/>
      <c r="F5" s="3041" t="e">
        <f ca="1">结果表!F119</f>
        <v>#REF!</v>
      </c>
      <c r="G5" s="3041"/>
      <c r="H5" s="3041" t="str">
        <f ca="1">结果表!H119</f>
        <v>壹仟肆佰壹拾柒万元整</v>
      </c>
      <c r="I5" s="3041"/>
    </row>
    <row r="6" spans="1:9" ht="15.75">
      <c r="A6" s="3042" t="str">
        <f>结果表!A120</f>
        <v/>
      </c>
      <c r="B6" s="3042"/>
      <c r="C6" s="3042"/>
      <c r="D6" s="3042">
        <f>结果表!D120</f>
        <v>0</v>
      </c>
      <c r="E6" s="3042"/>
      <c r="F6" s="3042"/>
      <c r="G6" s="3042"/>
      <c r="H6" s="3042"/>
      <c r="I6" s="3042"/>
    </row>
    <row r="7" spans="1:9" ht="15">
      <c r="A7" s="3040" t="s">
        <v>1363</v>
      </c>
      <c r="B7" s="3040"/>
      <c r="C7" s="3040"/>
      <c r="D7" s="3043" t="str">
        <f>结果表!D121</f>
        <v>零元整</v>
      </c>
      <c r="E7" s="3044"/>
      <c r="F7" s="3044"/>
      <c r="G7" s="3044"/>
      <c r="H7" s="3044"/>
      <c r="I7" s="3045"/>
    </row>
    <row r="8" spans="1:9" ht="15.75">
      <c r="A8" s="3042" t="str">
        <f>结果表!A122</f>
        <v/>
      </c>
      <c r="B8" s="3042"/>
      <c r="C8" s="3042"/>
      <c r="D8" s="3042">
        <f ca="1">结果表!D122</f>
        <v>1417</v>
      </c>
      <c r="E8" s="3042"/>
      <c r="F8" s="3042"/>
      <c r="G8" s="3042"/>
      <c r="H8" s="3042"/>
      <c r="I8" s="3042"/>
    </row>
    <row r="9" spans="1:9" ht="15">
      <c r="A9" s="3040" t="s">
        <v>1363</v>
      </c>
      <c r="B9" s="3040"/>
      <c r="C9" s="3040"/>
      <c r="D9" s="3041" t="str">
        <f ca="1">结果表!D123</f>
        <v>壹仟肆佰壹拾柒万元整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1363</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1363</v>
      </c>
      <c r="B13" s="3046"/>
      <c r="C13" s="3046"/>
      <c r="D13" s="3047" t="e">
        <f>结果表!D127</f>
        <v>#VALUE!</v>
      </c>
      <c r="E13" s="3047"/>
      <c r="F13" s="3047"/>
      <c r="G13" s="3047"/>
      <c r="H13" s="3047"/>
      <c r="I13" s="3047"/>
    </row>
    <row r="14" spans="1:9" ht="15" thickTop="1">
      <c r="A14" s="3048" t="s">
        <v>1368</v>
      </c>
      <c r="B14" s="3048"/>
      <c r="C14" s="3048"/>
      <c r="D14" s="3048"/>
      <c r="E14" s="3048"/>
      <c r="F14" s="3048"/>
      <c r="G14" s="3048"/>
      <c r="H14" s="3048"/>
      <c r="I14" s="3048"/>
    </row>
    <row r="16" spans="1:9" ht="18.75">
      <c r="A16" s="1534" t="s">
        <v>1351</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381" t="s">
        <v>658</v>
      </c>
      <c r="B1" s="3381"/>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2"/>
  <sheetViews>
    <sheetView workbookViewId="0">
      <selection activeCell="D13" sqref="D13"/>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1" customFormat="1" ht="14.25" thickBot="1">
      <c r="A1" s="1325"/>
      <c r="B1" s="1332" t="s">
        <v>1026</v>
      </c>
      <c r="C1" s="1326">
        <f>项目基本情况!D3</f>
        <v>44914</v>
      </c>
      <c r="D1" s="1332" t="s">
        <v>1027</v>
      </c>
      <c r="E1" s="1327">
        <f>'数据-取费表'!B22</f>
        <v>2</v>
      </c>
      <c r="F1" s="1332" t="s">
        <v>1028</v>
      </c>
      <c r="G1" s="1328">
        <f ca="1">INDIRECT("d"&amp;$K$1)/100</f>
        <v>3.6499999999999998E-2</v>
      </c>
      <c r="H1" s="1332" t="s">
        <v>1058</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1029</v>
      </c>
      <c r="E2" s="1272"/>
      <c r="F2" s="1272" t="s">
        <v>1030</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1031</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1032</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1033</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1034</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1035</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1036</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1037</v>
      </c>
      <c r="C10" s="1300"/>
      <c r="D10" s="1300"/>
      <c r="E10" s="1300"/>
      <c r="F10" s="1300"/>
      <c r="G10" s="1300"/>
      <c r="H10" s="1300"/>
      <c r="I10" s="1274"/>
      <c r="J10" s="1274"/>
      <c r="K10" s="1300"/>
      <c r="L10" s="1301" t="s">
        <v>1038</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1039</v>
      </c>
      <c r="C11" s="1305" t="s">
        <v>1040</v>
      </c>
      <c r="D11" s="1306" t="s">
        <v>1041</v>
      </c>
      <c r="E11" s="1307"/>
      <c r="F11" s="1306" t="s">
        <v>1042</v>
      </c>
      <c r="G11" s="1308"/>
      <c r="H11" s="1307"/>
      <c r="I11" s="1306" t="s">
        <v>1043</v>
      </c>
      <c r="J11" s="1307"/>
      <c r="K11" s="1303"/>
      <c r="L11" s="1304" t="s">
        <v>1039</v>
      </c>
      <c r="M11" s="1305" t="s">
        <v>1040</v>
      </c>
      <c r="N11" s="1304" t="s">
        <v>1044</v>
      </c>
      <c r="O11" s="1306" t="s">
        <v>1045</v>
      </c>
      <c r="P11" s="1308"/>
      <c r="Q11" s="1308"/>
      <c r="R11" s="1308"/>
      <c r="S11" s="1308"/>
      <c r="T11" s="1307"/>
      <c r="U11" s="1306" t="s">
        <v>1046</v>
      </c>
      <c r="V11" s="1308"/>
      <c r="W11" s="1307"/>
      <c r="X11" s="1304" t="s">
        <v>1047</v>
      </c>
      <c r="Y11" s="1304" t="s">
        <v>1048</v>
      </c>
      <c r="Z11" s="1304" t="s">
        <v>1049</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1050</v>
      </c>
      <c r="E12" s="1312" t="s">
        <v>1051</v>
      </c>
      <c r="F12" s="1312" t="s">
        <v>1052</v>
      </c>
      <c r="G12" s="1312" t="s">
        <v>1053</v>
      </c>
      <c r="H12" s="1312" t="s">
        <v>1035</v>
      </c>
      <c r="I12" s="1313" t="s">
        <v>1054</v>
      </c>
      <c r="J12" s="1313" t="s">
        <v>1054</v>
      </c>
      <c r="K12" s="1303"/>
      <c r="L12" s="1310"/>
      <c r="M12" s="1311"/>
      <c r="N12" s="1310"/>
      <c r="O12" s="1313" t="s">
        <v>1055</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1056</v>
      </c>
      <c r="C13" s="2742">
        <v>44795</v>
      </c>
      <c r="D13" s="1316">
        <v>3.65</v>
      </c>
      <c r="E13" s="1316">
        <f>D13</f>
        <v>3.65</v>
      </c>
      <c r="F13" s="1316">
        <f>D13</f>
        <v>3.65</v>
      </c>
      <c r="G13" s="1316">
        <f>D13</f>
        <v>3.65</v>
      </c>
      <c r="H13" s="1316">
        <v>4.3</v>
      </c>
      <c r="I13" s="1316"/>
      <c r="J13" s="1316"/>
      <c r="K13" s="1314"/>
      <c r="L13" s="1315" t="s">
        <v>1056</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6"/>
      <c r="M18" s="2745">
        <v>41965</v>
      </c>
      <c r="N18" s="2746">
        <v>0.35</v>
      </c>
      <c r="O18" s="2746">
        <v>2.35</v>
      </c>
      <c r="P18" s="2746">
        <v>2.5499999999999998</v>
      </c>
      <c r="Q18" s="2746">
        <v>2.75</v>
      </c>
      <c r="R18" s="2746">
        <v>3.35</v>
      </c>
      <c r="S18" s="2746">
        <v>4</v>
      </c>
      <c r="T18" s="2746">
        <v>4.75</v>
      </c>
      <c r="U18" s="2747">
        <v>2.35</v>
      </c>
      <c r="V18" s="2747">
        <v>2.5499999999999998</v>
      </c>
      <c r="W18" s="2747">
        <v>2.75</v>
      </c>
      <c r="X18" s="2746"/>
      <c r="Y18" s="2747">
        <v>0.8</v>
      </c>
      <c r="Z18" s="2747">
        <v>1.35</v>
      </c>
    </row>
    <row r="19" spans="1:256" s="2748"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2811</v>
      </c>
      <c r="C21" s="1322">
        <v>43697</v>
      </c>
      <c r="D21" s="2741">
        <v>4.25</v>
      </c>
      <c r="E21" s="2741">
        <v>4.25</v>
      </c>
      <c r="F21" s="2741">
        <v>4.25</v>
      </c>
      <c r="G21" s="2741">
        <v>4.25</v>
      </c>
      <c r="H21" s="2741">
        <v>4.8499999999999996</v>
      </c>
      <c r="I21" s="2741"/>
      <c r="J21" s="2741"/>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3"/>
      <c r="B22" s="2744"/>
      <c r="C22" s="2745">
        <v>42301</v>
      </c>
      <c r="D22" s="2746">
        <v>4.3499999999999996</v>
      </c>
      <c r="E22" s="2746">
        <v>4.3499999999999996</v>
      </c>
      <c r="F22" s="2746">
        <v>4.75</v>
      </c>
      <c r="G22" s="2746">
        <v>4.75</v>
      </c>
      <c r="H22" s="2746">
        <v>4.9000000000000004</v>
      </c>
      <c r="I22" s="2746"/>
      <c r="J22" s="2746"/>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1057</v>
      </c>
      <c r="Y42" s="1320" t="s">
        <v>1057</v>
      </c>
      <c r="Z42" s="1320" t="s">
        <v>1057</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1057</v>
      </c>
      <c r="Y43" s="1320" t="s">
        <v>1057</v>
      </c>
      <c r="Z43" s="1320" t="s">
        <v>1057</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1057</v>
      </c>
      <c r="Y44" s="1320" t="s">
        <v>1057</v>
      </c>
      <c r="Z44" s="1320" t="s">
        <v>1057</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1057</v>
      </c>
      <c r="Y45" s="1320" t="s">
        <v>1057</v>
      </c>
      <c r="Z45" s="1320" t="s">
        <v>1057</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1057</v>
      </c>
      <c r="Y46" s="1320" t="s">
        <v>1057</v>
      </c>
      <c r="Z46" s="1320" t="s">
        <v>1057</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1057</v>
      </c>
      <c r="Y47" s="1320" t="s">
        <v>1057</v>
      </c>
      <c r="Z47" s="1320" t="s">
        <v>1057</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1057</v>
      </c>
      <c r="Y48" s="1320" t="s">
        <v>1057</v>
      </c>
      <c r="Z48" s="1320" t="s">
        <v>1057</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1057</v>
      </c>
      <c r="Y49" s="1320" t="s">
        <v>1057</v>
      </c>
      <c r="Z49" s="1320" t="s">
        <v>1057</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1057</v>
      </c>
      <c r="Y50" s="1320" t="s">
        <v>1057</v>
      </c>
      <c r="Z50" s="1320" t="s">
        <v>1057</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1057</v>
      </c>
      <c r="V51" s="1320" t="s">
        <v>1057</v>
      </c>
      <c r="W51" s="1320" t="s">
        <v>1057</v>
      </c>
      <c r="X51" s="1320" t="s">
        <v>1057</v>
      </c>
      <c r="Y51" s="1320" t="s">
        <v>1057</v>
      </c>
      <c r="Z51" s="1320" t="s">
        <v>1057</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1057</v>
      </c>
      <c r="J64" s="1320" t="s">
        <v>1057</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dimension ref="A1:M17"/>
  <sheetViews>
    <sheetView workbookViewId="0">
      <selection activeCell="K25" sqref="K25"/>
    </sheetView>
  </sheetViews>
  <sheetFormatPr defaultRowHeight="13.5"/>
  <sheetData>
    <row r="1" spans="1:13" ht="28.5">
      <c r="A1" s="1376" t="s">
        <v>1096</v>
      </c>
      <c r="E1" s="1370" t="s">
        <v>1100</v>
      </c>
      <c r="F1" s="1371" t="s">
        <v>1104</v>
      </c>
    </row>
    <row r="2" spans="1:13" ht="20.25">
      <c r="A2" s="1377" t="s">
        <v>1097</v>
      </c>
    </row>
    <row r="3" spans="1:13" ht="16.5">
      <c r="A3" s="1378" t="s">
        <v>1098</v>
      </c>
    </row>
    <row r="4" spans="1:13" ht="14.25">
      <c r="A4" s="1368" t="s">
        <v>1099</v>
      </c>
      <c r="B4" s="1373" t="s">
        <v>1101</v>
      </c>
      <c r="C4" s="1374"/>
      <c r="D4" s="1375"/>
      <c r="E4" s="1373" t="s">
        <v>27</v>
      </c>
      <c r="F4" s="1374"/>
      <c r="G4" s="1375"/>
      <c r="H4" s="1373" t="s">
        <v>1102</v>
      </c>
      <c r="I4" s="1374"/>
      <c r="J4" s="1375"/>
      <c r="K4" s="1373" t="s">
        <v>6</v>
      </c>
      <c r="L4" s="1374"/>
      <c r="M4" s="1375"/>
    </row>
    <row r="5" spans="1:13" ht="14.25">
      <c r="A5" s="1369" t="s">
        <v>1103</v>
      </c>
      <c r="B5" s="1368" t="s">
        <v>1105</v>
      </c>
      <c r="C5" s="1368" t="s">
        <v>1106</v>
      </c>
      <c r="D5" s="1368" t="s">
        <v>1107</v>
      </c>
      <c r="E5" s="1368" t="s">
        <v>1105</v>
      </c>
      <c r="F5" s="1368" t="s">
        <v>1106</v>
      </c>
      <c r="G5" s="1368" t="s">
        <v>1107</v>
      </c>
      <c r="H5" s="1368" t="s">
        <v>1105</v>
      </c>
      <c r="I5" s="1368" t="s">
        <v>1106</v>
      </c>
      <c r="J5" s="1368" t="s">
        <v>1107</v>
      </c>
      <c r="K5" s="1368" t="s">
        <v>1105</v>
      </c>
      <c r="L5" s="1368" t="s">
        <v>1106</v>
      </c>
      <c r="M5" s="1368" t="s">
        <v>1107</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049" t="s">
        <v>1385</v>
      </c>
      <c r="B1" s="3049"/>
      <c r="C1" s="3049"/>
      <c r="D1" s="3049"/>
    </row>
    <row r="2" spans="1:4" ht="18">
      <c r="A2" s="3050" t="s">
        <v>1369</v>
      </c>
      <c r="B2" s="3050"/>
      <c r="C2" s="3050"/>
      <c r="D2" s="3050"/>
    </row>
    <row r="3" spans="1:4" ht="18.75">
      <c r="A3" s="1537" t="s">
        <v>1370</v>
      </c>
      <c r="B3" s="1537" t="s">
        <v>1371</v>
      </c>
      <c r="C3" s="1537" t="s">
        <v>1372</v>
      </c>
      <c r="D3" s="1537" t="s">
        <v>1373</v>
      </c>
    </row>
    <row r="4" spans="1:4" ht="56.25" customHeight="1">
      <c r="A4" s="1538">
        <f>项目基本情况!B4</f>
        <v>0</v>
      </c>
      <c r="B4" s="1539">
        <f>项目基本情况!C4</f>
        <v>0</v>
      </c>
      <c r="C4" s="1540"/>
      <c r="D4" s="1541" t="s">
        <v>1374</v>
      </c>
    </row>
    <row r="5" spans="1:4" ht="56.25" customHeight="1">
      <c r="A5" s="1538">
        <f>项目基本情况!D4</f>
        <v>0</v>
      </c>
      <c r="B5" s="1539">
        <f>项目基本情况!E4</f>
        <v>0</v>
      </c>
      <c r="C5" s="1542"/>
      <c r="D5" s="1541" t="s">
        <v>1374</v>
      </c>
    </row>
    <row r="6" spans="1:4" ht="18">
      <c r="A6" s="3050" t="s">
        <v>1375</v>
      </c>
      <c r="B6" s="3050"/>
      <c r="C6" s="3050"/>
      <c r="D6" s="3050"/>
    </row>
    <row r="7" spans="1:4" ht="18.75">
      <c r="A7" s="1537" t="s">
        <v>1370</v>
      </c>
      <c r="B7" s="1539" t="s">
        <v>1376</v>
      </c>
      <c r="C7" s="1537" t="s">
        <v>1372</v>
      </c>
      <c r="D7" s="1537" t="s">
        <v>1373</v>
      </c>
    </row>
    <row r="8" spans="1:4" ht="56.25" customHeight="1">
      <c r="A8" s="1543" t="s">
        <v>656</v>
      </c>
      <c r="B8" s="1543" t="s">
        <v>1</v>
      </c>
      <c r="C8" s="1540"/>
      <c r="D8" s="1541" t="s">
        <v>1374</v>
      </c>
    </row>
    <row r="10" spans="1:4" ht="18.75">
      <c r="A10" s="1544" t="s">
        <v>1377</v>
      </c>
    </row>
    <row r="11" spans="1:4" ht="30" customHeight="1">
      <c r="A11" s="3051" t="s">
        <v>1378</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3"/>
      <c r="C12" s="3053"/>
      <c r="D12" s="3053"/>
    </row>
    <row r="13" spans="1:4" ht="30" customHeight="1">
      <c r="A13" s="3052" t="str">
        <f>IF(项目基本情况!B8="抵押","3.抵押双方在办理抵押登记手续时，应使用本公司出具的正式《房地产评估报告》，特提醒报告使用者注意。","——")</f>
        <v>——</v>
      </c>
      <c r="B13" s="3053"/>
      <c r="C13" s="3053"/>
      <c r="D13" s="3053"/>
    </row>
    <row r="14" spans="1:4" ht="15.75" customHeight="1">
      <c r="A14" s="3052" t="str">
        <f>IF(项目基本情况!B8="抵押","4.本次评估估价师所知悉的法定优先受偿款情况说明如下：","——")</f>
        <v>——</v>
      </c>
      <c r="B14" s="3053"/>
      <c r="C14" s="3053"/>
      <c r="D14" s="3053"/>
    </row>
    <row r="15" spans="1:4" ht="42" customHeight="1">
      <c r="A15" s="3052" t="str">
        <f>IF(项目基本情况!B8="抵押","（1）"&amp;CONCATENATE(项目基本情况!L20,项目基本情况!L21,项目基本情况!L22),"——")</f>
        <v>——</v>
      </c>
      <c r="B15" s="3052"/>
      <c r="C15" s="3052"/>
      <c r="D15" s="3052"/>
    </row>
    <row r="16" spans="1:4" ht="30" customHeight="1">
      <c r="A16" s="3055" t="s">
        <v>1379</v>
      </c>
      <c r="B16" s="3055"/>
      <c r="C16" s="3055"/>
      <c r="D16" s="3055"/>
    </row>
    <row r="17" spans="1:4" ht="144" customHeight="1">
      <c r="A17" s="3055" t="s">
        <v>1380</v>
      </c>
      <c r="B17" s="3055"/>
      <c r="C17" s="3055"/>
      <c r="D17" s="3055"/>
    </row>
    <row r="18" spans="1:4" ht="15.75" customHeight="1">
      <c r="A18" s="3052" t="str">
        <f>IF(项目基本情况!B8="抵押",结果表!K120,"——")</f>
        <v>——</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6"/>
      <c r="C21" s="3056"/>
      <c r="D21" s="3056"/>
    </row>
    <row r="22" spans="1:4" ht="18.75" customHeight="1">
      <c r="A22" s="3057" t="s">
        <v>1381</v>
      </c>
      <c r="B22" s="3057"/>
      <c r="C22" s="3057"/>
      <c r="D22" s="3057"/>
    </row>
    <row r="23" spans="1:4">
      <c r="A23" s="1545"/>
      <c r="B23" s="467"/>
      <c r="C23" s="467"/>
      <c r="D23" s="467"/>
    </row>
    <row r="24" spans="1:4">
      <c r="A24" s="1545"/>
      <c r="B24" s="467"/>
      <c r="C24" s="467"/>
      <c r="D24" s="467"/>
    </row>
    <row r="25" spans="1:4" ht="18.75">
      <c r="A25" s="1546" t="s">
        <v>1382</v>
      </c>
    </row>
    <row r="26" spans="1:4" ht="18">
      <c r="A26" s="1517"/>
    </row>
    <row r="27" spans="1:4" ht="18.75">
      <c r="A27" s="1517" t="s">
        <v>1383</v>
      </c>
    </row>
    <row r="30" spans="1:4" ht="18.75">
      <c r="D30" s="1546" t="s">
        <v>1384</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1386</v>
      </c>
    </row>
    <row r="3" spans="1:7">
      <c r="A3" s="1550" t="s">
        <v>82</v>
      </c>
      <c r="B3" s="1535" t="s">
        <v>1387</v>
      </c>
      <c r="G3" s="1551"/>
    </row>
    <row r="4" spans="1:7">
      <c r="G4" s="1551"/>
    </row>
    <row r="5" spans="1:7">
      <c r="A5" s="1553" t="s">
        <v>73</v>
      </c>
      <c r="B5" s="1535" t="s">
        <v>1388</v>
      </c>
      <c r="G5" s="1551"/>
    </row>
    <row r="6" spans="1:7">
      <c r="G6" s="1551"/>
    </row>
    <row r="7" spans="1:7">
      <c r="A7" s="1554" t="s">
        <v>135</v>
      </c>
      <c r="B7" s="1535" t="s">
        <v>1389</v>
      </c>
      <c r="G7" s="1551"/>
    </row>
    <row r="8" spans="1:7">
      <c r="G8" s="1551"/>
    </row>
    <row r="9" spans="1:7">
      <c r="A9" s="1555" t="s">
        <v>74</v>
      </c>
      <c r="B9" s="1535" t="s">
        <v>1390</v>
      </c>
    </row>
    <row r="11" spans="1:7">
      <c r="A11" s="1556" t="s">
        <v>75</v>
      </c>
      <c r="B11" s="1557" t="s">
        <v>72</v>
      </c>
    </row>
    <row r="13" spans="1:7">
      <c r="A13" s="1558" t="s">
        <v>1391</v>
      </c>
    </row>
    <row r="15" spans="1:7" ht="13.5">
      <c r="A15" s="3063" t="s">
        <v>1392</v>
      </c>
      <c r="B15" s="3058" t="s">
        <v>136</v>
      </c>
      <c r="C15" s="3059"/>
    </row>
    <row r="16" spans="1:7" ht="13.5">
      <c r="A16" s="3064"/>
      <c r="B16" s="3058" t="s">
        <v>69</v>
      </c>
      <c r="C16" s="3059"/>
    </row>
    <row r="17" spans="1:3" ht="13.5">
      <c r="A17" s="3064"/>
      <c r="B17" s="3061" t="s">
        <v>1393</v>
      </c>
      <c r="C17" s="1559" t="s">
        <v>1392</v>
      </c>
    </row>
    <row r="18" spans="1:3" ht="13.5">
      <c r="A18" s="3064"/>
      <c r="B18" s="3061"/>
      <c r="C18" s="1559" t="s">
        <v>1394</v>
      </c>
    </row>
    <row r="19" spans="1:3" ht="13.5">
      <c r="A19" s="3064"/>
      <c r="B19" s="3061"/>
      <c r="C19" s="1559" t="s">
        <v>1395</v>
      </c>
    </row>
    <row r="20" spans="1:3" ht="13.5">
      <c r="A20" s="3065"/>
      <c r="B20" s="3060" t="s">
        <v>1396</v>
      </c>
      <c r="C20" s="3059"/>
    </row>
    <row r="21" spans="1:3" ht="13.5">
      <c r="A21" s="1560" t="s">
        <v>1397</v>
      </c>
      <c r="B21" s="1561"/>
      <c r="C21" s="1562"/>
    </row>
    <row r="22" spans="1:3" ht="13.5">
      <c r="A22" s="3062" t="s">
        <v>1398</v>
      </c>
      <c r="B22" s="3060" t="s">
        <v>1399</v>
      </c>
      <c r="C22" s="3059"/>
    </row>
    <row r="23" spans="1:3" ht="13.5">
      <c r="A23" s="3062"/>
      <c r="B23" s="3060" t="s">
        <v>1400</v>
      </c>
      <c r="C23" s="3059"/>
    </row>
    <row r="24" spans="1:3" ht="13.5">
      <c r="A24" s="3062"/>
      <c r="B24" s="3060" t="s">
        <v>1401</v>
      </c>
      <c r="C24" s="3059"/>
    </row>
    <row r="25" spans="1:3" ht="13.5">
      <c r="A25" s="3062"/>
      <c r="B25" s="3061" t="s">
        <v>1402</v>
      </c>
      <c r="C25" s="1559" t="s">
        <v>1403</v>
      </c>
    </row>
    <row r="26" spans="1:3" ht="13.5">
      <c r="A26" s="3062"/>
      <c r="B26" s="3061"/>
      <c r="C26" s="1559" t="s">
        <v>1404</v>
      </c>
    </row>
    <row r="27" spans="1:3" ht="13.5">
      <c r="A27" s="3062"/>
      <c r="B27" s="3061"/>
      <c r="C27" s="1559" t="s">
        <v>1405</v>
      </c>
    </row>
    <row r="28" spans="1:3" ht="13.5">
      <c r="A28" s="3062"/>
      <c r="B28" s="3061"/>
      <c r="C28" s="1559" t="s">
        <v>1406</v>
      </c>
    </row>
    <row r="29" spans="1:3" ht="13.5">
      <c r="A29" s="3062"/>
      <c r="B29" s="3061"/>
      <c r="C29" s="1559" t="s">
        <v>1407</v>
      </c>
    </row>
    <row r="30" spans="1:3" ht="13.5">
      <c r="A30" s="3062"/>
      <c r="B30" s="3061"/>
      <c r="C30" s="1559" t="s">
        <v>1408</v>
      </c>
    </row>
    <row r="31" spans="1:3" ht="13.5">
      <c r="A31" s="3062"/>
      <c r="B31" s="3061"/>
      <c r="C31" s="1559" t="s">
        <v>1409</v>
      </c>
    </row>
    <row r="32" spans="1:3" ht="13.5">
      <c r="A32" s="3062"/>
      <c r="B32" s="3061"/>
      <c r="C32" s="1559" t="s">
        <v>1410</v>
      </c>
    </row>
    <row r="33" spans="1:3" ht="13.5">
      <c r="A33" s="3062"/>
      <c r="B33" s="3061"/>
      <c r="C33" s="1559" t="s">
        <v>1411</v>
      </c>
    </row>
    <row r="34" spans="1:3">
      <c r="A34" s="1563" t="s">
        <v>76</v>
      </c>
    </row>
    <row r="37" spans="1:3">
      <c r="A37" s="1563" t="s">
        <v>1412</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2639</v>
      </c>
      <c r="B2" s="2319">
        <f ca="1">TODAY()</f>
        <v>44965</v>
      </c>
      <c r="C2" s="2320" t="s">
        <v>2640</v>
      </c>
      <c r="D2" s="2320"/>
      <c r="E2" s="2320"/>
      <c r="F2" s="2316"/>
      <c r="G2" s="2316"/>
      <c r="H2" s="2316"/>
    </row>
    <row r="3" spans="1:8" ht="24" customHeight="1">
      <c r="A3" s="2321" t="s">
        <v>2641</v>
      </c>
      <c r="B3" s="1334" t="s">
        <v>2642</v>
      </c>
      <c r="C3" s="1334" t="s">
        <v>2643</v>
      </c>
      <c r="D3" s="2322" t="s">
        <v>2644</v>
      </c>
      <c r="E3" s="2323" t="s">
        <v>2645</v>
      </c>
      <c r="F3" s="1334" t="s">
        <v>2646</v>
      </c>
      <c r="G3" s="1334" t="s">
        <v>2643</v>
      </c>
      <c r="H3" s="2322" t="s">
        <v>2647</v>
      </c>
    </row>
    <row r="4" spans="1:8" ht="24" customHeight="1">
      <c r="A4" s="1334" t="s">
        <v>2648</v>
      </c>
      <c r="B4" s="1334" t="str">
        <f ca="1">IF(C4&lt;B2,"已过期",1119970066)</f>
        <v>已过期</v>
      </c>
      <c r="C4" s="2324">
        <v>44876</v>
      </c>
      <c r="D4" s="2325" t="str">
        <f ca="1">A4&amp;"（注册号："&amp;B4&amp;"）"</f>
        <v>梁津（注册号：已过期）</v>
      </c>
      <c r="E4" s="2326" t="s">
        <v>2648</v>
      </c>
      <c r="F4" s="1334">
        <f ca="1">IF(G4&lt;B2,"已过期",96010014)</f>
        <v>96010014</v>
      </c>
      <c r="G4" s="2327">
        <v>47118</v>
      </c>
      <c r="H4" s="2328" t="str">
        <f ca="1">E4&amp;"（注册号："&amp;F4&amp;"）"</f>
        <v>梁津（注册号：96010014）</v>
      </c>
    </row>
    <row r="5" spans="1:8" ht="24" customHeight="1">
      <c r="A5" s="1334" t="s">
        <v>2649</v>
      </c>
      <c r="B5" s="1334" t="str">
        <f ca="1">IF(C5&lt;B2,"已过期",1119970111)</f>
        <v>已过期</v>
      </c>
      <c r="C5" s="2324">
        <v>44876</v>
      </c>
      <c r="D5" s="2325" t="str">
        <f t="shared" ref="D5:D15" ca="1" si="0">A5&amp;"（注册号："&amp;B5&amp;"）"</f>
        <v>叶凌（注册号：已过期）</v>
      </c>
      <c r="E5" s="2326" t="s">
        <v>2649</v>
      </c>
      <c r="F5" s="1334">
        <f ca="1">IF(G5&lt;B2,"已过期",94010078)</f>
        <v>94010078</v>
      </c>
      <c r="G5" s="2327">
        <v>46387</v>
      </c>
      <c r="H5" s="2328" t="str">
        <f t="shared" ref="H5:H16" ca="1" si="1">E5&amp;"（注册号："&amp;F5&amp;"）"</f>
        <v>叶凌（注册号：94010078）</v>
      </c>
    </row>
    <row r="6" spans="1:8" ht="24" customHeight="1">
      <c r="A6" s="1334" t="s">
        <v>2650</v>
      </c>
      <c r="B6" s="1334">
        <f ca="1">IF(C6&lt;B2,"已过期",1120050019)</f>
        <v>1120050019</v>
      </c>
      <c r="C6" s="2324">
        <v>45410</v>
      </c>
      <c r="D6" s="2325" t="str">
        <f t="shared" ca="1" si="0"/>
        <v>王鹏（注册号：1120050019）</v>
      </c>
      <c r="E6" s="2326" t="s">
        <v>2650</v>
      </c>
      <c r="F6" s="1334">
        <f ca="1">IF(G6&lt;B2,"已过期",2002110030)</f>
        <v>2002110030</v>
      </c>
      <c r="G6" s="2327">
        <v>46387</v>
      </c>
      <c r="H6" s="2328" t="str">
        <f t="shared" ca="1" si="1"/>
        <v>王鹏（注册号：2002110030）</v>
      </c>
    </row>
    <row r="7" spans="1:8" ht="24" customHeight="1">
      <c r="A7" s="1334" t="s">
        <v>2651</v>
      </c>
      <c r="B7" s="1334" t="str">
        <f ca="1">IF(C7&lt;B2,"已过期",1120000080)</f>
        <v>已过期</v>
      </c>
      <c r="C7" s="2324">
        <v>44876</v>
      </c>
      <c r="D7" s="2325" t="str">
        <f t="shared" ca="1" si="0"/>
        <v>欧红伟（注册号：已过期）</v>
      </c>
      <c r="E7" s="2326" t="s">
        <v>2651</v>
      </c>
      <c r="F7" s="1334">
        <f ca="1">IF(G7&lt;B2,"已过期",2000110082)</f>
        <v>2000110082</v>
      </c>
      <c r="G7" s="2327">
        <v>46387</v>
      </c>
      <c r="H7" s="2328" t="str">
        <f t="shared" ca="1" si="1"/>
        <v>欧红伟（注册号：2000110082）</v>
      </c>
    </row>
    <row r="8" spans="1:8" ht="24" customHeight="1">
      <c r="A8" s="1334" t="s">
        <v>2652</v>
      </c>
      <c r="B8" s="1334" t="str">
        <f ca="1">IF(C8&lt;B2,"已过期",1419970001)</f>
        <v>已过期</v>
      </c>
      <c r="C8" s="2324">
        <v>44899</v>
      </c>
      <c r="D8" s="2325" t="str">
        <f t="shared" ca="1" si="0"/>
        <v>吴薇（注册号：已过期）</v>
      </c>
      <c r="E8" s="2326" t="s">
        <v>2652</v>
      </c>
      <c r="F8" s="1334">
        <f ca="1">IF(G8&lt;B2,"已过期",2002110125)</f>
        <v>2002110125</v>
      </c>
      <c r="G8" s="2327">
        <v>47118</v>
      </c>
      <c r="H8" s="2328" t="str">
        <f t="shared" ca="1" si="1"/>
        <v>吴薇（注册号：2002110125）</v>
      </c>
    </row>
    <row r="9" spans="1:8" ht="24" customHeight="1">
      <c r="A9" s="1334" t="s">
        <v>2653</v>
      </c>
      <c r="B9" s="1334">
        <f ca="1">IF(C9&lt;B2,"已过期",1120060040)</f>
        <v>1120060040</v>
      </c>
      <c r="C9" s="2329">
        <v>45592</v>
      </c>
      <c r="D9" s="2325" t="str">
        <f t="shared" ca="1" si="0"/>
        <v>陈颖（注册号：1120060040）</v>
      </c>
      <c r="E9" s="2326" t="s">
        <v>2653</v>
      </c>
      <c r="F9" s="1334">
        <f ca="1">IF(G9&lt;B2,"已过期",2004110096)</f>
        <v>2004110096</v>
      </c>
      <c r="G9" s="2327">
        <v>47118</v>
      </c>
      <c r="H9" s="2328" t="str">
        <f t="shared" ca="1" si="1"/>
        <v>陈颖（注册号：2004110096）</v>
      </c>
    </row>
    <row r="10" spans="1:8" ht="24" customHeight="1">
      <c r="A10" s="1334" t="s">
        <v>2654</v>
      </c>
      <c r="B10" s="1334" t="str">
        <f ca="1">IF(C10&lt;B2,"已过期",1120100036)</f>
        <v>已过期</v>
      </c>
      <c r="C10" s="2329">
        <v>44675</v>
      </c>
      <c r="D10" s="2325" t="str">
        <f t="shared" ca="1" si="0"/>
        <v>崔锴（注册号：已过期）</v>
      </c>
      <c r="E10" s="2326" t="s">
        <v>2654</v>
      </c>
      <c r="F10" s="1334">
        <f ca="1">IF(G10&lt;B2,"已过期",2010110070)</f>
        <v>2010110070</v>
      </c>
      <c r="G10" s="2327">
        <v>47907</v>
      </c>
      <c r="H10" s="2328" t="str">
        <f t="shared" ca="1" si="1"/>
        <v>崔锴（注册号：2010110070）</v>
      </c>
    </row>
    <row r="11" spans="1:8" ht="24" customHeight="1">
      <c r="A11" s="1334" t="s">
        <v>2655</v>
      </c>
      <c r="B11" s="1334" t="str">
        <f ca="1">IF(C11&lt;B2,"已过期",1120070131)</f>
        <v>已过期</v>
      </c>
      <c r="C11" s="2324">
        <v>44849</v>
      </c>
      <c r="D11" s="2325" t="str">
        <f t="shared" ca="1" si="0"/>
        <v>郑燚（注册号：已过期）</v>
      </c>
      <c r="E11" s="2326" t="s">
        <v>2655</v>
      </c>
      <c r="F11" s="1334">
        <f ca="1">IF(G11&lt;B2,"已过期",2014110011)</f>
        <v>2014110011</v>
      </c>
      <c r="G11" s="2327">
        <v>49302</v>
      </c>
      <c r="H11" s="2328" t="str">
        <f t="shared" ca="1" si="1"/>
        <v>郑燚（注册号：2014110011）</v>
      </c>
    </row>
    <row r="12" spans="1:8" ht="24" customHeight="1">
      <c r="A12" s="1334" t="s">
        <v>2656</v>
      </c>
      <c r="B12" s="1334" t="str">
        <f ca="1">IF(C12&lt;B2,"已过期",1120040230)</f>
        <v>已过期</v>
      </c>
      <c r="C12" s="2329">
        <v>44864</v>
      </c>
      <c r="D12" s="2325" t="str">
        <f t="shared" ca="1" si="0"/>
        <v>苏海（注册号：已过期）</v>
      </c>
      <c r="E12" s="2326" t="s">
        <v>2656</v>
      </c>
      <c r="F12" s="1334">
        <f ca="1">IF(G12&lt;B2,"已过期",98030020)</f>
        <v>98030020</v>
      </c>
      <c r="G12" s="2327">
        <v>47118</v>
      </c>
      <c r="H12" s="2328" t="str">
        <f t="shared" ca="1" si="1"/>
        <v>苏海（注册号：98030020）</v>
      </c>
    </row>
    <row r="13" spans="1:8" ht="24" customHeight="1">
      <c r="A13" s="1334" t="s">
        <v>2657</v>
      </c>
      <c r="B13" s="1334" t="str">
        <f ca="1">IF(C13&lt;B2,"已过期",1120020033)</f>
        <v>已过期</v>
      </c>
      <c r="C13" s="2324">
        <v>44339</v>
      </c>
      <c r="D13" s="2325" t="str">
        <f t="shared" ca="1" si="0"/>
        <v>刘敬东（注册号：已过期）</v>
      </c>
      <c r="E13" s="2326" t="s">
        <v>2657</v>
      </c>
      <c r="F13" s="1334">
        <f ca="1">IF(G13&lt;B2,"已过期",2000110137)</f>
        <v>2000110137</v>
      </c>
      <c r="G13" s="2327">
        <v>46387</v>
      </c>
      <c r="H13" s="2328" t="str">
        <f t="shared" ca="1" si="1"/>
        <v>刘敬东（注册号：2000110137）</v>
      </c>
    </row>
    <row r="14" spans="1:8" ht="24" customHeight="1">
      <c r="A14" s="1334" t="s">
        <v>2658</v>
      </c>
      <c r="B14" s="1334">
        <f ca="1">IF(C14&lt;B2,"已过期",1119980106)</f>
        <v>1119980106</v>
      </c>
      <c r="C14" s="2329">
        <v>44969</v>
      </c>
      <c r="D14" s="2325" t="str">
        <f t="shared" ca="1" si="0"/>
        <v>刘俊财（注册号：1119980106）</v>
      </c>
      <c r="E14" s="2326" t="s">
        <v>2658</v>
      </c>
      <c r="F14" s="1334">
        <f ca="1">IF(G14&lt;B2,"已过期",96010063)</f>
        <v>96010063</v>
      </c>
      <c r="G14" s="2327">
        <v>47483</v>
      </c>
      <c r="H14" s="2328" t="str">
        <f t="shared" ca="1" si="1"/>
        <v>刘俊财（注册号：96010063）</v>
      </c>
    </row>
    <row r="15" spans="1:8" ht="24" customHeight="1">
      <c r="A15" s="1334" t="s">
        <v>2939</v>
      </c>
      <c r="B15" s="1334">
        <v>1120210056</v>
      </c>
      <c r="C15" s="2329">
        <v>45410</v>
      </c>
      <c r="D15" s="2325" t="str">
        <f t="shared" si="0"/>
        <v>宁小鳗（注册号：1120210056）</v>
      </c>
      <c r="E15" s="2326" t="s">
        <v>2659</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066" t="s">
        <v>2660</v>
      </c>
      <c r="B17" s="3066"/>
      <c r="C17" s="3066"/>
      <c r="D17" s="3066"/>
      <c r="E17" s="3066"/>
      <c r="F17" s="3066"/>
      <c r="G17" s="3066"/>
      <c r="H17" s="3066"/>
    </row>
    <row r="18" spans="1:8" ht="24" customHeight="1">
      <c r="A18" s="3067" t="s">
        <v>2661</v>
      </c>
      <c r="B18" s="3067"/>
      <c r="C18" s="3067"/>
      <c r="D18" s="2322"/>
      <c r="E18" s="3068" t="s">
        <v>2662</v>
      </c>
      <c r="F18" s="3067"/>
      <c r="G18" s="3067"/>
    </row>
    <row r="19" spans="1:8" s="2332" customFormat="1" ht="24" customHeight="1">
      <c r="A19" s="2331" t="s">
        <v>2663</v>
      </c>
      <c r="B19" s="1334" t="s">
        <v>2664</v>
      </c>
      <c r="C19" s="1334" t="s">
        <v>2643</v>
      </c>
      <c r="D19" s="2322"/>
      <c r="E19" s="2326" t="s">
        <v>2663</v>
      </c>
      <c r="F19" s="1334" t="s">
        <v>2664</v>
      </c>
      <c r="G19" s="1334" t="s">
        <v>2643</v>
      </c>
    </row>
    <row r="20" spans="1:8" s="2332" customFormat="1" ht="24" customHeight="1">
      <c r="A20" s="2333" t="s">
        <v>2665</v>
      </c>
      <c r="B20" s="2333" t="s">
        <v>2666</v>
      </c>
      <c r="C20" s="2327">
        <v>44820</v>
      </c>
      <c r="D20" s="2334"/>
      <c r="E20" s="2335" t="s">
        <v>2667</v>
      </c>
      <c r="F20" s="2338" t="s">
        <v>2940</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315" priority="53">
      <formula>AND($C4-TODAY()&lt;30,TODAY()&lt;$C4)</formula>
    </cfRule>
  </conditionalFormatting>
  <conditionalFormatting sqref="C20:D20">
    <cfRule type="expression" dxfId="314" priority="52">
      <formula>AND($C20-TODAY()&lt;30,TODAY()&lt;$C20)</formula>
    </cfRule>
  </conditionalFormatting>
  <conditionalFormatting sqref="C20:D20 G4 C4:D5 C13:D13">
    <cfRule type="cellIs" dxfId="313" priority="54" stopIfTrue="1" operator="lessThan">
      <formula>$B$2</formula>
    </cfRule>
  </conditionalFormatting>
  <conditionalFormatting sqref="G5 G7 G9">
    <cfRule type="cellIs" dxfId="312" priority="51" stopIfTrue="1" operator="lessThan">
      <formula>$B$2</formula>
    </cfRule>
  </conditionalFormatting>
  <conditionalFormatting sqref="C6:D6 D14 D16">
    <cfRule type="expression" dxfId="311" priority="49">
      <formula>AND($C6-TODAY()&lt;30,TODAY()&lt;$C6)</formula>
    </cfRule>
  </conditionalFormatting>
  <conditionalFormatting sqref="G6 G8 G10 C6:D6 D7:D12 D14 D16">
    <cfRule type="cellIs" dxfId="310" priority="50" stopIfTrue="1" operator="lessThan">
      <formula>$B$2</formula>
    </cfRule>
  </conditionalFormatting>
  <conditionalFormatting sqref="D12">
    <cfRule type="expression" dxfId="309" priority="47">
      <formula>AND($C12-TODAY()&lt;30,TODAY()&lt;$C12)</formula>
    </cfRule>
  </conditionalFormatting>
  <conditionalFormatting sqref="D12">
    <cfRule type="cellIs" dxfId="308" priority="48" stopIfTrue="1" operator="lessThan">
      <formula>$B$2</formula>
    </cfRule>
  </conditionalFormatting>
  <conditionalFormatting sqref="C13:D13">
    <cfRule type="expression" dxfId="307" priority="45">
      <formula>AND($C13-TODAY()&lt;30,TODAY()&lt;$C13)</formula>
    </cfRule>
  </conditionalFormatting>
  <conditionalFormatting sqref="C13:D13">
    <cfRule type="cellIs" dxfId="306" priority="46" stopIfTrue="1" operator="lessThan">
      <formula>$B$2</formula>
    </cfRule>
  </conditionalFormatting>
  <conditionalFormatting sqref="D14">
    <cfRule type="expression" dxfId="305" priority="43">
      <formula>AND($C14-TODAY()&lt;30,TODAY()&lt;$C14)</formula>
    </cfRule>
  </conditionalFormatting>
  <conditionalFormatting sqref="D14">
    <cfRule type="cellIs" dxfId="304" priority="44" stopIfTrue="1" operator="lessThan">
      <formula>$B$2</formula>
    </cfRule>
  </conditionalFormatting>
  <conditionalFormatting sqref="G13">
    <cfRule type="cellIs" dxfId="303" priority="42" stopIfTrue="1" operator="lessThan">
      <formula>$B$2</formula>
    </cfRule>
  </conditionalFormatting>
  <conditionalFormatting sqref="B4:B11 F4:F11 B13 F13:F14">
    <cfRule type="cellIs" dxfId="302" priority="41" stopIfTrue="1" operator="equal">
      <formula>"已过期"</formula>
    </cfRule>
  </conditionalFormatting>
  <conditionalFormatting sqref="C7">
    <cfRule type="cellIs" dxfId="301" priority="38" stopIfTrue="1" operator="lessThan">
      <formula>$B$2</formula>
    </cfRule>
  </conditionalFormatting>
  <conditionalFormatting sqref="C7">
    <cfRule type="expression" dxfId="300" priority="37">
      <formula>AND($C7-TODAY()&lt;30,TODAY()&lt;$C7)</formula>
    </cfRule>
  </conditionalFormatting>
  <conditionalFormatting sqref="C8">
    <cfRule type="expression" dxfId="299" priority="35">
      <formula>AND($C8-TODAY()&lt;30,TODAY()&lt;$C8)</formula>
    </cfRule>
  </conditionalFormatting>
  <conditionalFormatting sqref="C8">
    <cfRule type="cellIs" dxfId="298" priority="36" stopIfTrue="1" operator="lessThan">
      <formula>$B$2</formula>
    </cfRule>
  </conditionalFormatting>
  <conditionalFormatting sqref="C11">
    <cfRule type="expression" dxfId="297" priority="33">
      <formula>AND($C11-TODAY()&lt;30,TODAY()&lt;$C11)</formula>
    </cfRule>
  </conditionalFormatting>
  <conditionalFormatting sqref="C11">
    <cfRule type="cellIs" dxfId="296" priority="34" stopIfTrue="1" operator="lessThan">
      <formula>$B$2</formula>
    </cfRule>
  </conditionalFormatting>
  <conditionalFormatting sqref="A16:C16">
    <cfRule type="cellIs" dxfId="295" priority="32" stopIfTrue="1" operator="equal">
      <formula>"已过期"</formula>
    </cfRule>
  </conditionalFormatting>
  <conditionalFormatting sqref="E16:G16">
    <cfRule type="cellIs" dxfId="294" priority="31" stopIfTrue="1" operator="equal">
      <formula>"已过期"</formula>
    </cfRule>
  </conditionalFormatting>
  <conditionalFormatting sqref="G11">
    <cfRule type="cellIs" dxfId="293" priority="30" stopIfTrue="1" operator="lessThan">
      <formula>$B$2</formula>
    </cfRule>
  </conditionalFormatting>
  <conditionalFormatting sqref="F12">
    <cfRule type="cellIs" dxfId="292" priority="29" stopIfTrue="1" operator="equal">
      <formula>"已过期"</formula>
    </cfRule>
  </conditionalFormatting>
  <conditionalFormatting sqref="G12">
    <cfRule type="cellIs" dxfId="291" priority="28" stopIfTrue="1" operator="lessThan">
      <formula>$B$2</formula>
    </cfRule>
  </conditionalFormatting>
  <conditionalFormatting sqref="C12">
    <cfRule type="cellIs" dxfId="290" priority="27" stopIfTrue="1" operator="lessThan">
      <formula>$B$2</formula>
    </cfRule>
  </conditionalFormatting>
  <conditionalFormatting sqref="C12">
    <cfRule type="expression" dxfId="289" priority="25">
      <formula>AND($C12-TODAY()&lt;30,TODAY()&lt;$C12)</formula>
    </cfRule>
  </conditionalFormatting>
  <conditionalFormatting sqref="C12">
    <cfRule type="cellIs" dxfId="288" priority="26" stopIfTrue="1" operator="lessThan">
      <formula>$B$2</formula>
    </cfRule>
  </conditionalFormatting>
  <conditionalFormatting sqref="B12">
    <cfRule type="cellIs" dxfId="287" priority="24" stopIfTrue="1" operator="equal">
      <formula>"已过期"</formula>
    </cfRule>
  </conditionalFormatting>
  <conditionalFormatting sqref="C9:C10">
    <cfRule type="expression" dxfId="286" priority="22">
      <formula>AND($C9-TODAY()&lt;30,TODAY()&lt;$C9)</formula>
    </cfRule>
  </conditionalFormatting>
  <conditionalFormatting sqref="C9:C10">
    <cfRule type="cellIs" dxfId="285" priority="23" stopIfTrue="1" operator="lessThan">
      <formula>$B$2</formula>
    </cfRule>
  </conditionalFormatting>
  <conditionalFormatting sqref="G21">
    <cfRule type="expression" dxfId="284" priority="20" stopIfTrue="1">
      <formula>AND(#REF!-TODAY()&lt;30,TODAY()&lt;#REF!)</formula>
    </cfRule>
  </conditionalFormatting>
  <conditionalFormatting sqref="G21">
    <cfRule type="cellIs" dxfId="283" priority="21" stopIfTrue="1" operator="lessThan">
      <formula>$B$2</formula>
    </cfRule>
  </conditionalFormatting>
  <conditionalFormatting sqref="C14">
    <cfRule type="expression" dxfId="282" priority="18">
      <formula>AND($C14-TODAY()&lt;30,TODAY()&lt;$C14)</formula>
    </cfRule>
  </conditionalFormatting>
  <conditionalFormatting sqref="C14">
    <cfRule type="cellIs" dxfId="281" priority="19" stopIfTrue="1" operator="lessThan">
      <formula>$B$2</formula>
    </cfRule>
  </conditionalFormatting>
  <conditionalFormatting sqref="C14">
    <cfRule type="expression" dxfId="280" priority="16">
      <formula>AND($C14-TODAY()&lt;30,TODAY()&lt;$C14)</formula>
    </cfRule>
  </conditionalFormatting>
  <conditionalFormatting sqref="C14">
    <cfRule type="cellIs" dxfId="279" priority="17" stopIfTrue="1" operator="lessThan">
      <formula>$B$2</formula>
    </cfRule>
  </conditionalFormatting>
  <conditionalFormatting sqref="B14">
    <cfRule type="cellIs" dxfId="278" priority="15" stopIfTrue="1" operator="equal">
      <formula>"已过期"</formula>
    </cfRule>
  </conditionalFormatting>
  <conditionalFormatting sqref="G14">
    <cfRule type="cellIs" dxfId="277" priority="14" stopIfTrue="1" operator="lessThan">
      <formula>$B$2</formula>
    </cfRule>
  </conditionalFormatting>
  <conditionalFormatting sqref="D15">
    <cfRule type="expression" dxfId="276" priority="12">
      <formula>AND($C15-TODAY()&lt;30,TODAY()&lt;$C15)</formula>
    </cfRule>
  </conditionalFormatting>
  <conditionalFormatting sqref="D15">
    <cfRule type="cellIs" dxfId="275" priority="13" stopIfTrue="1" operator="lessThan">
      <formula>$B$2</formula>
    </cfRule>
  </conditionalFormatting>
  <conditionalFormatting sqref="D15">
    <cfRule type="expression" dxfId="274" priority="10">
      <formula>AND($C15-TODAY()&lt;30,TODAY()&lt;$C15)</formula>
    </cfRule>
  </conditionalFormatting>
  <conditionalFormatting sqref="D15">
    <cfRule type="cellIs" dxfId="273" priority="11" stopIfTrue="1" operator="lessThan">
      <formula>$B$2</formula>
    </cfRule>
  </conditionalFormatting>
  <conditionalFormatting sqref="F15">
    <cfRule type="cellIs" dxfId="272" priority="9" stopIfTrue="1" operator="equal">
      <formula>"已过期"</formula>
    </cfRule>
  </conditionalFormatting>
  <conditionalFormatting sqref="C15">
    <cfRule type="expression" dxfId="271" priority="7">
      <formula>AND($C15-TODAY()&lt;30,TODAY()&lt;$C15)</formula>
    </cfRule>
  </conditionalFormatting>
  <conditionalFormatting sqref="C15">
    <cfRule type="cellIs" dxfId="270" priority="8" stopIfTrue="1" operator="lessThan">
      <formula>$B$2</formula>
    </cfRule>
  </conditionalFormatting>
  <conditionalFormatting sqref="C15">
    <cfRule type="expression" dxfId="269" priority="5">
      <formula>AND($C15-TODAY()&lt;30,TODAY()&lt;$C15)</formula>
    </cfRule>
  </conditionalFormatting>
  <conditionalFormatting sqref="C15">
    <cfRule type="cellIs" dxfId="268" priority="6" stopIfTrue="1" operator="lessThan">
      <formula>$B$2</formula>
    </cfRule>
  </conditionalFormatting>
  <conditionalFormatting sqref="B15">
    <cfRule type="cellIs" dxfId="267" priority="4" stopIfTrue="1" operator="equal">
      <formula>"已过期"</formula>
    </cfRule>
  </conditionalFormatting>
  <conditionalFormatting sqref="G15">
    <cfRule type="cellIs" dxfId="266" priority="3" stopIfTrue="1" operator="lessThan">
      <formula>$B$2</formula>
    </cfRule>
  </conditionalFormatting>
  <conditionalFormatting sqref="G20">
    <cfRule type="expression" dxfId="265" priority="1" stopIfTrue="1">
      <formula>AND(#REF!-TODAY()&lt;30,TODAY()&lt;#REF!)</formula>
    </cfRule>
  </conditionalFormatting>
  <conditionalFormatting sqref="G20">
    <cfRule type="cellIs" dxfId="26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215</vt:i4>
      </vt:variant>
    </vt:vector>
  </HeadingPairs>
  <TitlesOfParts>
    <vt:vector size="26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(1层)</vt:lpstr>
      <vt:lpstr>收益法 (3层)</vt:lpstr>
      <vt:lpstr>成本法</vt:lpstr>
      <vt:lpstr>成本法 (3层) 单价</vt:lpstr>
      <vt:lpstr>成本法 (3层)</vt:lpstr>
      <vt:lpstr>比较法-售价</vt:lpstr>
      <vt:lpstr>结果汇总</vt:lpstr>
      <vt:lpstr>比较法-租金2022</vt:lpstr>
      <vt:lpstr>成本法 (1层)</vt:lpstr>
      <vt:lpstr>假设开发法</vt:lpstr>
      <vt:lpstr>比较法-租金2017</vt:lpstr>
      <vt:lpstr>比较法-租金2012</vt:lpstr>
      <vt:lpstr>比较法-租金2007</vt:lpstr>
      <vt:lpstr>收益法 (层)</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'比较法-售价'!Print_Area</vt:lpstr>
      <vt:lpstr>'比较法-住宅'!Print_Area</vt:lpstr>
      <vt:lpstr>'比较法-租金2007'!Print_Area</vt:lpstr>
      <vt:lpstr>'比较法-租金2012'!Print_Area</vt:lpstr>
      <vt:lpstr>'比较法-租金2017'!Print_Area</vt:lpstr>
      <vt:lpstr>'比较法-租金2022'!Print_Area</vt:lpstr>
      <vt:lpstr>成本法!Print_Area</vt:lpstr>
      <vt:lpstr>'成本法 (1层)'!Print_Area</vt:lpstr>
      <vt:lpstr>'成本法 (3层)'!Print_Area</vt:lpstr>
      <vt:lpstr>'成本法 (3层) 单价'!Print_Area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(1层)'!Print_Area</vt:lpstr>
      <vt:lpstr>'收益法 (3层)'!Print_Area</vt:lpstr>
      <vt:lpstr>'收益法 (层)'!Print_Area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'比较法-租金2007'!商业层高</vt:lpstr>
      <vt:lpstr>'比较法-租金2012'!商业层高</vt:lpstr>
      <vt:lpstr>'比较法-租金2017'!商业层高</vt:lpstr>
      <vt:lpstr>商业层高</vt:lpstr>
      <vt:lpstr>'比较法-售价'!商业成新度</vt:lpstr>
      <vt:lpstr>'比较法-租金2007'!商业成新度</vt:lpstr>
      <vt:lpstr>'比较法-租金2012'!商业成新度</vt:lpstr>
      <vt:lpstr>'比较法-租金2017'!商业成新度</vt:lpstr>
      <vt:lpstr>商业成新度</vt:lpstr>
      <vt:lpstr>商业繁华度</vt:lpstr>
      <vt:lpstr>'比较法-售价'!商业公共部分装修</vt:lpstr>
      <vt:lpstr>'比较法-租金2007'!商业公共部分装修</vt:lpstr>
      <vt:lpstr>'比较法-租金2012'!商业公共部分装修</vt:lpstr>
      <vt:lpstr>'比较法-租金2017'!商业公共部分装修</vt:lpstr>
      <vt:lpstr>商业公共部分装修</vt:lpstr>
      <vt:lpstr>'比较法-售价'!商业基础设施水平</vt:lpstr>
      <vt:lpstr>'比较法-租金2007'!商业基础设施水平</vt:lpstr>
      <vt:lpstr>'比较法-租金2012'!商业基础设施水平</vt:lpstr>
      <vt:lpstr>'比较法-租金2017'!商业基础设施水平</vt:lpstr>
      <vt:lpstr>商业基础设施水平</vt:lpstr>
      <vt:lpstr>'比较法-售价'!商业建筑结构</vt:lpstr>
      <vt:lpstr>'比较法-租金2007'!商业建筑结构</vt:lpstr>
      <vt:lpstr>'比较法-租金2012'!商业建筑结构</vt:lpstr>
      <vt:lpstr>'比较法-租金2017'!商业建筑结构</vt:lpstr>
      <vt:lpstr>商业建筑结构</vt:lpstr>
      <vt:lpstr>'比较法-售价'!商业交易情况</vt:lpstr>
      <vt:lpstr>'比较法-租金2007'!商业交易情况</vt:lpstr>
      <vt:lpstr>'比较法-租金2012'!商业交易情况</vt:lpstr>
      <vt:lpstr>'比较法-租金2017'!商业交易情况</vt:lpstr>
      <vt:lpstr>商业交易情况</vt:lpstr>
      <vt:lpstr>商业街名称</vt:lpstr>
      <vt:lpstr>'比较法-售价'!商业进深比</vt:lpstr>
      <vt:lpstr>'比较法-租金2007'!商业进深比</vt:lpstr>
      <vt:lpstr>'比较法-租金2012'!商业进深比</vt:lpstr>
      <vt:lpstr>'比较法-租金2017'!商业进深比</vt:lpstr>
      <vt:lpstr>商业进深比</vt:lpstr>
      <vt:lpstr>'比较法-售价'!商业类型</vt:lpstr>
      <vt:lpstr>'比较法-租金2007'!商业类型</vt:lpstr>
      <vt:lpstr>'比较法-租金2012'!商业类型</vt:lpstr>
      <vt:lpstr>'比较法-租金2017'!商业类型</vt:lpstr>
      <vt:lpstr>商业类型</vt:lpstr>
      <vt:lpstr>'比较法-售价'!商业临街状况</vt:lpstr>
      <vt:lpstr>'比较法-租金2007'!商业临街状况</vt:lpstr>
      <vt:lpstr>'比较法-租金2012'!商业临街状况</vt:lpstr>
      <vt:lpstr>'比较法-租金2017'!商业临街状况</vt:lpstr>
      <vt:lpstr>商业临街状况</vt:lpstr>
      <vt:lpstr>'比较法-售价'!商业楼层</vt:lpstr>
      <vt:lpstr>'比较法-租金2007'!商业楼层</vt:lpstr>
      <vt:lpstr>'比较法-租金2012'!商业楼层</vt:lpstr>
      <vt:lpstr>'比较法-租金2017'!商业楼层</vt:lpstr>
      <vt:lpstr>商业楼层</vt:lpstr>
      <vt:lpstr>'比较法-售价'!商业内部装修</vt:lpstr>
      <vt:lpstr>'比较法-租金2007'!商业内部装修</vt:lpstr>
      <vt:lpstr>'比较法-租金2012'!商业内部装修</vt:lpstr>
      <vt:lpstr>'比较法-租金2017'!商业内部装修</vt:lpstr>
      <vt:lpstr>商业内部装修</vt:lpstr>
      <vt:lpstr>'比较法-售价'!商业人流量</vt:lpstr>
      <vt:lpstr>'比较法-租金2007'!商业人流量</vt:lpstr>
      <vt:lpstr>'比较法-租金2012'!商业人流量</vt:lpstr>
      <vt:lpstr>'比较法-租金2017'!商业人流量</vt:lpstr>
      <vt:lpstr>商业人流量</vt:lpstr>
      <vt:lpstr>'比较法-售价'!商业业态</vt:lpstr>
      <vt:lpstr>'比较法-租金2007'!商业业态</vt:lpstr>
      <vt:lpstr>'比较法-租金2012'!商业业态</vt:lpstr>
      <vt:lpstr>'比较法-租金2017'!商业业态</vt:lpstr>
      <vt:lpstr>商业业态</vt:lpstr>
      <vt:lpstr>'比较法-售价'!商业用途</vt:lpstr>
      <vt:lpstr>'比较法-租金2007'!商业用途</vt:lpstr>
      <vt:lpstr>'比较法-租金2012'!商业用途</vt:lpstr>
      <vt:lpstr>'比较法-租金2017'!商业用途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2023-02-08T10:26:50Z</dcterms:modified>
</cp:coreProperties>
</file>