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40" windowWidth="11565" windowHeight="9405" tabRatio="875" firstSheet="9"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结果" sheetId="69" r:id="rId18"/>
    <sheet name="成本逼近法" sheetId="11" r:id="rId19"/>
    <sheet name="剩余法-待开发" sheetId="12" state="hidden" r:id="rId20"/>
    <sheet name="土地案例" sheetId="68" r:id="rId21"/>
    <sheet name="基准地价" sheetId="46" r:id="rId22"/>
    <sheet name="剩余法-现房" sheetId="43" r:id="rId23"/>
    <sheet name="比较法-住宅、综合" sheetId="39" state="hidden" r:id="rId24"/>
    <sheet name="比较法-工业" sheetId="40"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不动产收益法" sheetId="15" r:id="rId31"/>
    <sheet name="酒店收入计算" sheetId="57"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收益还原法" sheetId="44" r:id="rId41"/>
    <sheet name="地价" sheetId="59" r:id="rId42"/>
  </sheets>
  <externalReferences>
    <externalReference r:id="rId43"/>
    <externalReference r:id="rId44"/>
  </externalReferences>
  <definedNames>
    <definedName name="_xlnm._FilterDatabase" localSheetId="24" hidden="1">'比较法-工业'!$A$1:$L$45</definedName>
    <definedName name="_xlnm._FilterDatabase" localSheetId="23"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20" hidden="1">土地案例!$A$3:$K$32</definedName>
    <definedName name="_xlnm._FilterDatabase" localSheetId="9" hidden="1">项目基本情况!$A$48:$N$48</definedName>
    <definedName name="a">'[1]不动产比较法-办公'!$B$115:$M$115</definedName>
    <definedName name="八级">区片价!$P$1:$P$40</definedName>
    <definedName name="办公层高" localSheetId="20">'[2]不动产比较法-办公'!$B$119:$M$119</definedName>
    <definedName name="办公层高">'不动产比较法-办公'!$B$119:$M$119</definedName>
    <definedName name="办公朝向" localSheetId="20">'[2]不动产比较法-办公'!$B$91:$M$91</definedName>
    <definedName name="办公朝向">'不动产比较法-办公'!$B$91:$M$91</definedName>
    <definedName name="办公道路级别" localSheetId="20">'[2]不动产比较法-办公'!$B$87:$M$87</definedName>
    <definedName name="办公道路级别">'不动产比较法-办公'!$B$87:$M$87</definedName>
    <definedName name="办公公共部分装修" localSheetId="20">'[2]不动产比较法-办公'!$B$108:$M$108</definedName>
    <definedName name="办公公共部分装修">'不动产比较法-办公'!$B$108:$M$108</definedName>
    <definedName name="办公基础设施水平" localSheetId="20">'[2]不动产比较法-办公'!$B$117:$M$117</definedName>
    <definedName name="办公基础设施水平">'不动产比较法-办公'!$B$117:$M$117</definedName>
    <definedName name="办公集聚程度" localSheetId="20">[2]定义!$M$1:$M$6</definedName>
    <definedName name="办公集聚程度">定义!$M$1:$M$6</definedName>
    <definedName name="办公建筑结构" localSheetId="20">'[2]不动产比较法-办公'!$B$106:$M$106</definedName>
    <definedName name="办公建筑结构">'不动产比较法-办公'!$B$106:$M$106</definedName>
    <definedName name="办公建筑类型" localSheetId="20">'[2]不动产比较法-办公'!$B$101:$M$101</definedName>
    <definedName name="办公建筑类型">'不动产比较法-办公'!$B$101:$M$101</definedName>
    <definedName name="办公交易情况" localSheetId="20">'[2]不动产比较法-办公'!$A$62:$M$62</definedName>
    <definedName name="办公交易情况">'不动产比较法-办公'!$A$62:$M$62</definedName>
    <definedName name="办公楼层" localSheetId="20">'[2]不动产比较法-办公'!$B$89:$M$89</definedName>
    <definedName name="办公楼层">'不动产比较法-办公'!$B$89:$M$89</definedName>
    <definedName name="办公内部装修" localSheetId="20">'[2]不动产比较法-办公'!$B$123:$M$123</definedName>
    <definedName name="办公内部装修">'不动产比较法-办公'!$B$123:$M$123</definedName>
    <definedName name="办公物业管理" localSheetId="20">'[2]不动产比较法-办公'!$B$115:$M$115</definedName>
    <definedName name="办公物业管理">'不动产比较法-办公'!$B$115:$M$115</definedName>
    <definedName name="办公用途" localSheetId="20">'[2]不动产比较法-办公'!$B$64:$M$64</definedName>
    <definedName name="办公用途">'不动产比较法-办公'!$B$64:$M$64</definedName>
    <definedName name="仓储公共部分装修" localSheetId="20">'[2]不动产比较法-仓储'!$B$77:$M$77</definedName>
    <definedName name="仓储公共部分装修">'不动产比较法-仓储'!$B$77:$M$77</definedName>
    <definedName name="仓储交易情况" localSheetId="20">'[2]不动产比较法-仓储'!$A$49:$M$49</definedName>
    <definedName name="仓储交易情况">'不动产比较法-仓储'!$A$49:$M$49</definedName>
    <definedName name="仓储楼层" localSheetId="20">'[2]不动产比较法-仓储'!$B$69:$M$69</definedName>
    <definedName name="仓储楼层">'不动产比较法-仓储'!$B$69:$M$69</definedName>
    <definedName name="仓储物业等级" localSheetId="20">'[2]不动产比较法-仓储'!$B$82:$M$82</definedName>
    <definedName name="仓储物业等级">'不动产比较法-仓储'!$B$82:$M$82</definedName>
    <definedName name="仓储用途" localSheetId="20">'[2]不动产比较法-仓储'!$B$51:$M$51</definedName>
    <definedName name="仓储用途">'不动产比较法-仓储'!$B$51:$M$51</definedName>
    <definedName name="产业集聚程度" localSheetId="20">[2]定义!$N$1:$N$6</definedName>
    <definedName name="产业集聚程度">定义!$N$1:$N$6</definedName>
    <definedName name="车位公共部分装修" localSheetId="20">'[2]不动产比较法-车位'!$B$83:$M$83</definedName>
    <definedName name="车位公共部分装修">'不动产比较法-车位'!$B$83:$M$83</definedName>
    <definedName name="车位交易情况" localSheetId="20">'[2]不动产比较法-车位'!$A$51:$M$51</definedName>
    <definedName name="车位交易情况">'不动产比较法-车位'!$A$51:$M$51</definedName>
    <definedName name="车位类型" localSheetId="20">'[2]不动产比较法-车位'!$B$93:$M$93</definedName>
    <definedName name="车位类型">'不动产比较法-车位'!$B$93:$M$93</definedName>
    <definedName name="车位楼层" localSheetId="20">'[2]不动产比较法-车位'!$B$71:$M$71</definedName>
    <definedName name="车位楼层">'不动产比较法-车位'!$B$71:$M$71</definedName>
    <definedName name="车位配套类型" localSheetId="20">'[2]不动产比较法-车位'!$B$79:$M$79</definedName>
    <definedName name="车位配套类型">'不动产比较法-车位'!$B$79:$M$79</definedName>
    <definedName name="车位物业等级" localSheetId="20">'[2]不动产比较法-车位'!$B$88:$M$88</definedName>
    <definedName name="车位物业等级">'不动产比较法-车位'!$B$88:$M$88</definedName>
    <definedName name="车位用途" localSheetId="20">'[2]不动产比较法-车位'!$B$53:$M$53</definedName>
    <definedName name="车位用途">'不动产比较法-车位'!$B$53:$M$53</definedName>
    <definedName name="城镇土地纳税等级分级范围" localSheetId="20">'[2]数据-取费表'!$A$53:$A$63</definedName>
    <definedName name="城镇土地纳税等级分级范围">'数据-取费表'!$A$53:$A$63</definedName>
    <definedName name="单价内涵" localSheetId="20">[2]定义!$V$1:$V$3</definedName>
    <definedName name="单价内涵">定义!$V$1:$V$3</definedName>
    <definedName name="地类判定" localSheetId="20">[2]定义!$H$1:$H$9</definedName>
    <definedName name="地类判定">定义!$H$1:$H$9</definedName>
    <definedName name="二级">区片价!$J$1:$J$20</definedName>
    <definedName name="二级分类" localSheetId="20">[2]修正!$C$17:$C$39</definedName>
    <definedName name="二级分类">修正!$C$17:$C$39</definedName>
    <definedName name="法定最高年限" localSheetId="20">[2]定义!$G$2:$G$4</definedName>
    <definedName name="法定最高年限">定义!$G$2:$G$4</definedName>
    <definedName name="工业公共部分装修" localSheetId="20">'[2]不动产比较法-工业'!$B$95:$M$95</definedName>
    <definedName name="工业公共部分装修">'不动产比较法-工业'!$B$95:$M$95</definedName>
    <definedName name="工业基础设施水平" localSheetId="20">'[2]不动产比较法-工业'!$B$102:$M$102</definedName>
    <definedName name="工业基础设施水平">'不动产比较法-工业'!$B$102:$M$102</definedName>
    <definedName name="工业建筑结构" localSheetId="20">'[2]不动产比较法-工业'!$B$93:$M$93</definedName>
    <definedName name="工业建筑结构">'不动产比较法-工业'!$B$93:$M$93</definedName>
    <definedName name="工业建筑类型" localSheetId="20">'[2]不动产比较法-工业'!$B$88:$M$88</definedName>
    <definedName name="工业建筑类型">'不动产比较法-工业'!$B$88:$M$88</definedName>
    <definedName name="工业交易情况" localSheetId="20">'[2]不动产比较法-工业'!$A$55:$M$55</definedName>
    <definedName name="工业交易情况">'不动产比较法-工业'!$A$55:$M$55</definedName>
    <definedName name="工业内部装修" localSheetId="20">'[2]不动产比较法-工业'!$B$104:$M$104</definedName>
    <definedName name="工业内部装修">'不动产比较法-工业'!$B$104:$M$104</definedName>
    <definedName name="工业物业管理" localSheetId="20">'[2]不动产比较法-工业'!$B$100:$M$100</definedName>
    <definedName name="工业物业管理">'不动产比较法-工业'!$B$100:$M$100</definedName>
    <definedName name="工业用途" localSheetId="20">'[2]不动产比较法-工业'!$B$57:$M$57</definedName>
    <definedName name="工业用途">'不动产比较法-工业'!$B$57:$M$57</definedName>
    <definedName name="公共配套设施" localSheetId="20">[2]定义!$Q$1:$Q$6</definedName>
    <definedName name="公共配套设施">定义!$Q$1:$Q$6</definedName>
    <definedName name="公用设施及基础设施水平">[1]定义!$Q$1:$Q$6</definedName>
    <definedName name="估价方法" localSheetId="20">[2]定义!$B$1:$B$50</definedName>
    <definedName name="估价方法">定义!$B$1:$B$50</definedName>
    <definedName name="环境" localSheetId="20">[2]定义!$S$1:$S$6</definedName>
    <definedName name="环境">定义!$S$1:$S$6</definedName>
    <definedName name="基础设施水平" localSheetId="20">[2]定义!$R$1:$R$6</definedName>
    <definedName name="基础设施水平">定义!$R$1:$R$6</definedName>
    <definedName name="季度">基准地价!$N$19:$AB$19</definedName>
    <definedName name="季度2014">地价!$A$2:$A$30</definedName>
    <definedName name="价值类型2" localSheetId="20">[2]定义!$B$54:$B$56</definedName>
    <definedName name="价值类型2">定义!$B$54:$B$56</definedName>
    <definedName name="交通便捷度" localSheetId="20">[2]定义!$O$1:$O$6</definedName>
    <definedName name="交通便捷度">定义!$O$1:$O$6</definedName>
    <definedName name="九级">区片价!$Q$1:$Q$46</definedName>
    <definedName name="居住社区成熟度" localSheetId="20">[2]定义!$K$1:$K$6</definedName>
    <definedName name="居住社区成熟度">定义!$K$1:$K$6</definedName>
    <definedName name="类别" localSheetId="20">[2]定义!$J$1:$J$3</definedName>
    <definedName name="类别">定义!$J$1:$J$3</definedName>
    <definedName name="临街状况" localSheetId="20">[2]定义!$T$1:$T$5</definedName>
    <definedName name="临街状况">定义!$T$1:$T$5</definedName>
    <definedName name="六级">区片价!$N$1:$N$49</definedName>
    <definedName name="内部装修维护情况" localSheetId="20">[2]定义!$U$1:$U$6</definedName>
    <definedName name="内部装修维护情况">定义!$U$1:$U$6</definedName>
    <definedName name="判定" localSheetId="20">[2]定义!$D$1:$D$4</definedName>
    <definedName name="判定">定义!$D$1:$D$4</definedName>
    <definedName name="七级">区片价!$O$1:$O$49</definedName>
    <definedName name="七通一平" localSheetId="20">[2]修正!$A$6:$A$14</definedName>
    <definedName name="七通一平">修正!$A$6:$A$14</definedName>
    <definedName name="区域土地利用方向" localSheetId="20">[2]定义!$P$1:$P$6</definedName>
    <definedName name="区域土地利用方向">定义!$P$1:$P$6</definedName>
    <definedName name="三级">区片价!$K$1:$K$21</definedName>
    <definedName name="商业层高" localSheetId="20">'[2]不动产比较法-商业'!$B$116:$M$116</definedName>
    <definedName name="商业层高">'不动产比较法-商业'!$B$116:$M$116</definedName>
    <definedName name="商业成新度">'不动产比较法-商业'!$B$109:$M$109</definedName>
    <definedName name="商业繁华度" localSheetId="20">[2]定义!$L$1:$L$6</definedName>
    <definedName name="商业繁华度">定义!$L$1:$L$6</definedName>
    <definedName name="商业公共部分装修" localSheetId="20">'[2]不动产比较法-商业'!$B$107:$M$107</definedName>
    <definedName name="商业公共部分装修">'不动产比较法-商业'!$B$107:$M$107</definedName>
    <definedName name="商业基础设施水平" localSheetId="20">'[2]不动产比较法-商业'!$B$112:$M$112</definedName>
    <definedName name="商业基础设施水平">'不动产比较法-商业'!$B$112:$M$112</definedName>
    <definedName name="商业建筑结构" localSheetId="20">'[2]不动产比较法-商业'!$B$105:$M$105</definedName>
    <definedName name="商业建筑结构">'不动产比较法-商业'!$B$105:$M$105</definedName>
    <definedName name="商业交易情况" localSheetId="20">'[2]不动产比较法-商业'!$A$61:$M$61</definedName>
    <definedName name="商业交易情况">'不动产比较法-商业'!$A$61:$M$61</definedName>
    <definedName name="商业街名称" localSheetId="20">[2]修正!$C$59:$C$119</definedName>
    <definedName name="商业街名称">修正!$C$59:$C$119</definedName>
    <definedName name="商业进深比" localSheetId="20">'[2]不动产比较法-商业'!$B$120:$M$120</definedName>
    <definedName name="商业进深比">'不动产比较法-商业'!$B$120:$M$120</definedName>
    <definedName name="商业类型" localSheetId="20">'[2]不动产比较法-商业'!$B$100:$M$100</definedName>
    <definedName name="商业类型">'不动产比较法-商业'!$B$100:$M$100</definedName>
    <definedName name="商业临街状况" localSheetId="20">'[2]不动产比较法-商业'!$B$86:$M$86</definedName>
    <definedName name="商业临街状况">'不动产比较法-商业'!$B$86:$M$86</definedName>
    <definedName name="商业楼层" localSheetId="20">'[2]不动产比较法-商业'!$B$92:$M$92</definedName>
    <definedName name="商业楼层">'不动产比较法-商业'!$B$92:$M$92</definedName>
    <definedName name="商业内部装修" localSheetId="20">'[2]不动产比较法-商业'!$B$122:$M$122</definedName>
    <definedName name="商业内部装修">'不动产比较法-商业'!$B$122:$M$122</definedName>
    <definedName name="商业人流量" localSheetId="20">'[2]不动产比较法-商业'!$B$90:$M$90</definedName>
    <definedName name="商业人流量">'不动产比较法-商业'!$B$90:$M$90</definedName>
    <definedName name="商业业态" localSheetId="20">'[2]不动产比较法-商业'!$B$114:$M$114</definedName>
    <definedName name="商业业态">'不动产比较法-商业'!$B$114:$M$114</definedName>
    <definedName name="商业用途" localSheetId="20">'[2]不动产比较法-商业'!$B$63:$M$63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0">'[2]不动产比较法-仓储'!$B$89:$M$89</definedName>
    <definedName name="是否封闭">'不动产比较法-仓储'!$B$89:$M$89</definedName>
    <definedName name="是否直接入户" localSheetId="20">'[2]不动产比较法-车位'!$B$95:$M$95</definedName>
    <definedName name="是否直接入户">'不动产比较法-车位'!$B$95:$M$95</definedName>
    <definedName name="四级">区片价!$L$1:$L$28</definedName>
    <definedName name="套工工程地质条件" localSheetId="20">'[2]比较法-工业'!$B$116:$M$116</definedName>
    <definedName name="套工工程地质条件">'比较法-工业'!$B$116:$M$116</definedName>
    <definedName name="套工交易情况" localSheetId="20">'[2]比较法-住宅、综合'!$A$75:$M$75</definedName>
    <definedName name="套工交易情况">'比较法-住宅、综合'!$A$75:$M$75</definedName>
    <definedName name="套工开发程度" localSheetId="20">'[2]比较法-工业'!$B$114:$M$114</definedName>
    <definedName name="套工开发程度">'比较法-工业'!$B$114:$M$114</definedName>
    <definedName name="套工临街等级" localSheetId="20">'[2]比较法-工业'!$B$99:$M$99</definedName>
    <definedName name="套工临街等级">'比较法-工业'!$B$99:$M$99</definedName>
    <definedName name="套工土地级别" localSheetId="20">'[2]比较法-工业'!$B$101:$M$101</definedName>
    <definedName name="套工土地级别">'比较法-工业'!$B$101:$M$101</definedName>
    <definedName name="套工用途" localSheetId="20">'[2]比较法-工业'!$B$72:$M$72</definedName>
    <definedName name="套工用途">'比较法-工业'!$B$72:$M$72</definedName>
    <definedName name="套工宗地形状" localSheetId="20">'[2]比较法-工业'!$B$112:$M$112</definedName>
    <definedName name="套工宗地形状">'比较法-工业'!$B$112:$M$112</definedName>
    <definedName name="套综道路等级" localSheetId="20">'[2]比较法-住宅、综合'!$B$108:$M$108</definedName>
    <definedName name="套综道路等级">'比较法-住宅、综合'!$B$108:$M$108</definedName>
    <definedName name="套综工程地质条件" localSheetId="20">'[2]比较法-住宅、综合'!$B$127:$M$127</definedName>
    <definedName name="套综工程地质条件">'比较法-住宅、综合'!$B$127:$M$127</definedName>
    <definedName name="套综交易情况" localSheetId="20">'[2]比较法-住宅、综合'!$A$75:$M$75</definedName>
    <definedName name="套综交易情况">'比较法-住宅、综合'!$A$75:$M$75</definedName>
    <definedName name="套综临街宽度及深度" localSheetId="20">'[2]比较法-住宅、综合'!$B$123:$M$123</definedName>
    <definedName name="套综临街宽度及深度">'比较法-住宅、综合'!$B$123:$M$123</definedName>
    <definedName name="套综土地级别" localSheetId="20">'[2]比较法-住宅、综合'!$B$110:$M$110</definedName>
    <definedName name="套综土地级别">'比较法-住宅、综合'!$B$110:$M$110</definedName>
    <definedName name="套综用途" localSheetId="20">'[2]比较法-住宅、综合'!$B$77:$M$77</definedName>
    <definedName name="套综用途">'比较法-住宅、综合'!$B$77:$M$77</definedName>
    <definedName name="套综宗地内开发程度" localSheetId="20">'[2]比较法-住宅、综合'!$B$125:$M$125</definedName>
    <definedName name="套综宗地内开发程度">'比较法-住宅、综合'!$B$125:$M$125</definedName>
    <definedName name="套综宗地形状" localSheetId="20">'[2]比较法-住宅、综合'!$B$121:$M$121</definedName>
    <definedName name="套综宗地形状">'比较法-住宅、综合'!$B$121:$M$121</definedName>
    <definedName name="土地估价师" localSheetId="20">[2]估价师及机构信息!$D$3:$D$24</definedName>
    <definedName name="土地估价师">估价师及机构信息!$D$3:$D$24</definedName>
    <definedName name="土地级别" localSheetId="20">[2]定义!$C$1:$C$14</definedName>
    <definedName name="土地级别">定义!$C$1:$C$14</definedName>
    <definedName name="土地利用方向">定义!$P$1:$P$6</definedName>
    <definedName name="土地年限区间" localSheetId="20">[2]定义!$I$1:$I$8</definedName>
    <definedName name="土地年限区间">定义!$I$1:$I$8</definedName>
    <definedName name="位置" localSheetId="20">[2]定义!$E$2:$E$4</definedName>
    <definedName name="位置">定义!$E$2:$E$4</definedName>
    <definedName name="五等判定" localSheetId="20">[2]定义!$W$1:$W$6</definedName>
    <definedName name="五等判定">定义!$W$1:$W$6</definedName>
    <definedName name="五级">区片价!$M$1:$M$35</definedName>
    <definedName name="项目类型" localSheetId="20">'[2]数据-汇总表'!$C$17:$C$26</definedName>
    <definedName name="项目类型">'数据-汇总表'!$C$17:$C$26</definedName>
    <definedName name="写字楼等级" localSheetId="20">'[2]不动产比较法-办公'!$B$113:$M$113</definedName>
    <definedName name="写字楼等级">'不动产比较法-办公'!$B$113:$M$113</definedName>
    <definedName name="一级">区片价!$I$1:$I$6</definedName>
    <definedName name="一修多修正项2" localSheetId="20">[2]典型户型修正!$5:$5</definedName>
    <definedName name="一修多修正项2">典型户型修正!$5:$5</definedName>
    <definedName name="一修多修正项3" localSheetId="20">[2]典型户型修正!$7:$7</definedName>
    <definedName name="一修多修正项3">典型户型修正!$7:$7</definedName>
    <definedName name="一修多修正项4" localSheetId="20">[2]典型户型修正!$9:$9</definedName>
    <definedName name="一修多修正项4">典型户型修正!$9:$9</definedName>
    <definedName name="一修多修正项5" localSheetId="20">[2]典型户型修正!$11:$11</definedName>
    <definedName name="一修多修正项5">典型户型修正!$11:$11</definedName>
    <definedName name="一修多修正项6" localSheetId="20">[2]典型户型修正!$13:$13</definedName>
    <definedName name="一修多修正项6">典型户型修正!$13:$13</definedName>
    <definedName name="一修多修正项7" localSheetId="20">[2]典型户型修正!$15:$15</definedName>
    <definedName name="一修多修正项7">典型户型修正!$15:$15</definedName>
    <definedName name="一修多修正项8" localSheetId="20">[2]典型户型修正!$17:$17</definedName>
    <definedName name="一修多修正项8">典型户型修正!$17:$17</definedName>
    <definedName name="用途类型" localSheetId="20">[2]定义!$A$1:$A$50</definedName>
    <definedName name="用途类型">定义!$A$1:$A$50</definedName>
    <definedName name="有无电梯" localSheetId="20">'[2]不动产比较法-仓储'!$B$84:$M$84</definedName>
    <definedName name="有无电梯">'不动产比较法-仓储'!$B$84:$M$84</definedName>
    <definedName name="主用途" localSheetId="20">[2]定义!$F$1:$F$10</definedName>
    <definedName name="主用途">定义!$F$1:$F$10</definedName>
    <definedName name="住宅朝向" localSheetId="20">'[2]不动产比较法-住宅'!$B$88:$M$88</definedName>
    <definedName name="住宅朝向">'不动产比较法-住宅'!$B$88:$M$88</definedName>
    <definedName name="住宅房型" localSheetId="20">'[2]不动产比较法-住宅'!$B$118:$M$118</definedName>
    <definedName name="住宅房型">'不动产比较法-住宅'!$B$118:$M$118</definedName>
    <definedName name="住宅公共部分装修" localSheetId="20">'[2]不动产比较法-住宅'!$B$109:$M$109</definedName>
    <definedName name="住宅公共部分装修">'不动产比较法-住宅'!$B$109:$M$109</definedName>
    <definedName name="住宅基础设施水平" localSheetId="20">'[2]不动产比较法-住宅'!$B$116:$M$116</definedName>
    <definedName name="住宅基础设施水平">'不动产比较法-住宅'!$B$116:$M$116</definedName>
    <definedName name="住宅建筑结构" localSheetId="20">'[2]不动产比较法-住宅'!$B$105:$M$105</definedName>
    <definedName name="住宅建筑结构">'不动产比较法-住宅'!$B$105:$M$105</definedName>
    <definedName name="住宅建筑类型" localSheetId="20">'[2]不动产比较法-住宅'!$B$100:$M$100</definedName>
    <definedName name="住宅建筑类型">'不动产比较法-住宅'!$B$100:$M$100</definedName>
    <definedName name="住宅建筑品质" localSheetId="20">'[2]不动产比较法-住宅'!$B$107:$M$107</definedName>
    <definedName name="住宅建筑品质">'不动产比较法-住宅'!$B$107:$M$107</definedName>
    <definedName name="住宅交易情况" localSheetId="20">'[2]不动产比较法-住宅'!$A$61:$M$61</definedName>
    <definedName name="住宅交易情况">'不动产比较法-住宅'!$A$61:$M$61</definedName>
    <definedName name="住宅楼层" localSheetId="20">'[2]不动产比较法-住宅'!$B$86:$M$86</definedName>
    <definedName name="住宅楼层">'不动产比较法-住宅'!$B$86:$M$86</definedName>
    <definedName name="住宅内部装修" localSheetId="20">'[2]不动产比较法-住宅'!$B$122:$M$122</definedName>
    <definedName name="住宅内部装修">'不动产比较法-住宅'!$B$122:$M$122</definedName>
    <definedName name="住宅物业管理" localSheetId="20">'[2]不动产比较法-住宅'!$B$114:$M$114</definedName>
    <definedName name="住宅物业管理">'不动产比较法-住宅'!$B$114:$M$114</definedName>
    <definedName name="住宅用途" localSheetId="20">'[2]不动产比较法-住宅'!$B$63:$M$63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I13" i="3" l="1"/>
  <c r="H14" i="69" l="1"/>
  <c r="P15" i="68"/>
  <c r="M33" i="68"/>
  <c r="L33" i="68"/>
  <c r="N33" i="68" s="1"/>
  <c r="K33" i="68"/>
  <c r="N32" i="68"/>
  <c r="N31" i="68"/>
  <c r="N30" i="68"/>
  <c r="N29" i="68"/>
  <c r="N28" i="68"/>
  <c r="N27" i="68"/>
  <c r="N26" i="68"/>
  <c r="N25" i="68"/>
  <c r="N24" i="68"/>
  <c r="N23" i="68"/>
  <c r="N22" i="68"/>
  <c r="N21" i="68"/>
  <c r="N20" i="68"/>
  <c r="N19" i="68"/>
  <c r="N18" i="68"/>
  <c r="N17" i="68"/>
  <c r="N16" i="68"/>
  <c r="N15" i="68"/>
  <c r="N14" i="68"/>
  <c r="N13" i="68"/>
  <c r="N12" i="68"/>
  <c r="N11" i="68"/>
  <c r="N10" i="68"/>
  <c r="N9" i="68"/>
  <c r="N8" i="68"/>
  <c r="N7" i="68"/>
  <c r="N6" i="68"/>
  <c r="N5" i="68"/>
  <c r="N4" i="68"/>
  <c r="F19" i="6"/>
  <c r="A21" i="31" l="1"/>
  <c r="C109" i="9" l="1"/>
  <c r="V6" i="59" l="1"/>
  <c r="U6" i="59"/>
  <c r="T6" i="59"/>
  <c r="S6" i="59"/>
  <c r="AH5" i="59" l="1"/>
  <c r="AG5" i="59"/>
  <c r="AE5" i="59"/>
  <c r="AF5" i="59" s="1"/>
  <c r="AD5" i="59"/>
  <c r="Q5" i="59"/>
  <c r="P5" i="59"/>
  <c r="O5" i="59"/>
  <c r="N5" i="59"/>
  <c r="Q7" i="59" l="1"/>
  <c r="AB7" i="59"/>
  <c r="P7" i="59"/>
  <c r="AA7" i="59"/>
  <c r="O7" i="59"/>
  <c r="Y7" i="59"/>
  <c r="Z7" i="59" s="1"/>
  <c r="N7" i="59"/>
  <c r="X7" i="59"/>
  <c r="X6" i="59"/>
  <c r="AH6" i="59"/>
  <c r="AG6" i="59"/>
  <c r="AE6" i="59"/>
  <c r="AF6" i="59" s="1"/>
  <c r="AD6" i="59"/>
  <c r="Q6" i="59"/>
  <c r="AB5" i="59" s="1"/>
  <c r="P6" i="59"/>
  <c r="AA5" i="59" s="1"/>
  <c r="O6" i="59"/>
  <c r="N6" i="59"/>
  <c r="F7" i="59"/>
  <c r="F6" i="59"/>
  <c r="F5" i="59" s="1"/>
  <c r="E7" i="59"/>
  <c r="C7" i="59"/>
  <c r="C6" i="59"/>
  <c r="C5" i="59" s="1"/>
  <c r="D5" i="59" s="1"/>
  <c r="B7" i="59"/>
  <c r="AH7" i="59"/>
  <c r="AG7" i="59"/>
  <c r="AE7" i="59"/>
  <c r="AF7" i="59"/>
  <c r="AD7" i="59"/>
  <c r="Q8" i="59"/>
  <c r="Q9" i="59"/>
  <c r="P8" i="59"/>
  <c r="P9" i="59"/>
  <c r="O8" i="59"/>
  <c r="O9" i="59"/>
  <c r="N8" i="59"/>
  <c r="N9" i="59"/>
  <c r="F9" i="59"/>
  <c r="F8" i="59"/>
  <c r="E9" i="59"/>
  <c r="E8" i="59"/>
  <c r="C9" i="59"/>
  <c r="C8" i="59"/>
  <c r="D7" i="59"/>
  <c r="B9" i="59"/>
  <c r="B8" i="59"/>
  <c r="AH8" i="59"/>
  <c r="AG8" i="59"/>
  <c r="AE8" i="59"/>
  <c r="AF8" i="59"/>
  <c r="AD8" i="59"/>
  <c r="F25" i="12"/>
  <c r="AH9" i="59"/>
  <c r="AG9" i="59"/>
  <c r="AE9" i="59"/>
  <c r="AF9" i="59"/>
  <c r="AD9" i="59"/>
  <c r="AB8" i="59"/>
  <c r="AA8" i="59"/>
  <c r="Y8" i="59"/>
  <c r="X8"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AA11" i="59"/>
  <c r="O11" i="59"/>
  <c r="O12" i="59"/>
  <c r="N11" i="59"/>
  <c r="N12" i="59"/>
  <c r="X11" i="59"/>
  <c r="AH12" i="59"/>
  <c r="AG12" i="59"/>
  <c r="AE12" i="59"/>
  <c r="AF12" i="59"/>
  <c r="AD12" i="59"/>
  <c r="Q13" i="59"/>
  <c r="P13" i="59"/>
  <c r="O13" i="59"/>
  <c r="N13" i="59"/>
  <c r="M19" i="46"/>
  <c r="J50" i="15"/>
  <c r="J51" i="15" s="1"/>
  <c r="D15" i="59"/>
  <c r="AH13" i="59"/>
  <c r="AG13" i="59"/>
  <c r="AE13" i="59"/>
  <c r="AF13" i="59"/>
  <c r="AD13" i="59"/>
  <c r="AE14" i="59"/>
  <c r="AF14" i="59"/>
  <c r="AG14" i="59"/>
  <c r="AH14" i="59"/>
  <c r="AD14" i="59"/>
  <c r="Q14" i="59"/>
  <c r="AB13" i="59"/>
  <c r="P14" i="59"/>
  <c r="AA13" i="59"/>
  <c r="O14" i="59"/>
  <c r="Y13" i="59"/>
  <c r="Z13" i="59"/>
  <c r="N14" i="59"/>
  <c r="X13" i="59"/>
  <c r="N15" i="59"/>
  <c r="Q15" i="59"/>
  <c r="P15" i="59"/>
  <c r="O15" i="59"/>
  <c r="A30" i="64"/>
  <c r="A30" i="51"/>
  <c r="K59" i="15"/>
  <c r="P62" i="15"/>
  <c r="P75" i="15"/>
  <c r="Q74" i="44"/>
  <c r="Q61" i="44"/>
  <c r="Q60" i="44"/>
  <c r="Q53" i="44"/>
  <c r="J51" i="44"/>
  <c r="J52" i="44"/>
  <c r="M48" i="44"/>
  <c r="A16" i="55"/>
  <c r="A15" i="55"/>
  <c r="B66" i="63" s="1"/>
  <c r="A14" i="55"/>
  <c r="A11" i="55"/>
  <c r="A10" i="55"/>
  <c r="B61" i="63"/>
  <c r="A9" i="55"/>
  <c r="B60" i="63" s="1"/>
  <c r="A8" i="55"/>
  <c r="A6" i="54"/>
  <c r="A8" i="54"/>
  <c r="A7" i="54"/>
  <c r="A28" i="51"/>
  <c r="A27" i="51"/>
  <c r="B20" i="63" s="1"/>
  <c r="Q16" i="59"/>
  <c r="AB14" i="59"/>
  <c r="O16" i="59"/>
  <c r="Y14" i="59"/>
  <c r="Z14" i="59"/>
  <c r="N17" i="59"/>
  <c r="O17" i="59"/>
  <c r="P17" i="59"/>
  <c r="Q17" i="59"/>
  <c r="N16" i="59"/>
  <c r="X14" i="59"/>
  <c r="P16" i="59"/>
  <c r="B18" i="59"/>
  <c r="C18" i="59"/>
  <c r="D18" i="59"/>
  <c r="E18" i="59"/>
  <c r="F1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8" i="59"/>
  <c r="U18" i="59"/>
  <c r="T18" i="59"/>
  <c r="S18" i="59"/>
  <c r="B17" i="59"/>
  <c r="B16" i="59"/>
  <c r="B14" i="59"/>
  <c r="B13" i="59"/>
  <c r="B12" i="59"/>
  <c r="E17" i="59"/>
  <c r="E16" i="59"/>
  <c r="E14" i="59"/>
  <c r="E13" i="59"/>
  <c r="E12" i="59"/>
  <c r="E11" i="59"/>
  <c r="E10" i="59"/>
  <c r="C17" i="59"/>
  <c r="F17" i="59"/>
  <c r="F16" i="59"/>
  <c r="F14" i="59"/>
  <c r="V14" i="59"/>
  <c r="U14" i="59"/>
  <c r="S14" i="59"/>
  <c r="D17" i="59"/>
  <c r="C16"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F29" i="59"/>
  <c r="AD29" i="59"/>
  <c r="AD30" i="59"/>
  <c r="AE30" i="59"/>
  <c r="AF30" i="59"/>
  <c r="AG30" i="59"/>
  <c r="AH30"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AB28" i="59"/>
  <c r="AA28" i="59"/>
  <c r="Y28" i="59"/>
  <c r="X28" i="59"/>
  <c r="D16" i="59"/>
  <c r="S2" i="31"/>
  <c r="M2" i="31"/>
  <c r="N2" i="31"/>
  <c r="O2" i="31"/>
  <c r="P2" i="31"/>
  <c r="Q2" i="31"/>
  <c r="R2" i="31"/>
  <c r="C14" i="59"/>
  <c r="C13" i="59"/>
  <c r="C3" i="65"/>
  <c r="C1" i="65"/>
  <c r="N1" i="65"/>
  <c r="T14" i="59"/>
  <c r="D14"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19" i="63"/>
  <c r="B49" i="50"/>
  <c r="B5" i="63"/>
  <c r="B40" i="50"/>
  <c r="B3" i="63"/>
  <c r="N4" i="63"/>
  <c r="B21" i="63"/>
  <c r="B67" i="63"/>
  <c r="I19" i="46"/>
  <c r="Q18" i="59"/>
  <c r="P18" i="59"/>
  <c r="O18" i="59"/>
  <c r="N18" i="59"/>
  <c r="D79" i="59"/>
  <c r="F78" i="59"/>
  <c r="E78" i="59"/>
  <c r="E77" i="59"/>
  <c r="E76" i="59"/>
  <c r="C78" i="59"/>
  <c r="D78" i="59"/>
  <c r="B78" i="59"/>
  <c r="F77" i="59"/>
  <c r="F76" i="59"/>
  <c r="B77" i="59"/>
  <c r="B76" i="59"/>
  <c r="D75" i="59"/>
  <c r="F74" i="59"/>
  <c r="E74" i="59"/>
  <c r="E73" i="59"/>
  <c r="E72" i="59"/>
  <c r="C74" i="59"/>
  <c r="D74" i="59"/>
  <c r="B74" i="59"/>
  <c r="F73" i="59"/>
  <c r="F72" i="59"/>
  <c r="B73" i="59"/>
  <c r="B72"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F58" i="59"/>
  <c r="V58" i="59"/>
  <c r="E58" i="59"/>
  <c r="E57" i="59"/>
  <c r="P57" i="59"/>
  <c r="C58" i="59"/>
  <c r="B58" i="59"/>
  <c r="N58" i="59"/>
  <c r="F57" i="59"/>
  <c r="F56" i="59"/>
  <c r="Q56" i="59"/>
  <c r="B57" i="59"/>
  <c r="Q55"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D39" i="59"/>
  <c r="T38" i="59"/>
  <c r="Q38" i="59"/>
  <c r="P38" i="59"/>
  <c r="O38" i="59"/>
  <c r="N38" i="59"/>
  <c r="D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AB29" i="59"/>
  <c r="P29" i="59"/>
  <c r="O29" i="59"/>
  <c r="Y29" i="59"/>
  <c r="Z29" i="59"/>
  <c r="N29" i="59"/>
  <c r="X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O19" i="59"/>
  <c r="C20" i="59"/>
  <c r="N19" i="59"/>
  <c r="B20" i="59"/>
  <c r="D19" i="59"/>
  <c r="X3" i="59"/>
  <c r="X15" i="59"/>
  <c r="X16" i="59"/>
  <c r="X17" i="59"/>
  <c r="X18" i="59"/>
  <c r="AA3" i="59"/>
  <c r="AA15" i="59"/>
  <c r="AA16" i="59"/>
  <c r="AA17" i="59"/>
  <c r="AA18" i="59"/>
  <c r="Y15" i="59"/>
  <c r="Z15" i="59"/>
  <c r="Y16" i="59"/>
  <c r="Z16" i="59"/>
  <c r="Y17" i="59"/>
  <c r="Z17" i="59"/>
  <c r="Y18" i="59"/>
  <c r="Z18" i="59"/>
  <c r="AB18" i="59"/>
  <c r="AB3" i="59"/>
  <c r="AB15" i="59"/>
  <c r="AB16" i="59"/>
  <c r="AB17" i="59"/>
  <c r="B21" i="59"/>
  <c r="B22" i="59"/>
  <c r="S22" i="59"/>
  <c r="E20" i="59"/>
  <c r="E21" i="59"/>
  <c r="E22" i="59"/>
  <c r="U22" i="59"/>
  <c r="B41" i="59"/>
  <c r="B42" i="59"/>
  <c r="S42" i="59"/>
  <c r="E41" i="59"/>
  <c r="E42" i="59"/>
  <c r="U42" i="59"/>
  <c r="S58" i="59"/>
  <c r="Z28" i="59"/>
  <c r="AA29" i="59"/>
  <c r="F21" i="59"/>
  <c r="F22" i="59"/>
  <c r="V22" i="59"/>
  <c r="F25" i="59"/>
  <c r="F26" i="59"/>
  <c r="V26" i="59"/>
  <c r="F29" i="59"/>
  <c r="F30" i="59"/>
  <c r="V30" i="59"/>
  <c r="F33" i="59"/>
  <c r="F34" i="59"/>
  <c r="V34" i="59"/>
  <c r="F37" i="59"/>
  <c r="F38" i="59"/>
  <c r="V38" i="59"/>
  <c r="F45" i="59"/>
  <c r="F46" i="59"/>
  <c r="V46" i="59"/>
  <c r="F49" i="59"/>
  <c r="F50" i="59"/>
  <c r="V50" i="59"/>
  <c r="F53" i="59"/>
  <c r="F54" i="59"/>
  <c r="V54" i="59"/>
  <c r="C21" i="59"/>
  <c r="D20" i="59"/>
  <c r="C29" i="59"/>
  <c r="D28" i="59"/>
  <c r="C33" i="59"/>
  <c r="D32" i="59"/>
  <c r="C37" i="59"/>
  <c r="D37" i="59"/>
  <c r="D36" i="59"/>
  <c r="C41" i="59"/>
  <c r="D40" i="59"/>
  <c r="C45" i="59"/>
  <c r="D44" i="59"/>
  <c r="C49" i="59"/>
  <c r="D48" i="59"/>
  <c r="C53" i="59"/>
  <c r="D52" i="59"/>
  <c r="C25" i="59"/>
  <c r="D24" i="59"/>
  <c r="E56" i="59"/>
  <c r="N57" i="59"/>
  <c r="B56" i="59"/>
  <c r="Q57" i="59"/>
  <c r="T58" i="59"/>
  <c r="O58" i="59"/>
  <c r="D58" i="59"/>
  <c r="C57" i="59"/>
  <c r="P58" i="59"/>
  <c r="U58" i="59"/>
  <c r="Q58" i="59"/>
  <c r="C61" i="59"/>
  <c r="E61" i="59"/>
  <c r="E60" i="59"/>
  <c r="D62" i="59"/>
  <c r="C65" i="59"/>
  <c r="E65" i="59"/>
  <c r="E64" i="59"/>
  <c r="D66" i="59"/>
  <c r="C69" i="59"/>
  <c r="E69" i="59"/>
  <c r="E68" i="59"/>
  <c r="D70" i="59"/>
  <c r="C73" i="59"/>
  <c r="C77" i="59"/>
  <c r="U16" i="4"/>
  <c r="S16" i="4"/>
  <c r="Q16" i="4"/>
  <c r="O16" i="4"/>
  <c r="M16" i="4"/>
  <c r="K16" i="4"/>
  <c r="P55" i="59"/>
  <c r="P56" i="59"/>
  <c r="D77" i="59"/>
  <c r="C76" i="59"/>
  <c r="D76" i="59"/>
  <c r="D69" i="59"/>
  <c r="C68" i="59"/>
  <c r="D68" i="59"/>
  <c r="D61" i="59"/>
  <c r="C60" i="59"/>
  <c r="D60" i="59"/>
  <c r="C56" i="59"/>
  <c r="O57" i="59"/>
  <c r="D57" i="59"/>
  <c r="D73" i="59"/>
  <c r="C72" i="59"/>
  <c r="D72" i="59"/>
  <c r="D65" i="59"/>
  <c r="C64" i="59"/>
  <c r="D64" i="59"/>
  <c r="N55" i="59"/>
  <c r="N56" i="59"/>
  <c r="C26" i="59"/>
  <c r="D25" i="59"/>
  <c r="C54" i="59"/>
  <c r="D53" i="59"/>
  <c r="D49" i="59"/>
  <c r="C50" i="59"/>
  <c r="C46" i="59"/>
  <c r="D45" i="59"/>
  <c r="C42" i="59"/>
  <c r="D41" i="59"/>
  <c r="C34" i="59"/>
  <c r="D33" i="59"/>
  <c r="C30" i="59"/>
  <c r="D29" i="59"/>
  <c r="C22" i="59"/>
  <c r="D21" i="59"/>
  <c r="N16" i="4"/>
  <c r="L16" i="4"/>
  <c r="T50" i="59"/>
  <c r="D50" i="59"/>
  <c r="T22" i="59"/>
  <c r="D22" i="59"/>
  <c r="T30" i="59"/>
  <c r="D30" i="59"/>
  <c r="T34" i="59"/>
  <c r="D34" i="59"/>
  <c r="T42" i="59"/>
  <c r="D42" i="59"/>
  <c r="T46" i="59"/>
  <c r="D46" i="59"/>
  <c r="T54" i="59"/>
  <c r="D54" i="59"/>
  <c r="T26" i="59"/>
  <c r="D26" i="59"/>
  <c r="O56" i="59"/>
  <c r="D56" i="59"/>
  <c r="O55"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E14"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O11" i="1" s="1"/>
  <c r="P11" i="1" s="1"/>
  <c r="B9" i="1"/>
  <c r="E9" i="1"/>
  <c r="K9" i="1"/>
  <c r="M9" i="1" s="1"/>
  <c r="O9" i="1" s="1"/>
  <c r="P9" i="1" s="1"/>
  <c r="B7" i="1"/>
  <c r="E7" i="1"/>
  <c r="K7" i="1"/>
  <c r="M7" i="1" s="1"/>
  <c r="O7" i="1" s="1"/>
  <c r="P7" i="1" s="1"/>
  <c r="C20" i="43"/>
  <c r="F6" i="1"/>
  <c r="AP6" i="1" s="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s="1"/>
  <c r="A18" i="51"/>
  <c r="B14" i="63"/>
  <c r="BA16" i="3"/>
  <c r="BA17" i="3"/>
  <c r="AZ17" i="3"/>
  <c r="C24" i="12"/>
  <c r="F3" i="35"/>
  <c r="K1" i="43"/>
  <c r="K1" i="12"/>
  <c r="G1" i="44"/>
  <c r="I4" i="6"/>
  <c r="G3" i="46" s="1"/>
  <c r="AZ15" i="3"/>
  <c r="G5" i="3"/>
  <c r="B3" i="3" s="1"/>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B45" i="46"/>
  <c r="E100" i="46"/>
  <c r="G100"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s="1"/>
  <c r="H10" i="48"/>
  <c r="K10" i="1"/>
  <c r="M10" i="1" s="1"/>
  <c r="O10" i="1" s="1"/>
  <c r="P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50" i="3"/>
  <c r="A17" i="51"/>
  <c r="B13" i="63"/>
  <c r="E41" i="3"/>
  <c r="E471" i="3"/>
  <c r="E418" i="3"/>
  <c r="E408" i="3"/>
  <c r="E92" i="3"/>
  <c r="E238" i="3"/>
  <c r="E414" i="3"/>
  <c r="E44" i="3"/>
  <c r="E202" i="3"/>
  <c r="E58" i="39"/>
  <c r="E53" i="40"/>
  <c r="F27" i="6"/>
  <c r="E5" i="6"/>
  <c r="D21" i="12" s="1"/>
  <c r="C21" i="12" s="1"/>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89" i="3"/>
  <c r="E247" i="3"/>
  <c r="E363" i="3"/>
  <c r="E136" i="3"/>
  <c r="E113" i="3"/>
  <c r="E568" i="3"/>
  <c r="E79" i="3"/>
  <c r="E85" i="3"/>
  <c r="E425" i="3"/>
  <c r="E539" i="3"/>
  <c r="E401" i="3"/>
  <c r="E332" i="3"/>
  <c r="E257" i="3"/>
  <c r="E245" i="3"/>
  <c r="E272" i="3"/>
  <c r="AT6"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AZ5" i="3" s="1"/>
  <c r="E3" i="6" s="1"/>
  <c r="G29" i="6"/>
  <c r="E29" i="6"/>
  <c r="K15" i="1" s="1"/>
  <c r="AZ16" i="3"/>
  <c r="A9" i="64"/>
  <c r="A9" i="51"/>
  <c r="B9" i="63" s="1"/>
  <c r="A3" i="55"/>
  <c r="B56" i="63"/>
  <c r="E4" i="4"/>
  <c r="B21" i="55" s="1"/>
  <c r="B72" i="63" s="1"/>
  <c r="C4" i="4"/>
  <c r="G66" i="36"/>
  <c r="J18" i="36"/>
  <c r="AE8" i="1"/>
  <c r="AE7" i="1"/>
  <c r="W18" i="36"/>
  <c r="AC18" i="36"/>
  <c r="AG6" i="1"/>
  <c r="D12" i="11"/>
  <c r="C12" i="11" s="1"/>
  <c r="L20" i="6"/>
  <c r="L19" i="6"/>
  <c r="B20" i="55"/>
  <c r="B70" i="63"/>
  <c r="S7" i="1"/>
  <c r="S8" i="1"/>
  <c r="S9" i="1"/>
  <c r="R9" i="1"/>
  <c r="R7" i="1"/>
  <c r="R8" i="1"/>
  <c r="C45" i="9"/>
  <c r="H14" i="66"/>
  <c r="B7" i="66"/>
  <c r="C44" i="9"/>
  <c r="G14" i="66"/>
  <c r="B6" i="66"/>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D58" i="21"/>
  <c r="E58" i="21" s="1"/>
  <c r="D70" i="39"/>
  <c r="C72" i="39"/>
  <c r="D58" i="33"/>
  <c r="E58" i="33"/>
  <c r="F58" i="33" s="1"/>
  <c r="C67" i="40"/>
  <c r="D65" i="40"/>
  <c r="H58" i="46"/>
  <c r="J17" i="46"/>
  <c r="C17" i="46"/>
  <c r="F34" i="46"/>
  <c r="F38" i="46"/>
  <c r="F37" i="46"/>
  <c r="H113" i="46"/>
  <c r="H49" i="46"/>
  <c r="H53" i="46"/>
  <c r="D13" i="59"/>
  <c r="C12" i="59"/>
  <c r="D12" i="59"/>
  <c r="U10" i="59"/>
  <c r="F13" i="59"/>
  <c r="F12" i="59"/>
  <c r="F11" i="59"/>
  <c r="F10" i="59"/>
  <c r="Y12" i="59"/>
  <c r="Z12" i="59"/>
  <c r="AA12" i="59"/>
  <c r="AB12" i="59"/>
  <c r="Y11" i="59"/>
  <c r="Z11" i="59"/>
  <c r="Y10" i="59"/>
  <c r="Z10" i="59" s="1"/>
  <c r="Z8" i="59"/>
  <c r="Y9" i="59"/>
  <c r="Z9" i="59" s="1"/>
  <c r="AB11" i="59"/>
  <c r="AB10" i="59"/>
  <c r="AB9" i="59"/>
  <c r="AA14" i="59"/>
  <c r="X12" i="59"/>
  <c r="X10" i="59"/>
  <c r="X9" i="59"/>
  <c r="AA10" i="59"/>
  <c r="AA9" i="59"/>
  <c r="G30" i="6"/>
  <c r="G31" i="6" s="1"/>
  <c r="D10" i="11"/>
  <c r="C15" i="11"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25" i="12"/>
  <c r="C29" i="12"/>
  <c r="C27" i="43"/>
  <c r="C28" i="15"/>
  <c r="C15" i="12"/>
  <c r="H1" i="65"/>
  <c r="Q16" i="1"/>
  <c r="H51" i="46"/>
  <c r="X7" i="46"/>
  <c r="E17" i="46"/>
  <c r="N17" i="46"/>
  <c r="O17" i="46"/>
  <c r="M17" i="46"/>
  <c r="L17" i="46"/>
  <c r="E28" i="6"/>
  <c r="O13" i="1"/>
  <c r="E14" i="6"/>
  <c r="E66" i="39" s="1"/>
  <c r="E13" i="6"/>
  <c r="E65" i="39" s="1"/>
  <c r="E10" i="6"/>
  <c r="O12" i="1"/>
  <c r="AY6" i="3"/>
  <c r="D3" i="6" s="1"/>
  <c r="AP7" i="1"/>
  <c r="G13" i="1"/>
  <c r="E52" i="37"/>
  <c r="D46" i="36"/>
  <c r="E48" i="35"/>
  <c r="D59" i="34"/>
  <c r="H50" i="46"/>
  <c r="H48" i="46"/>
  <c r="F35" i="46"/>
  <c r="I17" i="46"/>
  <c r="H63" i="46"/>
  <c r="H64" i="46"/>
  <c r="H66" i="46"/>
  <c r="D100" i="46"/>
  <c r="H62" i="46"/>
  <c r="AF12" i="46"/>
  <c r="K100" i="46"/>
  <c r="AB12" i="46"/>
  <c r="AJ12" i="46"/>
  <c r="H60" i="46"/>
  <c r="H59" i="46"/>
  <c r="H74" i="46"/>
  <c r="H65" i="46"/>
  <c r="H75" i="46"/>
  <c r="E10" i="46"/>
  <c r="E9" i="46"/>
  <c r="E11" i="46"/>
  <c r="E8" i="46"/>
  <c r="C7" i="46" s="1"/>
  <c r="H72" i="46"/>
  <c r="H69" i="46"/>
  <c r="H77" i="46"/>
  <c r="H76" i="46"/>
  <c r="H55" i="46"/>
  <c r="H54" i="46"/>
  <c r="H52" i="46"/>
  <c r="H47" i="46"/>
  <c r="AD12" i="46"/>
  <c r="AH12" i="46"/>
  <c r="C11" i="59"/>
  <c r="C10" i="59"/>
  <c r="T10" i="59"/>
  <c r="B11" i="59"/>
  <c r="B10" i="59"/>
  <c r="S10" i="59"/>
  <c r="D11" i="59"/>
  <c r="E65" i="40"/>
  <c r="D67" i="40"/>
  <c r="E70" i="39"/>
  <c r="D72" i="39"/>
  <c r="V10" i="59"/>
  <c r="D10" i="59"/>
  <c r="AY425" i="3"/>
  <c r="AY378" i="3"/>
  <c r="AY446" i="3"/>
  <c r="AY287" i="3"/>
  <c r="AY478" i="3"/>
  <c r="AY212" i="3"/>
  <c r="AY134" i="3"/>
  <c r="AY165" i="3"/>
  <c r="AY354" i="3"/>
  <c r="E60" i="40"/>
  <c r="E61" i="40"/>
  <c r="K19" i="6"/>
  <c r="K20" i="6"/>
  <c r="M20" i="6" s="1"/>
  <c r="I20" i="6" s="1"/>
  <c r="S20" i="6" s="1"/>
  <c r="K14" i="1"/>
  <c r="M14" i="1" s="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F48" i="35"/>
  <c r="E46" i="36"/>
  <c r="E59" i="34"/>
  <c r="F59" i="34" s="1"/>
  <c r="F52" i="37"/>
  <c r="F70" i="39"/>
  <c r="E72" i="39"/>
  <c r="F65" i="40"/>
  <c r="E67" i="40"/>
  <c r="D9" i="59"/>
  <c r="D8" i="59"/>
  <c r="G52" i="37"/>
  <c r="G48" i="35"/>
  <c r="F46" i="36"/>
  <c r="G46" i="36"/>
  <c r="H46" i="36" s="1"/>
  <c r="F67" i="40"/>
  <c r="G65" i="40"/>
  <c r="F72" i="39"/>
  <c r="G70" i="39"/>
  <c r="H48" i="35"/>
  <c r="H52" i="37"/>
  <c r="H70" i="39"/>
  <c r="G72" i="39"/>
  <c r="H65" i="40"/>
  <c r="G67" i="40"/>
  <c r="I52" i="37"/>
  <c r="I48" i="35"/>
  <c r="H67" i="40"/>
  <c r="I65" i="40"/>
  <c r="I70" i="39"/>
  <c r="I72" i="39" s="1"/>
  <c r="H72" i="39"/>
  <c r="J48" i="35"/>
  <c r="J52" i="37"/>
  <c r="J65" i="40"/>
  <c r="I67" i="40"/>
  <c r="J70" i="39"/>
  <c r="K48" i="35"/>
  <c r="L48" i="35" s="1"/>
  <c r="K52" i="37"/>
  <c r="J72" i="39"/>
  <c r="K70" i="39"/>
  <c r="K65" i="40"/>
  <c r="J67" i="40"/>
  <c r="L52" i="37"/>
  <c r="L70" i="39"/>
  <c r="K72" i="39"/>
  <c r="K67" i="40"/>
  <c r="L65" i="40"/>
  <c r="M65" i="40" s="1"/>
  <c r="M52" i="37"/>
  <c r="N52" i="37" s="1"/>
  <c r="L67" i="40"/>
  <c r="L72" i="39"/>
  <c r="M70" i="39"/>
  <c r="N70" i="39"/>
  <c r="N72" i="39"/>
  <c r="M72" i="39"/>
  <c r="B13" i="67"/>
  <c r="F9" i="15"/>
  <c r="F9" i="67"/>
  <c r="I3" i="65"/>
  <c r="M9" i="15"/>
  <c r="J4" i="65"/>
  <c r="F43" i="44"/>
  <c r="J5" i="65"/>
  <c r="M10" i="44"/>
  <c r="F11" i="44"/>
  <c r="F15" i="44"/>
  <c r="N7" i="65"/>
  <c r="F42" i="15"/>
  <c r="F11" i="67"/>
  <c r="M8" i="15"/>
  <c r="J3" i="65"/>
  <c r="M28" i="44"/>
  <c r="B11" i="67"/>
  <c r="E13" i="67"/>
  <c r="E12" i="67"/>
  <c r="F13" i="67"/>
  <c r="F40" i="15"/>
  <c r="D20" i="9"/>
  <c r="M25" i="44"/>
  <c r="F8" i="67"/>
  <c r="E10" i="67"/>
  <c r="D19" i="9"/>
  <c r="I7" i="65"/>
  <c r="L47" i="15"/>
  <c r="F8" i="44"/>
  <c r="N5" i="65"/>
  <c r="M8" i="44"/>
  <c r="F41" i="15"/>
  <c r="M27" i="15"/>
  <c r="F13" i="15"/>
  <c r="F16" i="15"/>
  <c r="F40" i="44"/>
  <c r="C20" i="9"/>
  <c r="F18" i="44"/>
  <c r="J7" i="65"/>
  <c r="F43" i="15"/>
  <c r="M24" i="44"/>
  <c r="M31" i="44"/>
  <c r="B12" i="67"/>
  <c r="E9" i="67"/>
  <c r="F8" i="15"/>
  <c r="D21" i="9"/>
  <c r="M30" i="44"/>
  <c r="F28" i="44"/>
  <c r="M6" i="15"/>
  <c r="F10" i="67"/>
  <c r="F45" i="44"/>
  <c r="C21" i="9"/>
  <c r="J17" i="44"/>
  <c r="I6" i="65"/>
  <c r="I4" i="65"/>
  <c r="I5" i="65"/>
  <c r="M11" i="44"/>
  <c r="M29" i="44"/>
  <c r="F10" i="44"/>
  <c r="F38" i="15"/>
  <c r="F39" i="44"/>
  <c r="F37" i="15"/>
  <c r="F26" i="15"/>
  <c r="B14" i="67"/>
  <c r="J15" i="15"/>
  <c r="L48" i="15"/>
  <c r="L48" i="44"/>
  <c r="F36" i="15"/>
  <c r="F12" i="67"/>
  <c r="F6" i="15"/>
  <c r="N3" i="65"/>
  <c r="C15" i="43"/>
  <c r="M22" i="15"/>
  <c r="E8" i="67"/>
  <c r="N4" i="65"/>
  <c r="J36" i="15"/>
  <c r="B10" i="67"/>
  <c r="M29" i="15"/>
  <c r="F14" i="67"/>
  <c r="J6" i="65"/>
  <c r="M26" i="44"/>
  <c r="M24" i="15"/>
  <c r="M26" i="15"/>
  <c r="N6" i="65"/>
  <c r="E11" i="67"/>
  <c r="C19" i="9"/>
  <c r="E14" i="67"/>
  <c r="L49" i="44"/>
  <c r="M23" i="15"/>
  <c r="B8" i="67"/>
  <c r="B9" i="67"/>
  <c r="F38" i="44"/>
  <c r="M28" i="15"/>
  <c r="Y11" i="46" l="1"/>
  <c r="Y13" i="46" s="1"/>
  <c r="H101" i="46"/>
  <c r="G22" i="46"/>
  <c r="F101" i="46"/>
  <c r="D101" i="46"/>
  <c r="M101" i="46"/>
  <c r="AC11" i="46"/>
  <c r="AC13" i="46" s="1"/>
  <c r="AJ11" i="46"/>
  <c r="AJ13" i="46" s="1"/>
  <c r="C101" i="46"/>
  <c r="J101" i="46"/>
  <c r="N104" i="45"/>
  <c r="F22" i="46"/>
  <c r="Z7" i="46"/>
  <c r="E22" i="46"/>
  <c r="Z11" i="46"/>
  <c r="Z13" i="46" s="1"/>
  <c r="AA11" i="46"/>
  <c r="AA13" i="46" s="1"/>
  <c r="AF11" i="46"/>
  <c r="AF13" i="46" s="1"/>
  <c r="AB11" i="46"/>
  <c r="AB13" i="46" s="1"/>
  <c r="H22" i="46"/>
  <c r="J22" i="46"/>
  <c r="I101" i="46"/>
  <c r="N101" i="46"/>
  <c r="G101" i="46"/>
  <c r="B113" i="46"/>
  <c r="L101" i="46"/>
  <c r="K101" i="46"/>
  <c r="AG11" i="46"/>
  <c r="AG13" i="46" s="1"/>
  <c r="AI11" i="46"/>
  <c r="AI13" i="46" s="1"/>
  <c r="AE11" i="46"/>
  <c r="AE13" i="46" s="1"/>
  <c r="AD11" i="46"/>
  <c r="AD13" i="46" s="1"/>
  <c r="E101" i="46"/>
  <c r="AH11" i="46"/>
  <c r="AH13" i="46" s="1"/>
  <c r="K16" i="1"/>
  <c r="C8" i="11"/>
  <c r="C7" i="11" s="1"/>
  <c r="F1" i="46"/>
  <c r="D29" i="46"/>
  <c r="D1" i="46" s="1"/>
  <c r="AH6" i="1"/>
  <c r="C10" i="11"/>
  <c r="D22" i="46"/>
  <c r="F80" i="46"/>
  <c r="F30" i="44"/>
  <c r="C30" i="44" s="1"/>
  <c r="M20" i="44"/>
  <c r="F70" i="9"/>
  <c r="F32" i="15"/>
  <c r="F59" i="15" s="1"/>
  <c r="F72" i="9"/>
  <c r="F66" i="9"/>
  <c r="P72" i="9" s="1"/>
  <c r="D23" i="15"/>
  <c r="E109" i="46"/>
  <c r="K109" i="46"/>
  <c r="G107" i="46"/>
  <c r="B118" i="46"/>
  <c r="C118" i="46" s="1"/>
  <c r="G118" i="46"/>
  <c r="H118" i="46" s="1"/>
  <c r="D115" i="46"/>
  <c r="E115" i="46" s="1"/>
  <c r="F115" i="46" s="1"/>
  <c r="D117" i="46"/>
  <c r="E117" i="46" s="1"/>
  <c r="F117" i="46" s="1"/>
  <c r="G117" i="46" s="1"/>
  <c r="H117" i="46" s="1"/>
  <c r="D116" i="46"/>
  <c r="E116" i="46" s="1"/>
  <c r="F116" i="46" s="1"/>
  <c r="G116" i="46" s="1"/>
  <c r="H116" i="46" s="1"/>
  <c r="I118" i="46"/>
  <c r="J118" i="46" s="1"/>
  <c r="K118" i="46" s="1"/>
  <c r="L118" i="46" s="1"/>
  <c r="M118" i="46" s="1"/>
  <c r="L107" i="46"/>
  <c r="L104" i="46"/>
  <c r="E105" i="46"/>
  <c r="K104" i="46"/>
  <c r="K102" i="46"/>
  <c r="N103" i="46"/>
  <c r="N109" i="46"/>
  <c r="N104" i="46"/>
  <c r="K27" i="6"/>
  <c r="H16" i="1"/>
  <c r="M104" i="46"/>
  <c r="M109" i="46"/>
  <c r="M103" i="46"/>
  <c r="O14" i="1"/>
  <c r="P14" i="1" s="1"/>
  <c r="AY121" i="3"/>
  <c r="AY255" i="3"/>
  <c r="BG6" i="3"/>
  <c r="AY460" i="3"/>
  <c r="AY270" i="3"/>
  <c r="AY497" i="3"/>
  <c r="AY500" i="3"/>
  <c r="AY443" i="3"/>
  <c r="AY13" i="3"/>
  <c r="S6" i="1"/>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F31" i="6"/>
  <c r="O6" i="1"/>
  <c r="P6" i="1" s="1"/>
  <c r="M16" i="1"/>
  <c r="N16" i="1" s="1"/>
  <c r="L27" i="6"/>
  <c r="C22" i="4"/>
  <c r="A6" i="64" s="1"/>
  <c r="D19" i="6"/>
  <c r="D13" i="6"/>
  <c r="D23" i="6"/>
  <c r="D8" i="6"/>
  <c r="F44" i="9"/>
  <c r="D24" i="6"/>
  <c r="H20" i="6"/>
  <c r="D29" i="6"/>
  <c r="E44" i="9"/>
  <c r="D25" i="6"/>
  <c r="D28" i="6"/>
  <c r="K38" i="9"/>
  <c r="C14" i="66" s="1"/>
  <c r="B2" i="66" s="1"/>
  <c r="D9" i="6"/>
  <c r="E46" i="9"/>
  <c r="E63" i="40"/>
  <c r="H24" i="6"/>
  <c r="E45" i="9"/>
  <c r="M19" i="6"/>
  <c r="C106" i="46"/>
  <c r="AY508" i="3"/>
  <c r="BE6" i="3"/>
  <c r="AY521" i="3"/>
  <c r="AY570" i="3"/>
  <c r="AY196" i="3"/>
  <c r="AY261" i="3"/>
  <c r="AY444" i="3"/>
  <c r="AY451" i="3"/>
  <c r="AY554" i="3"/>
  <c r="AY93" i="3"/>
  <c r="AY567" i="3"/>
  <c r="AY15" i="3"/>
  <c r="AY489" i="3"/>
  <c r="AY221" i="3"/>
  <c r="AY148" i="3"/>
  <c r="AY64" i="3"/>
  <c r="AY38" i="3"/>
  <c r="AY30" i="3"/>
  <c r="J106" i="46"/>
  <c r="J104" i="46"/>
  <c r="J105" i="46"/>
  <c r="J109" i="46"/>
  <c r="C109" i="46"/>
  <c r="C107" i="46"/>
  <c r="C102" i="46"/>
  <c r="C105" i="46"/>
  <c r="AY37" i="3"/>
  <c r="AY203" i="3"/>
  <c r="AY277" i="3"/>
  <c r="AY286" i="3"/>
  <c r="AY72" i="3"/>
  <c r="AY382" i="3"/>
  <c r="AY91" i="3"/>
  <c r="AY274" i="3"/>
  <c r="AY114" i="3"/>
  <c r="AY558" i="3"/>
  <c r="AY156" i="3"/>
  <c r="AY27"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51" i="3"/>
  <c r="AY296" i="3"/>
  <c r="AY353" i="3"/>
  <c r="AY338" i="3"/>
  <c r="AY284" i="3"/>
  <c r="AY83" i="3"/>
  <c r="AY169" i="3"/>
  <c r="AY143" i="3"/>
  <c r="AY556" i="3"/>
  <c r="AY424" i="3"/>
  <c r="AY273" i="3"/>
  <c r="AY158" i="3"/>
  <c r="AY219" i="3"/>
  <c r="BA6" i="3"/>
  <c r="AY211" i="3"/>
  <c r="AY32" i="3"/>
  <c r="AY458" i="3"/>
  <c r="AY242" i="3"/>
  <c r="AY385" i="3"/>
  <c r="AY220" i="3"/>
  <c r="AY404" i="3"/>
  <c r="AY534" i="3"/>
  <c r="AY434" i="3"/>
  <c r="AY334" i="3"/>
  <c r="AY571" i="3"/>
  <c r="AY532" i="3"/>
  <c r="AY568" i="3"/>
  <c r="AY54" i="3"/>
  <c r="AY312" i="3"/>
  <c r="AY79" i="3"/>
  <c r="AY419" i="3"/>
  <c r="AY243" i="3"/>
  <c r="AY426" i="3"/>
  <c r="AY373" i="3"/>
  <c r="AY301" i="3"/>
  <c r="AY466" i="3"/>
  <c r="AY496" i="3"/>
  <c r="AY474" i="3"/>
  <c r="AY482" i="3"/>
  <c r="AY441" i="3"/>
  <c r="AY491" i="3"/>
  <c r="F33" i="12"/>
  <c r="C34" i="12" s="1"/>
  <c r="D33" i="12" s="1"/>
  <c r="F18" i="11"/>
  <c r="D16" i="12"/>
  <c r="E6" i="6"/>
  <c r="D6" i="6" s="1"/>
  <c r="L38" i="9"/>
  <c r="B14" i="66" s="1"/>
  <c r="B1" i="66" s="1"/>
  <c r="D45" i="9"/>
  <c r="C21" i="4"/>
  <c r="O5" i="54" s="1"/>
  <c r="B45" i="63" s="1"/>
  <c r="E15" i="6"/>
  <c r="D15" i="6" s="1"/>
  <c r="E12" i="6"/>
  <c r="D12" i="6" s="1"/>
  <c r="E11" i="6"/>
  <c r="P13" i="1"/>
  <c r="O8" i="1"/>
  <c r="P12" i="1"/>
  <c r="A6" i="51"/>
  <c r="B7" i="63" s="1"/>
  <c r="A20" i="51"/>
  <c r="B15" i="63" s="1"/>
  <c r="N5" i="54"/>
  <c r="B43" i="63" s="1"/>
  <c r="F46" i="9"/>
  <c r="H26" i="6"/>
  <c r="H22" i="6"/>
  <c r="D5" i="6"/>
  <c r="H25" i="6"/>
  <c r="D22" i="6"/>
  <c r="D26" i="6"/>
  <c r="E68" i="39"/>
  <c r="F45" i="9"/>
  <c r="H23" i="6"/>
  <c r="R23" i="6" s="1"/>
  <c r="D20" i="6"/>
  <c r="R20" i="6" s="1"/>
  <c r="D14" i="6"/>
  <c r="H21" i="6"/>
  <c r="D10" i="6"/>
  <c r="D21" i="6"/>
  <c r="R21" i="6" s="1"/>
  <c r="AY523" i="3"/>
  <c r="AY452" i="3"/>
  <c r="AY535" i="3"/>
  <c r="AY292" i="3"/>
  <c r="AY517" i="3"/>
  <c r="AY477" i="3"/>
  <c r="BJ6" i="3"/>
  <c r="AY180" i="3"/>
  <c r="AY536" i="3"/>
  <c r="AY439" i="3"/>
  <c r="AY511" i="3"/>
  <c r="AY167" i="3"/>
  <c r="AY94" i="3"/>
  <c r="AY541" i="3"/>
  <c r="AY51" i="3"/>
  <c r="AY551" i="3"/>
  <c r="AY462" i="3"/>
  <c r="AY473" i="3"/>
  <c r="AY332" i="3"/>
  <c r="AY33" i="3"/>
  <c r="AY102" i="3"/>
  <c r="AY306" i="3"/>
  <c r="AY89" i="3"/>
  <c r="AY522" i="3"/>
  <c r="AY533" i="3"/>
  <c r="AY59" i="3"/>
  <c r="AY119" i="3"/>
  <c r="AY173" i="3"/>
  <c r="AY470" i="3"/>
  <c r="AY237" i="3"/>
  <c r="AY345" i="3"/>
  <c r="AY23" i="3"/>
  <c r="AY347" i="3"/>
  <c r="AY61" i="3"/>
  <c r="AY513" i="3"/>
  <c r="AY488" i="3"/>
  <c r="AY566" i="3"/>
  <c r="AY18" i="3"/>
  <c r="AY228" i="3"/>
  <c r="AY423" i="3"/>
  <c r="AY260" i="3"/>
  <c r="BM6" i="3"/>
  <c r="AY252" i="3"/>
  <c r="AY205"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03" i="3"/>
  <c r="AY406" i="3"/>
  <c r="AY562" i="3"/>
  <c r="AY22" i="3"/>
  <c r="AY162" i="3"/>
  <c r="AY561" i="3"/>
  <c r="AY147" i="3"/>
  <c r="AY318" i="3"/>
  <c r="AY288" i="3"/>
  <c r="AY44" i="3"/>
  <c r="AY356" i="3"/>
  <c r="AY176" i="3"/>
  <c r="AY392" i="3"/>
  <c r="AY309" i="3"/>
  <c r="AY218" i="3"/>
  <c r="AY34" i="3"/>
  <c r="AY42" i="3"/>
  <c r="AY526" i="3"/>
  <c r="AY428" i="3"/>
  <c r="AY431" i="3"/>
  <c r="AY193" i="3"/>
  <c r="AY14" i="3"/>
  <c r="AY266" i="3"/>
  <c r="AY120" i="3"/>
  <c r="AY227" i="3"/>
  <c r="AY304" i="3"/>
  <c r="AY414" i="3"/>
  <c r="AY275" i="3"/>
  <c r="AY191" i="3"/>
  <c r="AY449" i="3"/>
  <c r="AY308" i="3"/>
  <c r="AY555" i="3"/>
  <c r="AY542" i="3"/>
  <c r="AY241" i="3"/>
  <c r="AY348" i="3"/>
  <c r="AY398" i="3"/>
  <c r="AY202" i="3"/>
  <c r="AY384" i="3"/>
  <c r="AY45" i="3"/>
  <c r="AY95"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82" i="3"/>
  <c r="AY41" i="3"/>
  <c r="AY128" i="3"/>
  <c r="AY504" i="3"/>
  <c r="AY182" i="3"/>
  <c r="AY175" i="3"/>
  <c r="AY264" i="3"/>
  <c r="AY467" i="3"/>
  <c r="AY479" i="3"/>
  <c r="AY139" i="3"/>
  <c r="AY364" i="3"/>
  <c r="AY70" i="3"/>
  <c r="AY238" i="3"/>
  <c r="BK6" i="3"/>
  <c r="AY115" i="3"/>
  <c r="AY435" i="3"/>
  <c r="AY230" i="3"/>
  <c r="AY132" i="3"/>
  <c r="AY420" i="3"/>
  <c r="AY188" i="3"/>
  <c r="AY157" i="3"/>
  <c r="AY35" i="3"/>
  <c r="AY124" i="3"/>
  <c r="AY525" i="3"/>
  <c r="AY21" i="3"/>
  <c r="AY92" i="3"/>
  <c r="AY293" i="3"/>
  <c r="AY386" i="3"/>
  <c r="AY411" i="3"/>
  <c r="AY187" i="3"/>
  <c r="AY271" i="3"/>
  <c r="AY445" i="3"/>
  <c r="AY200" i="3"/>
  <c r="AY335" i="3"/>
  <c r="AY111" i="3"/>
  <c r="AY224" i="3"/>
  <c r="AY85" i="3"/>
  <c r="AY369" i="3"/>
  <c r="AY229" i="3"/>
  <c r="AY430" i="3"/>
  <c r="AY314" i="3"/>
  <c r="AY320"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D7" i="66"/>
  <c r="D8" i="66"/>
  <c r="D6" i="66"/>
  <c r="G115" i="46"/>
  <c r="H115" i="46" s="1"/>
  <c r="G17" i="46"/>
  <c r="C16" i="46" s="1"/>
  <c r="D5" i="46" s="1"/>
  <c r="H73" i="46"/>
  <c r="H70" i="46"/>
  <c r="A25" i="51"/>
  <c r="B18" i="63" s="1"/>
  <c r="G6" i="1"/>
  <c r="G16" i="1" s="1"/>
  <c r="H12" i="40" s="1"/>
  <c r="AP16" i="1"/>
  <c r="M48" i="35"/>
  <c r="N48" i="35" s="1"/>
  <c r="O48" i="35" s="1"/>
  <c r="O52" i="37"/>
  <c r="J7" i="37"/>
  <c r="H7" i="37"/>
  <c r="F7" i="37"/>
  <c r="J9" i="39"/>
  <c r="W9" i="39" s="1"/>
  <c r="F9" i="39"/>
  <c r="S9" i="39" s="1"/>
  <c r="H9" i="39"/>
  <c r="U9" i="39" s="1"/>
  <c r="N65" i="40"/>
  <c r="N67" i="40" s="1"/>
  <c r="M67" i="40"/>
  <c r="F7" i="34"/>
  <c r="G59" i="34"/>
  <c r="H59" i="34" s="1"/>
  <c r="I59" i="34" s="1"/>
  <c r="J59" i="34" s="1"/>
  <c r="K59" i="34" s="1"/>
  <c r="L59" i="34" s="1"/>
  <c r="M59" i="34" s="1"/>
  <c r="N59" i="34" s="1"/>
  <c r="O59" i="34" s="1"/>
  <c r="H7" i="34"/>
  <c r="I46" i="36"/>
  <c r="F7" i="33"/>
  <c r="G58" i="33"/>
  <c r="H58" i="33" s="1"/>
  <c r="I58" i="33" s="1"/>
  <c r="J58" i="33" s="1"/>
  <c r="K58" i="33" s="1"/>
  <c r="L58" i="33" s="1"/>
  <c r="M58" i="33" s="1"/>
  <c r="N58" i="33" s="1"/>
  <c r="O58" i="33" s="1"/>
  <c r="H7" i="33"/>
  <c r="F58" i="21"/>
  <c r="G58" i="21" s="1"/>
  <c r="H58" i="21" s="1"/>
  <c r="I58" i="21" s="1"/>
  <c r="J58" i="21" s="1"/>
  <c r="K58" i="21" s="1"/>
  <c r="L58" i="21" s="1"/>
  <c r="M58" i="21" s="1"/>
  <c r="N58" i="21" s="1"/>
  <c r="O58" i="21" s="1"/>
  <c r="J7" i="33"/>
  <c r="E6" i="59"/>
  <c r="E5" i="59" s="1"/>
  <c r="B6" i="59"/>
  <c r="B5" i="59" s="1"/>
  <c r="X5" i="59"/>
  <c r="Y5" i="59"/>
  <c r="Z5" i="59" s="1"/>
  <c r="B4" i="52"/>
  <c r="B8" i="52"/>
  <c r="E22" i="52"/>
  <c r="E7" i="52"/>
  <c r="E13" i="52"/>
  <c r="E10" i="52"/>
  <c r="E8" i="52"/>
  <c r="B10" i="52"/>
  <c r="E4" i="52"/>
  <c r="E21" i="52"/>
  <c r="B9" i="52"/>
  <c r="E11" i="52"/>
  <c r="B11" i="52"/>
  <c r="B7" i="52"/>
  <c r="B6" i="52"/>
  <c r="B13" i="52"/>
  <c r="B14" i="52"/>
  <c r="E9" i="52"/>
  <c r="B22" i="52"/>
  <c r="E6" i="52"/>
  <c r="AA9" i="39"/>
  <c r="R49" i="39" s="1"/>
  <c r="E49" i="39" s="1"/>
  <c r="AB9" i="39"/>
  <c r="T49" i="39" s="1"/>
  <c r="G49" i="39" s="1"/>
  <c r="G53" i="39" s="1"/>
  <c r="H53" i="39" s="1"/>
  <c r="Y3" i="59"/>
  <c r="Z3" i="59" s="1"/>
  <c r="AB6" i="59"/>
  <c r="AA6" i="59"/>
  <c r="D6" i="59"/>
  <c r="M20" i="46" s="1"/>
  <c r="Y6" i="59"/>
  <c r="Z6" i="59" s="1"/>
  <c r="P22" i="46"/>
  <c r="P24" i="46"/>
  <c r="B68" i="40" s="1"/>
  <c r="P23" i="46"/>
  <c r="P25" i="46"/>
  <c r="B73" i="39" s="1"/>
  <c r="P21" i="46"/>
  <c r="AC9" i="39"/>
  <c r="V49" i="39" s="1"/>
  <c r="I49" i="39" s="1"/>
  <c r="L44" i="9"/>
  <c r="G20" i="9"/>
  <c r="E20" i="46"/>
  <c r="G21" i="9"/>
  <c r="L43" i="9"/>
  <c r="G19" i="9"/>
  <c r="D22" i="9"/>
  <c r="Q73" i="44"/>
  <c r="F65" i="15"/>
  <c r="C29" i="44"/>
  <c r="F68" i="15"/>
  <c r="J1" i="65"/>
  <c r="F67" i="15"/>
  <c r="F50" i="15"/>
  <c r="C27" i="15"/>
  <c r="F64" i="15"/>
  <c r="I1" i="65"/>
  <c r="F70" i="15"/>
  <c r="L59" i="15"/>
  <c r="L58" i="15"/>
  <c r="L60" i="44"/>
  <c r="L59" i="44"/>
  <c r="J53" i="15"/>
  <c r="J57" i="15"/>
  <c r="J55" i="15" s="1"/>
  <c r="J58" i="15" s="1"/>
  <c r="Q51" i="15" s="1"/>
  <c r="I54" i="15"/>
  <c r="L56" i="15"/>
  <c r="I55" i="44"/>
  <c r="J54" i="44"/>
  <c r="L57" i="44"/>
  <c r="J58" i="44"/>
  <c r="J56" i="44" s="1"/>
  <c r="J59" i="44" s="1"/>
  <c r="Q52" i="44" s="1"/>
  <c r="J60" i="44"/>
  <c r="J61" i="44"/>
  <c r="Q50" i="44" s="1"/>
  <c r="Q72" i="15"/>
  <c r="F63" i="15"/>
  <c r="C4" i="65"/>
  <c r="B39" i="1" s="1"/>
  <c r="F31" i="15"/>
  <c r="M19" i="44"/>
  <c r="M17" i="15"/>
  <c r="F33" i="44"/>
  <c r="F58" i="15"/>
  <c r="C19" i="44"/>
  <c r="C17" i="15"/>
  <c r="F9" i="44"/>
  <c r="C29" i="43"/>
  <c r="C18" i="44"/>
  <c r="F7" i="15"/>
  <c r="D16" i="43"/>
  <c r="F24" i="43"/>
  <c r="C16" i="15"/>
  <c r="E2" i="65"/>
  <c r="E3" i="65"/>
  <c r="F49" i="15" l="1"/>
  <c r="C48" i="15" s="1"/>
  <c r="C6" i="15"/>
  <c r="M7" i="15"/>
  <c r="C8" i="44"/>
  <c r="C34" i="44" s="1"/>
  <c r="M9" i="44"/>
  <c r="J8" i="44" s="1"/>
  <c r="J20" i="44" s="1"/>
  <c r="C18" i="11"/>
  <c r="S16" i="1"/>
  <c r="E104" i="46"/>
  <c r="E106" i="46"/>
  <c r="E107" i="46"/>
  <c r="E103" i="46"/>
  <c r="L102" i="46"/>
  <c r="L106" i="46"/>
  <c r="L103" i="46"/>
  <c r="L105" i="46"/>
  <c r="G106" i="46"/>
  <c r="G102" i="46"/>
  <c r="G109" i="46"/>
  <c r="G103" i="46"/>
  <c r="G105" i="46"/>
  <c r="I102" i="46"/>
  <c r="I107" i="46"/>
  <c r="I109" i="46"/>
  <c r="C23" i="46" s="1"/>
  <c r="C21" i="46" s="1"/>
  <c r="I106" i="46"/>
  <c r="I104" i="46"/>
  <c r="I103" i="46"/>
  <c r="J102" i="46"/>
  <c r="J103" i="46"/>
  <c r="J107" i="46"/>
  <c r="M107" i="46"/>
  <c r="M106" i="46"/>
  <c r="M105" i="46"/>
  <c r="M102" i="46"/>
  <c r="F104" i="46"/>
  <c r="F105" i="46"/>
  <c r="F106" i="46"/>
  <c r="F107" i="46"/>
  <c r="F109" i="46"/>
  <c r="F102" i="46"/>
  <c r="F103" i="46"/>
  <c r="H103" i="46"/>
  <c r="H107" i="46"/>
  <c r="H105" i="46"/>
  <c r="H104" i="46"/>
  <c r="H102" i="46"/>
  <c r="H109" i="46"/>
  <c r="H106" i="46"/>
  <c r="R25" i="6"/>
  <c r="A20" i="64"/>
  <c r="D30" i="6"/>
  <c r="I105" i="46"/>
  <c r="E102" i="46"/>
  <c r="L109" i="46"/>
  <c r="G104" i="46"/>
  <c r="K107" i="46"/>
  <c r="K106" i="46"/>
  <c r="K103" i="46"/>
  <c r="K105" i="46"/>
  <c r="I116" i="46"/>
  <c r="J116" i="46" s="1"/>
  <c r="K116" i="46" s="1"/>
  <c r="L116" i="46" s="1"/>
  <c r="M116" i="46" s="1"/>
  <c r="B115" i="46"/>
  <c r="D118" i="46"/>
  <c r="E118" i="46" s="1"/>
  <c r="F118" i="46" s="1"/>
  <c r="B117" i="46"/>
  <c r="C117" i="46" s="1"/>
  <c r="I115" i="46"/>
  <c r="J115" i="46" s="1"/>
  <c r="K115" i="46" s="1"/>
  <c r="L115" i="46" s="1"/>
  <c r="M115" i="46" s="1"/>
  <c r="B116" i="46"/>
  <c r="C116" i="46" s="1"/>
  <c r="I117" i="46"/>
  <c r="J117" i="46" s="1"/>
  <c r="K117" i="46" s="1"/>
  <c r="L117" i="46" s="1"/>
  <c r="M117" i="46" s="1"/>
  <c r="N105" i="46"/>
  <c r="N107" i="46"/>
  <c r="N106" i="46"/>
  <c r="N102" i="46"/>
  <c r="C104" i="46"/>
  <c r="C103" i="46"/>
  <c r="D103" i="46"/>
  <c r="D105" i="46"/>
  <c r="D104" i="46"/>
  <c r="D106" i="46"/>
  <c r="D107" i="46"/>
  <c r="D102" i="46"/>
  <c r="S7" i="46" s="1"/>
  <c r="D109" i="46"/>
  <c r="C16" i="43"/>
  <c r="C26" i="43"/>
  <c r="D24" i="43" s="1"/>
  <c r="C5" i="46"/>
  <c r="H81" i="46"/>
  <c r="H82" i="46"/>
  <c r="H87" i="46"/>
  <c r="H83" i="46"/>
  <c r="H80" i="46"/>
  <c r="H84" i="46"/>
  <c r="H86" i="46"/>
  <c r="H85" i="46"/>
  <c r="R22" i="6"/>
  <c r="AC6" i="3"/>
  <c r="H6" i="3"/>
  <c r="O16" i="1"/>
  <c r="J12" i="39"/>
  <c r="W12" i="39" s="1"/>
  <c r="F12" i="39"/>
  <c r="S12" i="39" s="1"/>
  <c r="H12" i="39"/>
  <c r="AB12" i="39" s="1"/>
  <c r="R26" i="6"/>
  <c r="F12" i="40"/>
  <c r="AA12" i="40" s="1"/>
  <c r="J12" i="40"/>
  <c r="W12" i="40" s="1"/>
  <c r="D27" i="6"/>
  <c r="T11" i="1"/>
  <c r="E16" i="6"/>
  <c r="T6" i="1"/>
  <c r="L16" i="1"/>
  <c r="R50" i="39"/>
  <c r="C49" i="39" s="1"/>
  <c r="P8" i="1"/>
  <c r="P16" i="1" s="1"/>
  <c r="C13" i="12" s="1"/>
  <c r="E59" i="40"/>
  <c r="E64" i="39"/>
  <c r="C7" i="66"/>
  <c r="C6" i="66"/>
  <c r="C8" i="66"/>
  <c r="E58" i="40"/>
  <c r="E63" i="39"/>
  <c r="E62" i="40"/>
  <c r="E67" i="39"/>
  <c r="D22" i="12"/>
  <c r="C22" i="12" s="1"/>
  <c r="C20" i="12" s="1"/>
  <c r="D13" i="11"/>
  <c r="C13" i="11" s="1"/>
  <c r="D19" i="12"/>
  <c r="C19" i="12" s="1"/>
  <c r="C16" i="12"/>
  <c r="I19" i="6"/>
  <c r="M27" i="6"/>
  <c r="D11" i="6"/>
  <c r="D16" i="6" s="1"/>
  <c r="R24" i="6"/>
  <c r="C19" i="46"/>
  <c r="J7" i="21"/>
  <c r="H7" i="21"/>
  <c r="F7" i="21"/>
  <c r="S12" i="40"/>
  <c r="AC12" i="40"/>
  <c r="AB12" i="40"/>
  <c r="U12" i="40"/>
  <c r="J46" i="36"/>
  <c r="J7" i="34"/>
  <c r="AA7" i="37"/>
  <c r="R42" i="37" s="1"/>
  <c r="S7" i="37"/>
  <c r="AC7" i="37"/>
  <c r="V42" i="37" s="1"/>
  <c r="I42" i="37" s="1"/>
  <c r="W7" i="37"/>
  <c r="F7" i="35"/>
  <c r="H7" i="35"/>
  <c r="AC7" i="33"/>
  <c r="V48" i="33" s="1"/>
  <c r="I48" i="33" s="1"/>
  <c r="W7" i="33"/>
  <c r="AB7" i="33"/>
  <c r="T48" i="33" s="1"/>
  <c r="G48" i="33" s="1"/>
  <c r="U7" i="33"/>
  <c r="AA7" i="33"/>
  <c r="R48" i="33" s="1"/>
  <c r="S7" i="33"/>
  <c r="AC12" i="39"/>
  <c r="U12" i="39"/>
  <c r="AB7" i="34"/>
  <c r="T49" i="34" s="1"/>
  <c r="G49" i="34" s="1"/>
  <c r="U7" i="34"/>
  <c r="S7" i="34"/>
  <c r="AA7" i="34"/>
  <c r="R49" i="34" s="1"/>
  <c r="H9" i="40"/>
  <c r="F9" i="40"/>
  <c r="J9" i="40"/>
  <c r="U7" i="37"/>
  <c r="AB7" i="37"/>
  <c r="T42" i="37" s="1"/>
  <c r="G42" i="37" s="1"/>
  <c r="J7" i="35"/>
  <c r="I54" i="39"/>
  <c r="J54" i="39" s="1"/>
  <c r="I53" i="39"/>
  <c r="J53" i="39" s="1"/>
  <c r="E54" i="39"/>
  <c r="F54" i="39" s="1"/>
  <c r="E53" i="39"/>
  <c r="F53" i="39" s="1"/>
  <c r="G54" i="39"/>
  <c r="H54" i="39" s="1"/>
  <c r="B40" i="1"/>
  <c r="F17" i="11"/>
  <c r="C17" i="11" s="1"/>
  <c r="C19" i="11" s="1"/>
  <c r="Q62" i="15"/>
  <c r="Q75" i="15"/>
  <c r="G22" i="9"/>
  <c r="C32" i="9"/>
  <c r="N43" i="9"/>
  <c r="M13" i="44"/>
  <c r="J12" i="44" s="1"/>
  <c r="F11" i="15"/>
  <c r="M11" i="15"/>
  <c r="J10" i="15" s="1"/>
  <c r="F13" i="44"/>
  <c r="Q75" i="44"/>
  <c r="Q62" i="44"/>
  <c r="C32" i="15"/>
  <c r="M28" i="46"/>
  <c r="P28" i="46"/>
  <c r="G20" i="46" s="1"/>
  <c r="O28" i="46"/>
  <c r="N28" i="46"/>
  <c r="F1" i="44"/>
  <c r="Q54" i="44"/>
  <c r="Q63" i="44"/>
  <c r="Q76" i="44"/>
  <c r="F1" i="15"/>
  <c r="Q53" i="15"/>
  <c r="Q61" i="15"/>
  <c r="Q74" i="15"/>
  <c r="J6" i="15"/>
  <c r="C16" i="44"/>
  <c r="C14" i="15"/>
  <c r="F46" i="44"/>
  <c r="C13" i="43"/>
  <c r="C12" i="44" l="1"/>
  <c r="C7" i="44" s="1"/>
  <c r="J7" i="44"/>
  <c r="J26" i="44" s="1"/>
  <c r="C15" i="15"/>
  <c r="C18" i="15"/>
  <c r="C20" i="44"/>
  <c r="C17" i="44"/>
  <c r="C50" i="39"/>
  <c r="AA12" i="39"/>
  <c r="D31" i="6"/>
  <c r="E6" i="3"/>
  <c r="S4" i="46"/>
  <c r="T8" i="1"/>
  <c r="T16" i="1" s="1"/>
  <c r="T13" i="1"/>
  <c r="T12" i="1"/>
  <c r="T10" i="1"/>
  <c r="T9" i="1"/>
  <c r="T7" i="1"/>
  <c r="S5" i="46"/>
  <c r="S6" i="46"/>
  <c r="C115" i="46"/>
  <c r="D113" i="46" s="1"/>
  <c r="S2" i="46"/>
  <c r="S3" i="46"/>
  <c r="E41" i="46"/>
  <c r="C41" i="46" s="1"/>
  <c r="C39" i="46" s="1"/>
  <c r="G39" i="46" s="1"/>
  <c r="I39" i="46" s="1"/>
  <c r="C20" i="46"/>
  <c r="T8" i="46" s="1"/>
  <c r="V8" i="46" s="1"/>
  <c r="I5" i="6"/>
  <c r="I6" i="6"/>
  <c r="C14" i="43"/>
  <c r="C17" i="43"/>
  <c r="I27" i="6"/>
  <c r="S19" i="6"/>
  <c r="S27" i="6" s="1"/>
  <c r="H19" i="6"/>
  <c r="C17" i="12"/>
  <c r="C14" i="12"/>
  <c r="G46" i="37"/>
  <c r="H46" i="37" s="1"/>
  <c r="G47" i="37"/>
  <c r="H47" i="37" s="1"/>
  <c r="AC7" i="35"/>
  <c r="V38" i="35" s="1"/>
  <c r="I38" i="35" s="1"/>
  <c r="W7" i="35"/>
  <c r="S9" i="40"/>
  <c r="AA9" i="40"/>
  <c r="R44" i="40" s="1"/>
  <c r="E49" i="34"/>
  <c r="R50" i="34"/>
  <c r="U7" i="35"/>
  <c r="AB7" i="35"/>
  <c r="T38" i="35" s="1"/>
  <c r="G38" i="35" s="1"/>
  <c r="W7" i="34"/>
  <c r="AC7" i="34"/>
  <c r="V49" i="34" s="1"/>
  <c r="I49" i="34" s="1"/>
  <c r="K46" i="36"/>
  <c r="U7" i="21"/>
  <c r="AB7" i="21"/>
  <c r="T48" i="21" s="1"/>
  <c r="G48" i="21" s="1"/>
  <c r="AC9" i="40"/>
  <c r="V44" i="40" s="1"/>
  <c r="I44" i="40" s="1"/>
  <c r="I48" i="40" s="1"/>
  <c r="J48" i="40" s="1"/>
  <c r="W9" i="40"/>
  <c r="U9" i="40"/>
  <c r="AB9" i="40"/>
  <c r="T44" i="40" s="1"/>
  <c r="G44" i="40" s="1"/>
  <c r="G54" i="34"/>
  <c r="H54" i="34" s="1"/>
  <c r="G53" i="34"/>
  <c r="H53" i="34" s="1"/>
  <c r="E48" i="33"/>
  <c r="R49" i="33"/>
  <c r="G52" i="33"/>
  <c r="H52" i="33" s="1"/>
  <c r="G53" i="33"/>
  <c r="H53" i="33" s="1"/>
  <c r="I52" i="33"/>
  <c r="J52" i="33" s="1"/>
  <c r="I53" i="33"/>
  <c r="J53" i="33" s="1"/>
  <c r="AA7" i="35"/>
  <c r="R38" i="35" s="1"/>
  <c r="S7" i="35"/>
  <c r="I46" i="37"/>
  <c r="J46" i="37" s="1"/>
  <c r="R43" i="37"/>
  <c r="E42" i="37"/>
  <c r="AA7" i="21"/>
  <c r="R48" i="21" s="1"/>
  <c r="S7" i="21"/>
  <c r="AC7" i="21"/>
  <c r="V48" i="21" s="1"/>
  <c r="I48" i="21" s="1"/>
  <c r="W7" i="21"/>
  <c r="B59" i="39"/>
  <c r="F59" i="39" s="1"/>
  <c r="B65" i="39"/>
  <c r="F65" i="39" s="1"/>
  <c r="B63" i="39"/>
  <c r="F63" i="39" s="1"/>
  <c r="B64" i="39"/>
  <c r="F64" i="39" s="1"/>
  <c r="B66" i="39"/>
  <c r="F66" i="39" s="1"/>
  <c r="B61" i="39"/>
  <c r="F61" i="39" s="1"/>
  <c r="B67" i="39"/>
  <c r="F67" i="39" s="1"/>
  <c r="B60" i="39"/>
  <c r="F60" i="39" s="1"/>
  <c r="B62" i="39"/>
  <c r="F62" i="39" s="1"/>
  <c r="F68" i="39"/>
  <c r="B2" i="39" s="1"/>
  <c r="B58" i="39"/>
  <c r="F58" i="39" s="1"/>
  <c r="J18" i="15"/>
  <c r="J5" i="15"/>
  <c r="C40" i="44"/>
  <c r="J28" i="44"/>
  <c r="J31" i="44" s="1"/>
  <c r="O43" i="9"/>
  <c r="C42" i="9"/>
  <c r="C35" i="9"/>
  <c r="F42" i="9" s="1"/>
  <c r="C34" i="9"/>
  <c r="O38" i="9"/>
  <c r="C33" i="9"/>
  <c r="C52" i="15"/>
  <c r="C47" i="15" s="1"/>
  <c r="C10" i="15"/>
  <c r="C5" i="15" s="1"/>
  <c r="C20" i="11"/>
  <c r="C21" i="11" s="1"/>
  <c r="C22" i="11" s="1"/>
  <c r="C23" i="11" s="1"/>
  <c r="B2" i="11" s="1"/>
  <c r="F21" i="43"/>
  <c r="C23" i="43" s="1"/>
  <c r="D21" i="43" s="1"/>
  <c r="F24" i="15"/>
  <c r="C24" i="15" s="1"/>
  <c r="F26" i="12"/>
  <c r="F26" i="44"/>
  <c r="C26" i="44" s="1"/>
  <c r="C21" i="44" l="1"/>
  <c r="C22" i="44" s="1"/>
  <c r="C35" i="46"/>
  <c r="E35" i="46" s="1"/>
  <c r="C19" i="15"/>
  <c r="C20" i="15" s="1"/>
  <c r="T16" i="46"/>
  <c r="V16" i="46" s="1"/>
  <c r="T6" i="46"/>
  <c r="V6" i="46" s="1"/>
  <c r="T14" i="46"/>
  <c r="V14" i="46" s="1"/>
  <c r="C37" i="46"/>
  <c r="E37" i="46" s="1"/>
  <c r="C29" i="46"/>
  <c r="T7" i="46"/>
  <c r="V7" i="46" s="1"/>
  <c r="T2" i="46"/>
  <c r="V2" i="46" s="1"/>
  <c r="T5" i="46"/>
  <c r="V5" i="46" s="1"/>
  <c r="C38" i="46"/>
  <c r="G38" i="46" s="1"/>
  <c r="I38" i="46" s="1"/>
  <c r="T10" i="46"/>
  <c r="V10" i="46" s="1"/>
  <c r="C33" i="46"/>
  <c r="T3" i="46"/>
  <c r="V3" i="46" s="1"/>
  <c r="C36" i="46"/>
  <c r="G36" i="46" s="1"/>
  <c r="I36" i="46" s="1"/>
  <c r="T4" i="46"/>
  <c r="V4" i="46" s="1"/>
  <c r="C34" i="46"/>
  <c r="G34" i="46" s="1"/>
  <c r="I34" i="46" s="1"/>
  <c r="T12" i="46"/>
  <c r="V12" i="46" s="1"/>
  <c r="T15" i="46"/>
  <c r="V15" i="46" s="1"/>
  <c r="T11" i="46"/>
  <c r="V11" i="46" s="1"/>
  <c r="T13" i="46"/>
  <c r="V13" i="46" s="1"/>
  <c r="T9" i="46"/>
  <c r="V9" i="46" s="1"/>
  <c r="E34" i="46"/>
  <c r="C18" i="43"/>
  <c r="C19" i="43" s="1"/>
  <c r="C25" i="43" s="1"/>
  <c r="C24" i="43" s="1"/>
  <c r="C18" i="12"/>
  <c r="C23" i="12" s="1"/>
  <c r="C35" i="12" s="1"/>
  <c r="C33" i="12" s="1"/>
  <c r="H27" i="6"/>
  <c r="R19" i="6"/>
  <c r="G35" i="46"/>
  <c r="I35" i="46" s="1"/>
  <c r="E39" i="46"/>
  <c r="I52" i="21"/>
  <c r="J52" i="21" s="1"/>
  <c r="R49" i="21"/>
  <c r="E48" i="21"/>
  <c r="C42" i="37"/>
  <c r="C43" i="37"/>
  <c r="B3" i="37" s="1"/>
  <c r="B2" i="37" s="1"/>
  <c r="R39" i="35"/>
  <c r="E38" i="35"/>
  <c r="E52" i="33"/>
  <c r="F52" i="33" s="1"/>
  <c r="E53" i="33"/>
  <c r="F53" i="33" s="1"/>
  <c r="I54" i="34"/>
  <c r="J54" i="34" s="1"/>
  <c r="I53" i="34"/>
  <c r="J53" i="34" s="1"/>
  <c r="G42" i="35"/>
  <c r="H42" i="35" s="1"/>
  <c r="G43" i="35"/>
  <c r="H43" i="35" s="1"/>
  <c r="C50" i="34"/>
  <c r="B3" i="34" s="1"/>
  <c r="B2" i="34" s="1"/>
  <c r="C49" i="34"/>
  <c r="R45" i="40"/>
  <c r="E44" i="40"/>
  <c r="E47" i="37"/>
  <c r="F47" i="37" s="1"/>
  <c r="E46" i="37"/>
  <c r="F46" i="37" s="1"/>
  <c r="I47" i="37"/>
  <c r="J47" i="37" s="1"/>
  <c r="C49" i="33"/>
  <c r="B3" i="33" s="1"/>
  <c r="B2" i="33" s="1"/>
  <c r="C48" i="33"/>
  <c r="G49" i="40"/>
  <c r="H49" i="40" s="1"/>
  <c r="G48" i="40"/>
  <c r="H48" i="40" s="1"/>
  <c r="G52" i="21"/>
  <c r="H52" i="21" s="1"/>
  <c r="G53" i="21"/>
  <c r="H53" i="21" s="1"/>
  <c r="L46" i="36"/>
  <c r="E54" i="34"/>
  <c r="F54" i="34" s="1"/>
  <c r="E53" i="34"/>
  <c r="F53" i="34" s="1"/>
  <c r="I43" i="35"/>
  <c r="J43" i="35" s="1"/>
  <c r="I42" i="35"/>
  <c r="J42" i="35" s="1"/>
  <c r="B4" i="39"/>
  <c r="B5" i="39"/>
  <c r="B3" i="39"/>
  <c r="C25" i="44"/>
  <c r="C65" i="15"/>
  <c r="C59" i="15"/>
  <c r="N38" i="9"/>
  <c r="K28" i="9" s="1"/>
  <c r="D42" i="9"/>
  <c r="Q5" i="54" s="1"/>
  <c r="B47" i="63" s="1"/>
  <c r="R5" i="54"/>
  <c r="B48" i="63" s="1"/>
  <c r="D63" i="9"/>
  <c r="N68" i="9"/>
  <c r="B5" i="11"/>
  <c r="B3" i="11"/>
  <c r="B4" i="11"/>
  <c r="C27" i="12"/>
  <c r="D26" i="12" s="1"/>
  <c r="C32" i="12" s="1"/>
  <c r="D30" i="12" s="1"/>
  <c r="C28" i="44"/>
  <c r="K26" i="9"/>
  <c r="K25" i="9"/>
  <c r="J26" i="15"/>
  <c r="J29" i="15" s="1"/>
  <c r="J24" i="15"/>
  <c r="C38" i="15"/>
  <c r="E42" i="9"/>
  <c r="P5" i="54" s="1"/>
  <c r="B46" i="63" s="1"/>
  <c r="M38" i="9"/>
  <c r="K27" i="9" s="1"/>
  <c r="Q58" i="44"/>
  <c r="Q67" i="44"/>
  <c r="Q49" i="44"/>
  <c r="Q55" i="44" s="1"/>
  <c r="C26" i="15" l="1"/>
  <c r="C23" i="15"/>
  <c r="G8" i="69"/>
  <c r="G14" i="69" s="1"/>
  <c r="C30" i="46"/>
  <c r="E30" i="46" s="1"/>
  <c r="C6" i="69"/>
  <c r="G37" i="46"/>
  <c r="I37" i="46" s="1"/>
  <c r="E29" i="46"/>
  <c r="E38" i="46"/>
  <c r="E36" i="46"/>
  <c r="G33" i="46"/>
  <c r="I33" i="46" s="1"/>
  <c r="E33" i="46"/>
  <c r="C22" i="43"/>
  <c r="C21" i="43" s="1"/>
  <c r="C28" i="43" s="1"/>
  <c r="C30" i="43" s="1"/>
  <c r="C28" i="12"/>
  <c r="C26" i="12" s="1"/>
  <c r="C31" i="12" s="1"/>
  <c r="C30" i="12" s="1"/>
  <c r="C36" i="12" s="1"/>
  <c r="B2" i="12" s="1"/>
  <c r="B3" i="12" s="1"/>
  <c r="R27" i="6"/>
  <c r="R6" i="1"/>
  <c r="M46" i="36"/>
  <c r="I49" i="40"/>
  <c r="J49" i="40" s="1"/>
  <c r="E48" i="40"/>
  <c r="F48" i="40" s="1"/>
  <c r="E49" i="40"/>
  <c r="F49" i="40" s="1"/>
  <c r="E43" i="35"/>
  <c r="F43" i="35" s="1"/>
  <c r="E42" i="35"/>
  <c r="F42" i="35" s="1"/>
  <c r="E53" i="21"/>
  <c r="F53" i="21" s="1"/>
  <c r="E52" i="21"/>
  <c r="F52" i="21" s="1"/>
  <c r="I53" i="21"/>
  <c r="J53" i="21" s="1"/>
  <c r="C45" i="40"/>
  <c r="C44" i="40"/>
  <c r="C38" i="35"/>
  <c r="C39" i="35"/>
  <c r="B3" i="35" s="1"/>
  <c r="B2" i="35" s="1"/>
  <c r="C48" i="21"/>
  <c r="C49" i="21"/>
  <c r="B3" i="21" s="1"/>
  <c r="B2" i="21" s="1"/>
  <c r="C31" i="44"/>
  <c r="C15" i="44" s="1"/>
  <c r="C111" i="9"/>
  <c r="C104" i="9" s="1"/>
  <c r="C96" i="9"/>
  <c r="C91" i="9" s="1"/>
  <c r="C82" i="9"/>
  <c r="C81" i="9" s="1"/>
  <c r="C85" i="9" s="1"/>
  <c r="C86" i="9" s="1"/>
  <c r="D72" i="9" s="1"/>
  <c r="C103" i="9"/>
  <c r="D70" i="9"/>
  <c r="C90" i="9"/>
  <c r="D77" i="9"/>
  <c r="N75" i="9" s="1"/>
  <c r="D71" i="9"/>
  <c r="D66" i="9" s="1"/>
  <c r="N72" i="9" s="1"/>
  <c r="M23" i="44"/>
  <c r="M21" i="15"/>
  <c r="F37" i="44"/>
  <c r="F35" i="15"/>
  <c r="F7" i="67"/>
  <c r="C29" i="15" l="1"/>
  <c r="Q50" i="15" s="1"/>
  <c r="C34" i="15"/>
  <c r="F62" i="15"/>
  <c r="C61" i="15" s="1"/>
  <c r="C36" i="44"/>
  <c r="J20" i="15"/>
  <c r="J22" i="44"/>
  <c r="R16" i="1"/>
  <c r="C27" i="46"/>
  <c r="E4" i="67"/>
  <c r="C26" i="46"/>
  <c r="B55" i="40"/>
  <c r="F55" i="40" s="1"/>
  <c r="B56" i="40"/>
  <c r="F56" i="40" s="1"/>
  <c r="B59" i="40"/>
  <c r="F59" i="40" s="1"/>
  <c r="B53" i="40"/>
  <c r="F53" i="40" s="1"/>
  <c r="B60" i="40"/>
  <c r="F60" i="40" s="1"/>
  <c r="B54" i="40"/>
  <c r="F54" i="40" s="1"/>
  <c r="B57" i="40"/>
  <c r="F57" i="40" s="1"/>
  <c r="B61" i="40"/>
  <c r="F61" i="40" s="1"/>
  <c r="B62" i="40"/>
  <c r="F62" i="40" s="1"/>
  <c r="F63" i="40"/>
  <c r="B2" i="40" s="1"/>
  <c r="B58" i="40"/>
  <c r="F58" i="40" s="1"/>
  <c r="N46" i="36"/>
  <c r="C97" i="9"/>
  <c r="C98" i="9" s="1"/>
  <c r="E98" i="9" s="1"/>
  <c r="E99" i="9" s="1"/>
  <c r="Q51" i="44"/>
  <c r="J21" i="44"/>
  <c r="J59" i="15"/>
  <c r="J60" i="15" s="1"/>
  <c r="Q49" i="15" s="1"/>
  <c r="B4" i="12"/>
  <c r="C35" i="44"/>
  <c r="C38" i="44"/>
  <c r="C113" i="9"/>
  <c r="C114" i="9" s="1"/>
  <c r="E114" i="9" s="1"/>
  <c r="E115" i="9" s="1"/>
  <c r="B5" i="12"/>
  <c r="J16" i="44"/>
  <c r="J24" i="44" s="1"/>
  <c r="C39" i="44"/>
  <c r="Q72" i="44"/>
  <c r="C43" i="44"/>
  <c r="E7" i="67"/>
  <c r="C36" i="15" l="1"/>
  <c r="J19" i="44"/>
  <c r="C13" i="15"/>
  <c r="C37" i="15" s="1"/>
  <c r="J19" i="15"/>
  <c r="J17" i="15" s="1"/>
  <c r="J14" i="15"/>
  <c r="J22" i="15" s="1"/>
  <c r="C56" i="15"/>
  <c r="C60" i="15" s="1"/>
  <c r="C58" i="15" s="1"/>
  <c r="C33" i="15"/>
  <c r="C31" i="15" s="1"/>
  <c r="C30" i="15" s="1"/>
  <c r="C39" i="15" s="1"/>
  <c r="C33" i="44"/>
  <c r="C32" i="44" s="1"/>
  <c r="C42" i="44" s="1"/>
  <c r="Q71" i="44" s="1"/>
  <c r="Q70" i="44" s="1"/>
  <c r="E3" i="67"/>
  <c r="B2" i="46"/>
  <c r="O46" i="36"/>
  <c r="F7" i="36"/>
  <c r="H7" i="36"/>
  <c r="B4" i="40"/>
  <c r="B3" i="40"/>
  <c r="B5" i="40"/>
  <c r="J7" i="36"/>
  <c r="C99" i="9"/>
  <c r="J35" i="15"/>
  <c r="C63" i="15"/>
  <c r="C55" i="15"/>
  <c r="C64" i="15" s="1"/>
  <c r="J15" i="44"/>
  <c r="J25" i="44" s="1"/>
  <c r="J18" i="44" s="1"/>
  <c r="J27" i="44" s="1"/>
  <c r="C115" i="9"/>
  <c r="D76" i="9" s="1"/>
  <c r="D74" i="9" s="1"/>
  <c r="N74" i="9" s="1"/>
  <c r="O77" i="9" s="1"/>
  <c r="O78" i="9" s="1"/>
  <c r="B7" i="67"/>
  <c r="Q71" i="15" l="1"/>
  <c r="J13" i="15"/>
  <c r="J23" i="15" s="1"/>
  <c r="J16" i="15" s="1"/>
  <c r="J25" i="15" s="1"/>
  <c r="B2" i="67"/>
  <c r="B3" i="46"/>
  <c r="D4" i="46"/>
  <c r="B4" i="46"/>
  <c r="S7" i="36"/>
  <c r="AA7" i="36"/>
  <c r="R36" i="36" s="1"/>
  <c r="W7" i="36"/>
  <c r="AC7" i="36"/>
  <c r="V36" i="36" s="1"/>
  <c r="I36" i="36" s="1"/>
  <c r="AB7" i="36"/>
  <c r="T36" i="36" s="1"/>
  <c r="G36" i="36" s="1"/>
  <c r="U7" i="36"/>
  <c r="C40" i="15"/>
  <c r="Q70" i="15"/>
  <c r="C44" i="44"/>
  <c r="C45" i="44" s="1"/>
  <c r="J39" i="15"/>
  <c r="J40" i="15" s="1"/>
  <c r="C57" i="15"/>
  <c r="C66" i="15" s="1"/>
  <c r="C67" i="15" s="1"/>
  <c r="C70" i="15" s="1"/>
  <c r="Q77" i="9"/>
  <c r="O79" i="9"/>
  <c r="O81" i="9" s="1"/>
  <c r="L51" i="15"/>
  <c r="Q69" i="15" l="1"/>
  <c r="Q57" i="15"/>
  <c r="C10" i="43"/>
  <c r="C6" i="43" s="1"/>
  <c r="B3" i="67"/>
  <c r="B4" i="67"/>
  <c r="I40" i="36"/>
  <c r="J40" i="36" s="1"/>
  <c r="R37" i="36"/>
  <c r="E36" i="36"/>
  <c r="G41" i="36"/>
  <c r="H41" i="36" s="1"/>
  <c r="G40" i="36"/>
  <c r="H40" i="36" s="1"/>
  <c r="Q48" i="15"/>
  <c r="Q54" i="15" s="1"/>
  <c r="Q66" i="15"/>
  <c r="J42" i="15"/>
  <c r="J43" i="15" s="1"/>
  <c r="C43" i="15"/>
  <c r="C8" i="43" s="1"/>
  <c r="B2" i="44"/>
  <c r="B3" i="44" s="1"/>
  <c r="L52" i="44"/>
  <c r="Q68" i="15"/>
  <c r="L57" i="15"/>
  <c r="L60" i="15" s="1"/>
  <c r="C46" i="15"/>
  <c r="O80" i="9"/>
  <c r="C31" i="43" l="1"/>
  <c r="C32" i="43" s="1"/>
  <c r="B2" i="43" s="1"/>
  <c r="Q67" i="15"/>
  <c r="Q76" i="15" s="1"/>
  <c r="L46" i="15"/>
  <c r="B2" i="15" s="1"/>
  <c r="B3" i="15" s="1"/>
  <c r="B4" i="44"/>
  <c r="C37" i="36"/>
  <c r="B3" i="36" s="1"/>
  <c r="B2" i="36" s="1"/>
  <c r="C36" i="36"/>
  <c r="E40" i="36"/>
  <c r="F40" i="36" s="1"/>
  <c r="E41" i="36"/>
  <c r="F41" i="36" s="1"/>
  <c r="I41" i="36"/>
  <c r="J41" i="36" s="1"/>
  <c r="B5" i="44"/>
  <c r="L58" i="44"/>
  <c r="L61" i="44" s="1"/>
  <c r="L47" i="44" s="1"/>
  <c r="Q69" i="44"/>
  <c r="Q58" i="15"/>
  <c r="Q63" i="15" s="1"/>
  <c r="B5" i="43"/>
  <c r="B3" i="43"/>
  <c r="E6" i="69" l="1"/>
  <c r="G12" i="69" s="1"/>
  <c r="J11" i="69" s="1"/>
  <c r="K11" i="69" s="1"/>
  <c r="Q68" i="44"/>
  <c r="Q77" i="44" s="1"/>
  <c r="Q59" i="44"/>
  <c r="Q64" i="44" s="1"/>
  <c r="B4" i="43"/>
  <c r="G6" i="69" l="1"/>
  <c r="J7" i="69" l="1"/>
  <c r="D14" i="66" s="1"/>
  <c r="K7" i="69" l="1"/>
  <c r="E14" i="66"/>
  <c r="B5" i="66"/>
  <c r="F14"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<sst xmlns="http://schemas.openxmlformats.org/spreadsheetml/2006/main" count="7118" uniqueCount="3184">
  <si>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</si>
  <si>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</si>
  <si>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</si>
  <si>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</si>
  <si>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</si>
  <si>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</si>
  <si>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</si>
  <si>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</si>
  <si>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</si>
  <si>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</si>
  <si>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</si>
  <si>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</si>
  <si>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</si>
  <si>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</si>
  <si>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</si>
  <si>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</si>
  <si>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</si>
  <si>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</si>
  <si>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</si>
  <si>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</si>
  <si>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</si>
  <si>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</si>
  <si>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</si>
  <si>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</si>
  <si>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</si>
  <si>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</si>
  <si>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</si>
  <si>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</si>
  <si>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</si>
  <si>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</si>
  <si>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</si>
  <si>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</si>
  <si>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</si>
  <si>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</si>
  <si>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</si>
  <si>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</si>
  <si>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</si>
  <si>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</si>
  <si>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</si>
  <si>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</si>
  <si>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</si>
  <si>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</si>
  <si>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</si>
  <si>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</si>
  <si>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</si>
  <si>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</si>
  <si>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</si>
  <si>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</si>
  <si>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</si>
  <si>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</si>
  <si>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</si>
  <si>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</si>
  <si>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</si>
  <si>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</si>
  <si>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</si>
  <si>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</si>
  <si>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</si>
  <si>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</si>
  <si>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</si>
  <si>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</si>
  <si>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</si>
  <si>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</si>
  <si>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</si>
  <si>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</si>
  <si>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</si>
  <si>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</si>
  <si>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</si>
  <si>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</si>
  <si>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</si>
  <si>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</si>
  <si>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</si>
  <si>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</si>
  <si>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</si>
  <si>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</si>
  <si>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</si>
  <si>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</si>
  <si>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</si>
  <si>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</si>
  <si>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</si>
  <si>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</si>
  <si>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</si>
  <si>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</si>
  <si>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</si>
  <si>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</si>
  <si>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</si>
  <si>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</si>
  <si>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</si>
  <si>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</si>
  <si>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</si>
  <si>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</si>
  <si>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</si>
  <si>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</si>
  <si>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</si>
  <si>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</si>
  <si>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</si>
  <si>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</si>
  <si>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</si>
  <si>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</si>
  <si>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</si>
  <si>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</si>
  <si>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</si>
  <si>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</si>
  <si>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</si>
  <si>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</si>
  <si>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</si>
  <si>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</si>
  <si>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</si>
  <si>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</si>
  <si>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</si>
  <si>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</si>
  <si>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</si>
  <si>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</si>
  <si>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</si>
  <si>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</si>
  <si>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</si>
  <si>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</si>
  <si>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</si>
  <si>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</si>
  <si>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</si>
  <si>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</si>
  <si>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</si>
  <si>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</si>
  <si>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</si>
  <si>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</si>
  <si>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</si>
  <si>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</si>
  <si>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</si>
  <si>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</si>
  <si>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</si>
  <si>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</si>
  <si>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</si>
  <si>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</si>
  <si>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</si>
  <si>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</si>
  <si>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</si>
  <si>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</si>
  <si>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</si>
  <si>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</si>
  <si>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</si>
  <si>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</si>
  <si>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</si>
  <si>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</si>
  <si>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</si>
  <si>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</si>
  <si>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</si>
  <si>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</si>
  <si>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</si>
  <si>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</si>
  <si>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</si>
  <si>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</si>
  <si>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</si>
  <si>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</si>
  <si>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</si>
  <si>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</si>
  <si>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</si>
  <si>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</si>
  <si>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</si>
  <si>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</si>
  <si>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</si>
  <si>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</si>
  <si>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</si>
  <si>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</si>
  <si>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</si>
  <si>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</si>
  <si>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</si>
  <si>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</si>
  <si>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</si>
  <si>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</si>
  <si>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</si>
  <si>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</si>
  <si>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</si>
  <si>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</si>
  <si>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</si>
  <si>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</si>
  <si>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</si>
  <si>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</si>
  <si>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</si>
  <si>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</si>
  <si>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</si>
  <si>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</si>
  <si>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</si>
  <si>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</si>
  <si>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</si>
  <si>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</si>
  <si>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</si>
  <si>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</si>
  <si>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</si>
  <si>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</si>
  <si>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</si>
  <si>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</si>
  <si>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</si>
  <si>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</si>
  <si>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</si>
  <si>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</si>
  <si>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</si>
  <si>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</si>
  <si>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</si>
  <si>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</si>
  <si>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</si>
  <si>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</si>
  <si>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</si>
  <si>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</si>
  <si>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</si>
  <si>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</si>
  <si>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</si>
  <si>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</si>
  <si>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</si>
  <si>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</si>
  <si>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</si>
  <si>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</si>
  <si>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</si>
  <si>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</si>
  <si>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</si>
  <si>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</si>
  <si>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</si>
  <si>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</si>
  <si>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</si>
  <si>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</si>
  <si>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</si>
  <si>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</si>
  <si>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</si>
  <si>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</si>
  <si>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</si>
  <si>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</si>
  <si>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</si>
  <si>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</si>
  <si>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</si>
  <si>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</si>
  <si>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</si>
  <si>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</si>
  <si>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</si>
  <si>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</si>
  <si>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</si>
  <si>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</si>
  <si>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</si>
  <si>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</si>
  <si>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</si>
  <si>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</si>
  <si>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</si>
  <si>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</si>
  <si>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</si>
  <si>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</si>
  <si>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</si>
  <si>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</si>
  <si>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</si>
  <si>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</si>
  <si>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</si>
  <si>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</si>
  <si>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</si>
  <si>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</si>
  <si>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</si>
  <si>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</si>
  <si>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</si>
  <si>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</si>
  <si>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</si>
  <si>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</si>
  <si>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</si>
  <si>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</si>
  <si>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</si>
  <si>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</si>
  <si>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</si>
  <si>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</si>
  <si>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</si>
  <si>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</si>
  <si>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</si>
  <si>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</si>
  <si>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</si>
  <si>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</si>
  <si>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</si>
  <si>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</si>
  <si>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</si>
  <si>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</si>
  <si>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</si>
  <si>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</si>
  <si>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</si>
  <si>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</si>
  <si>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</si>
  <si>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</si>
  <si>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</si>
  <si>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</si>
  <si>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</si>
  <si>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</si>
  <si>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</si>
  <si>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</si>
  <si>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</si>
  <si>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</si>
  <si>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</si>
  <si>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</si>
  <si>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</si>
  <si>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</si>
  <si>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</si>
  <si>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</si>
  <si>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</si>
  <si>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</si>
  <si>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</si>
  <si>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</si>
  <si>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</si>
  <si>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</si>
  <si>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</si>
  <si>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</si>
  <si>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</si>
  <si>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</si>
  <si>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</si>
  <si>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</si>
  <si>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</si>
  <si>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</si>
  <si>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</si>
  <si>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</si>
  <si>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</si>
  <si>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</si>
  <si>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</si>
  <si>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</si>
  <si>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</si>
  <si>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</si>
  <si>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</si>
  <si>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</si>
  <si>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</si>
  <si>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</si>
  <si>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</si>
  <si>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</si>
  <si>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</si>
  <si>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</si>
  <si>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</si>
  <si>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</si>
  <si>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</si>
  <si>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</si>
  <si>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</si>
  <si>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</si>
  <si>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</si>
  <si>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</si>
  <si>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</si>
  <si>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</si>
  <si>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</si>
  <si>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</si>
  <si>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</si>
  <si>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</si>
  <si>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</si>
  <si>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</si>
  <si>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</si>
  <si>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</si>
  <si>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</si>
  <si>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</si>
  <si>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</si>
  <si>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</si>
  <si>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</si>
  <si>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</si>
  <si>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</si>
  <si>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</si>
  <si>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</si>
  <si>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</si>
  <si>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</si>
  <si>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</si>
  <si>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</si>
  <si>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</si>
  <si>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</si>
  <si>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</si>
  <si>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</si>
  <si>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</si>
  <si>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</si>
  <si>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</si>
  <si>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</si>
  <si>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</si>
  <si>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</si>
  <si>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</si>
  <si>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</si>
  <si>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</si>
  <si>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</si>
  <si>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</si>
  <si>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</si>
  <si>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</si>
  <si>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</si>
  <si>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</si>
  <si>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</si>
  <si>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</si>
  <si>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</si>
  <si>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</si>
  <si>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</si>
  <si>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</si>
  <si>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</si>
  <si>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</si>
  <si>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</si>
  <si>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</si>
  <si>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</si>
  <si>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</si>
  <si>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</si>
  <si>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</si>
  <si>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</si>
  <si>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</si>
  <si>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</si>
  <si>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</si>
  <si>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</si>
  <si>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</si>
  <si>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</si>
  <si>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</si>
  <si>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</si>
  <si>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</si>
  <si>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</si>
  <si>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</si>
  <si>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</si>
  <si>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</si>
  <si>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</si>
  <si>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</si>
  <si>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</si>
  <si>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</si>
  <si>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</si>
  <si>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</si>
  <si>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</si>
  <si>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</si>
  <si>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</si>
  <si>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</si>
  <si>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</si>
  <si>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</si>
  <si>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</si>
  <si>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</si>
  <si>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</si>
  <si>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</si>
  <si>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</si>
  <si>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</si>
  <si>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</si>
  <si>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</si>
  <si>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</si>
  <si>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</si>
  <si>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</si>
  <si>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</si>
  <si>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</si>
  <si>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</si>
  <si>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</si>
  <si>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</si>
  <si>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</si>
  <si>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</si>
  <si>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</si>
  <si>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</si>
  <si>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</si>
  <si>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</si>
  <si>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</si>
  <si>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</si>
  <si>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</si>
  <si>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</si>
  <si>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</si>
  <si>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</si>
  <si>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</si>
  <si>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</si>
  <si>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</si>
  <si>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</si>
  <si>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</si>
  <si>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</si>
  <si>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</si>
  <si>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</si>
  <si>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</si>
  <si>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</si>
  <si>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</si>
  <si>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</si>
  <si>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</si>
  <si>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</si>
  <si>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</si>
  <si>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</si>
  <si>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</si>
  <si>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</si>
  <si>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</si>
  <si>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</si>
  <si>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</si>
  <si>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</si>
  <si>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</si>
  <si>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</si>
  <si>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</si>
  <si>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</si>
  <si>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</si>
  <si>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</si>
  <si>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</si>
  <si>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</si>
  <si>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</si>
  <si>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</si>
  <si>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</si>
  <si>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</si>
  <si>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</si>
  <si>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</si>
  <si>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</si>
  <si>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</si>
  <si>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</si>
  <si>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</si>
  <si>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</si>
  <si>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</si>
  <si>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</si>
  <si>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</si>
  <si>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</si>
  <si>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</si>
  <si>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</si>
  <si>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</si>
  <si>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</si>
  <si>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</si>
  <si>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</si>
  <si>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</si>
  <si>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</si>
  <si>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</si>
  <si>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</si>
  <si>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</si>
  <si>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</si>
  <si>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</si>
  <si>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</si>
  <si>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</si>
  <si>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</si>
  <si>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</si>
  <si>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</si>
  <si>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</si>
  <si>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</si>
  <si>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</si>
  <si>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</si>
  <si>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</si>
  <si>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</si>
  <si>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</si>
  <si>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</si>
  <si>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</si>
  <si>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</si>
  <si>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</si>
  <si>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</si>
  <si>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</si>
  <si>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</si>
  <si>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</si>
  <si>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</si>
  <si>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</si>
  <si>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</si>
  <si>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</si>
  <si>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</si>
  <si>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</si>
  <si>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</si>
  <si>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</si>
  <si>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</si>
  <si>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</si>
  <si>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</si>
  <si>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</si>
  <si>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</si>
  <si>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</si>
  <si>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</si>
  <si>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</si>
  <si>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</si>
  <si>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</si>
  <si>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</si>
  <si>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</si>
  <si>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</si>
  <si>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</si>
  <si>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</si>
  <si>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</si>
  <si>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</si>
  <si>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</si>
  <si>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</si>
  <si>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</si>
  <si>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</si>
  <si>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</si>
  <si>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</si>
  <si>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</si>
  <si>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</si>
  <si>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</si>
  <si>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</si>
  <si>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</si>
  <si>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</si>
  <si>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</si>
  <si>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</si>
  <si>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</si>
  <si>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</si>
  <si>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</si>
  <si>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</si>
  <si>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</si>
  <si>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</si>
  <si>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</si>
  <si>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</si>
  <si>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</si>
  <si>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</si>
  <si>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</si>
  <si>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</si>
  <si>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</si>
  <si>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</si>
  <si>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</si>
  <si>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</si>
  <si>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</si>
  <si>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</si>
  <si>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</si>
  <si>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</si>
  <si>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</si>
  <si>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</si>
  <si>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</si>
  <si>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</si>
  <si>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</si>
  <si>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</si>
  <si>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</si>
  <si>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</si>
  <si>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</si>
  <si>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</si>
  <si>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</si>
  <si>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</si>
  <si>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</si>
  <si>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</si>
  <si>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</si>
  <si>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</si>
  <si>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</si>
  <si>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</si>
  <si>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</si>
  <si>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</si>
  <si>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</si>
  <si>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</si>
  <si>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</si>
  <si>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</si>
  <si>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</si>
  <si>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</si>
  <si>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</si>
  <si>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</si>
  <si>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</si>
  <si>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</si>
  <si>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</si>
  <si>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</si>
  <si>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</si>
  <si>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</si>
  <si>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</si>
  <si>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</si>
  <si>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</si>
  <si>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</si>
  <si>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</si>
  <si>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</si>
  <si>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</si>
  <si>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</si>
  <si>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</si>
  <si>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</si>
  <si>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</si>
  <si>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</si>
  <si>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</si>
  <si>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</si>
  <si>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</si>
  <si>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</si>
  <si>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</si>
  <si>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</si>
  <si>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</si>
  <si>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</si>
  <si>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</si>
  <si>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</si>
  <si>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</si>
  <si>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</si>
  <si>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</si>
  <si>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</si>
  <si>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</si>
  <si>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</si>
  <si>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</si>
  <si>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</si>
  <si>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</si>
  <si>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</si>
  <si>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</si>
  <si>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</si>
  <si>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</si>
  <si>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</si>
  <si>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</si>
  <si>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</si>
  <si>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</si>
  <si>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</si>
  <si>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</si>
  <si>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</si>
  <si>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</si>
  <si>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</si>
  <si>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</si>
  <si>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</si>
  <si>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</si>
  <si>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</si>
  <si>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</si>
  <si>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</si>
  <si>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</si>
  <si>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</si>
  <si>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</si>
  <si>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</si>
  <si>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</si>
  <si>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</si>
  <si>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</si>
  <si>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</si>
  <si>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</si>
  <si>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</si>
  <si>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</si>
  <si>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</si>
  <si>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</si>
  <si>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</si>
  <si>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</si>
  <si>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</si>
  <si>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</si>
  <si>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</si>
  <si>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</si>
  <si>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</si>
  <si>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</si>
  <si>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</si>
  <si>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</si>
  <si>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</si>
  <si>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</si>
  <si>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</si>
  <si>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</si>
  <si>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</si>
  <si>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</si>
  <si>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</si>
  <si>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</si>
  <si>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</si>
  <si>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</si>
  <si>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</si>
  <si>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</si>
  <si>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</si>
  <si>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</si>
  <si>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</si>
  <si>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</si>
  <si>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</si>
  <si>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</si>
  <si>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</si>
  <si>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</si>
  <si>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</si>
  <si>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</si>
  <si>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</si>
  <si>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</si>
  <si>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</si>
  <si>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</si>
  <si>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</si>
  <si>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</si>
  <si>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</si>
  <si>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</si>
  <si>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</si>
  <si>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</si>
  <si>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</si>
  <si>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</si>
  <si>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</si>
  <si>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</si>
  <si>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</si>
  <si>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</si>
  <si>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</si>
  <si>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</si>
  <si>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</si>
  <si>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</si>
  <si>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</si>
  <si>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</si>
  <si>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</si>
  <si>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</si>
  <si>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</si>
  <si>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</si>
  <si>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</si>
  <si>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</si>
  <si>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</si>
  <si>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</si>
  <si>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</si>
  <si>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</si>
  <si>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</si>
  <si>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</si>
  <si>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</si>
  <si>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</si>
  <si>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</si>
  <si>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</si>
  <si>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</si>
  <si>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</si>
  <si>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</si>
  <si>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</si>
  <si>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</si>
  <si>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</si>
  <si>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</si>
  <si>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</si>
  <si>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</si>
  <si>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</si>
  <si>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</si>
  <si>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</si>
  <si>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</si>
  <si>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</si>
  <si>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</si>
  <si>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</si>
  <si>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</si>
  <si>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</si>
  <si>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</si>
  <si>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</si>
  <si>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</si>
  <si>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</si>
  <si>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</si>
  <si>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</si>
  <si>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</si>
  <si>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</si>
  <si>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</si>
  <si>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</si>
  <si>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</si>
  <si>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</si>
  <si>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</si>
  <si>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</si>
  <si>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</si>
  <si>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</si>
  <si>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</si>
  <si>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</si>
  <si>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</si>
  <si>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</si>
  <si>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</si>
  <si>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</si>
  <si>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</si>
  <si>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</si>
  <si>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</si>
  <si>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</si>
  <si>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</si>
  <si>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</si>
  <si>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</si>
  <si>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</si>
  <si>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</si>
  <si>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</si>
  <si>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</si>
  <si>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</si>
  <si>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</si>
  <si>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</si>
  <si>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</si>
  <si>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</si>
  <si>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</si>
  <si>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</si>
  <si>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</si>
  <si>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</si>
  <si>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</si>
  <si>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</si>
  <si>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</si>
  <si>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</si>
  <si>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</si>
  <si>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</si>
  <si>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</si>
  <si>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</si>
  <si>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</si>
  <si>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</si>
  <si>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</si>
  <si>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</si>
  <si>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</si>
  <si>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</si>
  <si>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</si>
  <si>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</si>
  <si>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</si>
  <si>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</si>
  <si>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</si>
  <si>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</si>
  <si>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</si>
  <si>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</si>
  <si>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</si>
  <si>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</si>
  <si>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</si>
  <si>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</si>
  <si>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</si>
  <si>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</si>
  <si>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</si>
  <si>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</si>
  <si>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</si>
  <si>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</si>
  <si>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</si>
  <si>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</si>
  <si>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</si>
  <si>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</si>
  <si>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</si>
  <si>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</si>
  <si>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</si>
  <si>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</si>
  <si>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</si>
  <si>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</si>
  <si>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</si>
  <si>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</si>
  <si>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</si>
  <si>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</si>
  <si>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</si>
  <si>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</si>
  <si>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</si>
  <si>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</si>
  <si>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</si>
  <si>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</si>
  <si>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</si>
  <si>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</si>
  <si>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</si>
  <si>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</si>
  <si>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</si>
  <si>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</si>
  <si>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</si>
  <si>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</si>
  <si>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</si>
  <si>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</si>
  <si>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</si>
  <si>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</si>
  <si>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</si>
  <si>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</si>
  <si>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</si>
  <si>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</si>
  <si>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</si>
  <si>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</si>
  <si>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</si>
  <si>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</si>
  <si>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</si>
  <si>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</si>
  <si>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</si>
  <si>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</si>
  <si>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</si>
  <si>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</si>
  <si>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</si>
  <si>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</si>
  <si>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</si>
  <si>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</si>
  <si>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</si>
  <si>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</si>
  <si>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</si>
  <si>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</si>
  <si>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</si>
  <si>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</si>
  <si>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</si>
  <si>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</si>
  <si>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</si>
  <si>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</si>
  <si>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</si>
  <si>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</si>
  <si>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</si>
  <si>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</si>
  <si>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</si>
  <si>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</si>
  <si>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</si>
  <si>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</si>
  <si>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</si>
  <si>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</si>
  <si>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</si>
  <si>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</si>
  <si>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</si>
  <si>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</si>
  <si>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</si>
  <si>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</si>
  <si>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</si>
  <si>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</si>
  <si>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</si>
  <si>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</si>
  <si>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</si>
  <si>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</si>
  <si>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</si>
  <si>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</si>
  <si>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</si>
  <si>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</si>
  <si>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</si>
  <si>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</si>
  <si>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</si>
  <si>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</si>
  <si>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</si>
  <si>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</si>
  <si>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</si>
  <si>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</si>
  <si>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</si>
  <si>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</si>
  <si>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</si>
  <si>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</si>
  <si>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</si>
  <si>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</si>
  <si>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</si>
  <si>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</si>
  <si>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</si>
  <si>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</si>
  <si>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</si>
  <si>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</si>
  <si>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</si>
  <si>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</si>
  <si>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</si>
  <si>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</si>
  <si>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</si>
  <si>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</si>
  <si>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</si>
  <si>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</si>
  <si>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</si>
  <si>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</si>
  <si>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</si>
  <si>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</si>
  <si>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</si>
  <si>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</si>
  <si>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</si>
  <si>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</si>
  <si>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</si>
  <si>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</si>
  <si>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</si>
  <si>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</si>
  <si>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</si>
  <si>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</si>
  <si>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</si>
  <si>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</si>
  <si>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</si>
  <si>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</si>
  <si>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</si>
  <si>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</si>
  <si>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</si>
  <si>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</si>
  <si>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</si>
  <si>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</si>
  <si>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</si>
  <si>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</si>
  <si>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</si>
  <si>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</si>
  <si>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</si>
  <si>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</si>
  <si>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</si>
  <si>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</si>
  <si>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</si>
  <si>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</si>
  <si>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</si>
  <si>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</si>
  <si>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</si>
  <si>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</si>
  <si>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</si>
  <si>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</si>
  <si>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</si>
  <si>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</si>
  <si>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</si>
  <si>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</si>
  <si>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</si>
  <si>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</si>
  <si>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</si>
  <si>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</si>
  <si>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</si>
  <si>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</si>
  <si>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</si>
  <si>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</si>
  <si>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</si>
  <si>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</si>
  <si>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</si>
  <si>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</si>
  <si>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</si>
  <si>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</si>
  <si>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</si>
  <si>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</si>
  <si>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</si>
  <si>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</si>
  <si>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</si>
  <si>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</si>
  <si>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</si>
  <si>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</si>
  <si>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</si>
  <si>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</si>
  <si>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</si>
  <si>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</si>
  <si>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</si>
  <si>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</si>
  <si>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</si>
  <si>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</si>
  <si>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</si>
  <si>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</si>
  <si>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</si>
  <si>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</si>
  <si>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</si>
  <si>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</si>
  <si>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</si>
  <si>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</si>
  <si>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</si>
  <si>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</si>
  <si>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</si>
  <si>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</si>
  <si>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</si>
  <si>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</si>
  <si>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</si>
  <si>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</si>
  <si>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</si>
  <si>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</si>
  <si>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</si>
  <si>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</si>
  <si>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</si>
  <si>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</si>
  <si>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</si>
  <si>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</si>
  <si>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</si>
  <si>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</si>
  <si>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</si>
  <si>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</si>
  <si>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</si>
  <si>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</si>
  <si>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</si>
  <si>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</si>
  <si>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</si>
  <si>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</si>
  <si>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</si>
  <si>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</si>
  <si>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</si>
  <si>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</si>
  <si>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</si>
  <si>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</si>
  <si>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</si>
  <si>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</si>
  <si>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</si>
  <si>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</si>
  <si>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</si>
  <si>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</si>
  <si>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</si>
  <si>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</si>
  <si>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</si>
  <si>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</si>
  <si>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</si>
  <si>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</si>
  <si>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</si>
  <si>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</si>
  <si>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</si>
  <si>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</si>
  <si>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</si>
  <si>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</si>
  <si>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</si>
  <si>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</si>
  <si>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</si>
  <si>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</si>
  <si>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</si>
  <si>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</si>
  <si>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</si>
  <si>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</si>
  <si>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</si>
  <si>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</si>
  <si>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</si>
  <si>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</si>
  <si>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</si>
  <si>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</si>
  <si>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</si>
  <si>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</si>
  <si>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</si>
  <si>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</si>
  <si>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</si>
  <si>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</si>
  <si>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</si>
  <si>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</si>
  <si>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</si>
  <si>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</si>
  <si>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</si>
  <si>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</si>
  <si>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</si>
  <si>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</si>
  <si>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</si>
  <si>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</si>
  <si>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</si>
  <si>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</si>
  <si>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</si>
  <si>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</si>
  <si>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</si>
  <si>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</si>
  <si>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</si>
  <si>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</si>
  <si>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</si>
  <si>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</si>
  <si>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</si>
  <si>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</si>
  <si>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</si>
  <si>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</si>
  <si>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</si>
  <si>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</si>
  <si>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</si>
  <si>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</si>
  <si>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</si>
  <si>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</si>
  <si>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</si>
  <si>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</si>
  <si>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</si>
  <si>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</si>
  <si>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</si>
  <si>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</si>
  <si>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</si>
  <si>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</si>
  <si>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</si>
  <si>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</si>
  <si>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</si>
  <si>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</si>
  <si>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</si>
  <si>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</si>
  <si>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</si>
  <si>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</si>
  <si>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</si>
  <si>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</si>
  <si>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</si>
  <si>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</si>
  <si>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</si>
  <si>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</si>
  <si>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</si>
  <si>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</si>
  <si>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</si>
  <si>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</si>
  <si>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</si>
  <si>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</si>
  <si>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</si>
  <si>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</si>
  <si>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</si>
  <si>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</si>
  <si>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</si>
  <si>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</si>
  <si>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</si>
  <si>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</si>
  <si>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</si>
  <si>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</si>
  <si>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</si>
  <si>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</si>
  <si>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</si>
  <si>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</si>
  <si>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</si>
  <si>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</si>
  <si>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</si>
  <si>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</si>
  <si>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</si>
  <si>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</si>
  <si>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</si>
  <si>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</si>
  <si>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</si>
  <si>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</si>
  <si>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</si>
  <si>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</si>
  <si>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</si>
  <si>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</si>
  <si>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</si>
  <si>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</si>
  <si>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</si>
  <si>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</si>
  <si>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</si>
  <si>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</si>
  <si>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</si>
  <si>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</si>
  <si>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</si>
  <si>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</si>
  <si>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</si>
  <si>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</si>
  <si>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</si>
  <si>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</si>
  <si>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</si>
  <si>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</si>
  <si>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</si>
  <si>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</si>
  <si>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</si>
  <si>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</si>
  <si>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</si>
  <si>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</si>
  <si>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</si>
  <si>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</si>
  <si>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</si>
  <si>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</si>
  <si>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</si>
  <si>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</si>
  <si>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</si>
  <si>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</si>
  <si>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</si>
  <si>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</si>
  <si>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</si>
  <si>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</si>
  <si>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</si>
  <si>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</si>
  <si>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</si>
  <si>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</si>
  <si>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</si>
  <si>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</si>
  <si>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</si>
  <si>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</si>
  <si>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</si>
  <si>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</si>
  <si>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</si>
  <si>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</si>
  <si>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</si>
  <si>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</si>
  <si>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</si>
  <si>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</si>
  <si>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</si>
  <si>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</si>
  <si>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</si>
  <si>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</si>
  <si>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</si>
  <si>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</si>
  <si>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</si>
  <si>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</si>
  <si>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</si>
  <si>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</si>
  <si>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</si>
  <si>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</si>
  <si>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</si>
  <si>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</si>
  <si>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</si>
  <si>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</si>
  <si>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</si>
  <si>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</si>
  <si>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</si>
  <si>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</si>
  <si>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</si>
  <si>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</si>
  <si>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</si>
  <si>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</si>
  <si>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</si>
  <si>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</si>
  <si>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</si>
  <si>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</si>
  <si>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</si>
  <si>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</si>
  <si>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</si>
  <si>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</si>
  <si>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</si>
  <si>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</si>
  <si>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</si>
  <si>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</si>
  <si>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</si>
  <si>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</si>
  <si>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</si>
  <si>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</si>
  <si>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</si>
  <si>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</si>
  <si>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</si>
  <si>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</si>
  <si>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</si>
  <si>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</si>
  <si>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</si>
  <si>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</si>
  <si>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</si>
  <si>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</si>
  <si>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</si>
  <si>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</si>
  <si>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</si>
  <si>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</si>
  <si>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</si>
  <si>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</si>
  <si>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</si>
  <si>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</si>
  <si>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</si>
  <si>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</si>
  <si>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</si>
  <si>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</si>
  <si>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</si>
  <si>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</si>
  <si>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</si>
  <si>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</si>
  <si>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</si>
  <si>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</si>
  <si>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</si>
  <si>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</si>
  <si>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</si>
  <si>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</si>
  <si>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</si>
  <si>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</si>
  <si>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</si>
  <si>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</si>
  <si>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</si>
  <si>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</si>
  <si>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</si>
  <si>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</si>
  <si>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</si>
  <si>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</si>
  <si>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</si>
  <si>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</si>
  <si>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</si>
  <si>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</si>
  <si>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</si>
  <si>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</si>
  <si>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</si>
  <si>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</si>
  <si>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</si>
  <si>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</si>
  <si>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</si>
  <si>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</si>
  <si>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</si>
  <si>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</si>
  <si>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</si>
  <si>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</si>
  <si>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</si>
  <si>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</si>
  <si>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</si>
  <si>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</si>
  <si>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</si>
  <si>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</si>
  <si>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</si>
  <si>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</si>
  <si>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</si>
  <si>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</si>
  <si>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</si>
  <si>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</si>
  <si>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</si>
  <si>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</si>
  <si>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</si>
  <si>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</si>
  <si>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</si>
  <si>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</si>
  <si>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</si>
  <si>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</si>
  <si>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</si>
  <si>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</si>
  <si>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</si>
  <si>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</si>
  <si>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</si>
  <si>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</si>
  <si>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</si>
  <si>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</si>
  <si>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</si>
  <si>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</si>
  <si>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</si>
  <si>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</si>
  <si>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</si>
  <si>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</si>
  <si>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</si>
  <si>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</si>
  <si>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</si>
  <si>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</si>
  <si>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</si>
  <si>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</si>
  <si>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</si>
  <si>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</si>
  <si>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</si>
  <si>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</si>
  <si>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</si>
  <si>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</si>
  <si>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</si>
  <si>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</si>
  <si>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</si>
  <si>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</si>
  <si>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</si>
  <si>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</si>
  <si>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</si>
  <si>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</si>
  <si>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</si>
  <si>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</si>
  <si>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</si>
  <si>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</si>
  <si>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</si>
  <si>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</si>
  <si>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</si>
  <si>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</si>
  <si>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</si>
  <si>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</si>
  <si>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</si>
  <si>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</si>
  <si>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</si>
  <si>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</si>
  <si>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</si>
  <si>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</si>
  <si>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</si>
  <si>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</si>
  <si>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</si>
  <si>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</si>
  <si>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</si>
  <si>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</si>
  <si>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</si>
  <si>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</si>
  <si>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</si>
  <si>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</si>
  <si>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</si>
  <si>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</si>
  <si>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</si>
  <si>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</si>
  <si>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</si>
  <si>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</si>
  <si>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</si>
  <si>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</si>
  <si>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</si>
  <si>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</si>
  <si>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</si>
  <si>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</si>
  <si>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</si>
  <si>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</si>
  <si>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</si>
  <si>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</si>
  <si>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</si>
  <si>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</si>
  <si>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</si>
  <si>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</si>
  <si>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</si>
  <si>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</si>
  <si>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</si>
  <si>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</si>
  <si>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</si>
  <si>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</si>
  <si>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</si>
  <si>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</si>
  <si>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</si>
  <si>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</si>
  <si>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</si>
  <si>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</si>
  <si>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</si>
  <si>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</si>
  <si>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</si>
  <si>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</si>
  <si>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</si>
  <si>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</si>
  <si>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</si>
  <si>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</si>
  <si>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</si>
  <si>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</si>
  <si>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</si>
  <si>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</si>
  <si>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</si>
  <si>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</si>
  <si>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</si>
  <si>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</si>
  <si>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</si>
  <si>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</si>
  <si>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</si>
  <si>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</si>
  <si>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</si>
  <si>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</si>
  <si>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</si>
  <si>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</si>
  <si>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</si>
  <si>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</si>
  <si>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</si>
  <si>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</si>
  <si>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</si>
  <si>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</si>
  <si>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</si>
  <si>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</si>
  <si>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</si>
  <si>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</si>
  <si>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</si>
  <si>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</si>
  <si>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</si>
  <si>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</si>
  <si>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</si>
  <si>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</si>
  <si>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</si>
  <si>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</si>
  <si>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</si>
  <si>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</si>
  <si>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</si>
  <si>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</si>
  <si>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</si>
  <si>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</si>
  <si>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</si>
  <si>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</si>
  <si>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</si>
  <si>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</si>
  <si>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</si>
  <si>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</si>
  <si>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</si>
  <si>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</si>
  <si>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</si>
  <si>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</si>
  <si>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</si>
  <si>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</si>
  <si>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</si>
  <si>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</si>
  <si>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</si>
  <si>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</si>
  <si>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</si>
  <si>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</si>
  <si>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</si>
  <si>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</si>
  <si>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</si>
  <si>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</si>
  <si>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</si>
  <si>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</si>
  <si>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</si>
  <si>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</si>
  <si>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</si>
  <si>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</si>
  <si>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</si>
  <si>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</si>
  <si>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</si>
  <si>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</si>
  <si>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</si>
  <si>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</si>
  <si>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</si>
  <si>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</si>
  <si>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</si>
  <si>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</si>
  <si>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</si>
  <si>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</si>
  <si>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</si>
  <si>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</si>
  <si>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</si>
  <si>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</si>
  <si>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</si>
  <si>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</si>
  <si>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</si>
  <si>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</si>
  <si>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</si>
  <si>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</si>
  <si>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</si>
  <si>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</si>
  <si>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</si>
  <si>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</si>
  <si>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</si>
  <si>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</si>
  <si>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</si>
  <si>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</si>
  <si>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</si>
  <si>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</si>
  <si>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</si>
  <si>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</si>
  <si>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</si>
  <si>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</si>
  <si>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</si>
  <si>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</si>
  <si>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</si>
  <si>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</si>
  <si>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</si>
  <si>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</si>
  <si>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</si>
  <si>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</si>
  <si>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</si>
  <si>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</si>
  <si>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</si>
  <si>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</si>
  <si>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</si>
  <si>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</si>
  <si>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</si>
  <si>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</si>
  <si>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</si>
  <si>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</si>
  <si>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</si>
  <si>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</si>
  <si>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</si>
  <si>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</si>
  <si>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</si>
  <si>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</si>
  <si>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</si>
  <si>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</si>
  <si>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</si>
  <si>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</si>
  <si>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</si>
  <si>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</si>
  <si>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</si>
  <si>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</si>
  <si>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</si>
  <si>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</si>
  <si>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</si>
  <si>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</si>
  <si>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</si>
  <si>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</si>
  <si>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</si>
  <si>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</si>
  <si>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</si>
  <si>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</si>
  <si>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</si>
  <si>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</si>
  <si>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</si>
  <si>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</si>
  <si>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</si>
  <si>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</si>
  <si>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</si>
  <si>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</si>
  <si>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</si>
  <si>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</si>
  <si>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</si>
  <si>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</si>
  <si>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</si>
  <si>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</si>
  <si>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</si>
  <si>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</si>
  <si>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</si>
  <si>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</si>
  <si>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</si>
  <si>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</si>
  <si>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</si>
  <si>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</si>
  <si>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</si>
  <si>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</si>
  <si>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</si>
  <si>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</si>
  <si>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</si>
  <si>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</si>
  <si>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</si>
  <si>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</si>
  <si>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</si>
  <si>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</si>
  <si>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</si>
  <si>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</si>
  <si>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</si>
  <si>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</si>
  <si>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</si>
  <si>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</si>
  <si>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</si>
  <si>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</si>
  <si>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</si>
  <si>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</si>
  <si>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</si>
  <si>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</si>
  <si>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</si>
  <si>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</si>
  <si>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</si>
  <si>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</si>
  <si>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</si>
  <si>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</si>
  <si>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</si>
  <si>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</si>
  <si>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</si>
  <si>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</si>
  <si>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</si>
  <si>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</si>
  <si>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</si>
  <si>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</si>
  <si>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</si>
  <si>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</si>
  <si>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</si>
  <si>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</si>
  <si>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</si>
  <si>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</si>
  <si>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</si>
  <si>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</si>
  <si>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</si>
  <si>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</si>
  <si>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</si>
  <si>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</si>
  <si>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</si>
  <si>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</si>
  <si>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</si>
  <si>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</si>
  <si>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</si>
  <si>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</si>
  <si>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</si>
  <si>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</si>
  <si>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</si>
  <si>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</si>
  <si>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</si>
  <si>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</si>
  <si>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</si>
  <si>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</si>
  <si>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</si>
  <si>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</si>
  <si>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</si>
  <si>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</si>
  <si>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</si>
  <si>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</si>
  <si>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</si>
  <si>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</si>
  <si>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</si>
  <si>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</si>
  <si>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</si>
  <si>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</si>
  <si>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</si>
  <si>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</si>
  <si>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</si>
  <si>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</si>
  <si>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</si>
  <si>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</si>
  <si>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</si>
  <si>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</si>
  <si>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</si>
  <si>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</si>
  <si>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</si>
  <si>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</si>
  <si>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</si>
  <si>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</si>
  <si>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</si>
  <si>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</si>
  <si>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</si>
  <si>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</si>
  <si>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</si>
  <si>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</si>
  <si>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</si>
  <si>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</si>
  <si>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</si>
  <si>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</si>
  <si>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</si>
  <si>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</si>
  <si>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</si>
  <si>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</si>
  <si>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</si>
  <si>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</si>
  <si>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</si>
  <si>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</si>
  <si>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</si>
  <si>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</si>
  <si>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</si>
  <si>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</si>
  <si>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</si>
  <si>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</si>
  <si>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</si>
  <si>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</si>
  <si>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</si>
  <si>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</si>
  <si>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</si>
  <si>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</si>
  <si>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</si>
  <si>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</si>
  <si>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</si>
  <si>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</si>
  <si>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</si>
  <si>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</si>
  <si>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</si>
  <si>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</si>
  <si>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</si>
  <si>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</si>
  <si>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</si>
  <si>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</si>
  <si>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</si>
  <si>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</si>
  <si>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</si>
  <si>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</si>
  <si>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</si>
  <si>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</si>
  <si>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</si>
  <si>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</si>
  <si>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</si>
  <si>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</si>
  <si>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</si>
  <si>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</si>
  <si>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</si>
  <si>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</si>
  <si>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</si>
  <si>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</si>
  <si>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</si>
  <si>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</si>
  <si>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</si>
  <si>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</si>
  <si>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</si>
  <si>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</si>
  <si>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</si>
  <si>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</si>
  <si>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</si>
  <si>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</si>
  <si>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</si>
  <si>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</si>
  <si>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</si>
  <si>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</si>
  <si>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</si>
  <si>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</si>
  <si>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</si>
  <si>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</si>
  <si>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</si>
  <si>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</si>
  <si>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</si>
  <si>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</si>
  <si>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</si>
  <si>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</si>
  <si>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</si>
  <si>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</si>
  <si>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</si>
  <si>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</si>
  <si>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</si>
  <si>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</si>
  <si>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</si>
  <si>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</si>
  <si>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</si>
  <si>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</si>
  <si>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</si>
  <si>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</si>
  <si>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</si>
  <si>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</si>
  <si>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</si>
  <si>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</si>
  <si>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</si>
  <si>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</si>
  <si>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</si>
  <si>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</si>
  <si>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</si>
  <si>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</si>
  <si>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</si>
  <si>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</si>
  <si>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</si>
  <si>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</si>
  <si>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</si>
  <si>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</si>
  <si>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</si>
  <si>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</si>
  <si>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</si>
  <si>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</si>
  <si>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</si>
  <si>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</si>
  <si>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</si>
  <si>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</si>
  <si>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</si>
  <si>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</si>
  <si>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</si>
  <si>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</si>
  <si>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</si>
  <si>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</si>
  <si>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</si>
  <si>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</si>
  <si>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</si>
  <si>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</si>
  <si>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</si>
  <si>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</si>
  <si>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</si>
  <si>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</si>
  <si>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</si>
  <si>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</si>
  <si>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</si>
  <si>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</si>
  <si>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</si>
  <si>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</si>
  <si>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</si>
  <si>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</si>
  <si>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</si>
  <si>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</si>
  <si>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</si>
  <si>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</si>
  <si>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</si>
  <si>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</si>
  <si>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</si>
  <si>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</si>
  <si>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</si>
  <si>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</si>
  <si>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</si>
  <si>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</si>
  <si>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</si>
  <si>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</si>
  <si>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</si>
  <si>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</si>
  <si>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</si>
  <si>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</si>
  <si>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</si>
  <si>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</si>
  <si>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</si>
  <si>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</si>
  <si>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</si>
  <si>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</si>
  <si>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</si>
  <si>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</si>
  <si>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</si>
  <si>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</si>
  <si>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</si>
  <si>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</si>
  <si>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</si>
  <si>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</si>
  <si>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</si>
  <si>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</si>
  <si>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</si>
  <si>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</si>
  <si>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</si>
  <si>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</si>
  <si>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</si>
  <si>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</si>
  <si>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</si>
  <si>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</si>
  <si>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</si>
  <si>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</si>
  <si>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</si>
  <si>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</si>
  <si>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</si>
  <si>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</si>
  <si>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</si>
  <si>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</si>
  <si>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</si>
  <si>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</si>
  <si>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</si>
  <si>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</si>
  <si>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</si>
  <si>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</si>
  <si>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</si>
  <si>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</si>
  <si>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</si>
  <si>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</si>
  <si>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</si>
  <si>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</si>
  <si>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</si>
  <si>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</si>
  <si>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</si>
  <si>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</si>
  <si>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</si>
  <si>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</si>
  <si>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</si>
  <si>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</si>
  <si>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</si>
  <si>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</si>
  <si>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</si>
  <si>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</si>
  <si>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</si>
  <si>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</si>
  <si>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</si>
  <si>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</si>
  <si>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</si>
  <si>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</si>
  <si>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</si>
  <si>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</si>
  <si>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</si>
  <si>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</si>
  <si>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</si>
  <si>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</si>
  <si>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</si>
  <si>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</si>
  <si>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</si>
  <si>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</si>
  <si>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</si>
  <si>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</si>
  <si>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</si>
  <si>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</si>
  <si>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</si>
  <si>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</si>
  <si>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</si>
  <si>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</si>
  <si>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</si>
  <si>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</si>
  <si>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</si>
  <si>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</si>
  <si>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</si>
  <si>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</si>
  <si>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</si>
  <si>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</si>
  <si>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</si>
  <si>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</si>
  <si>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</si>
  <si>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</si>
  <si>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</si>
  <si>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</si>
  <si>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</si>
  <si>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</si>
  <si>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</si>
  <si>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</si>
  <si>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</si>
  <si>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</si>
  <si>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</si>
  <si>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</si>
  <si>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</si>
  <si>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</si>
  <si>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</si>
  <si>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</si>
  <si>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</si>
  <si>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</si>
  <si>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</si>
  <si>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</si>
  <si>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</si>
  <si>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</si>
  <si>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</si>
  <si>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</si>
  <si>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</si>
  <si>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</si>
  <si>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</si>
  <si>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</si>
  <si>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</si>
  <si>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</si>
  <si>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</si>
  <si>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</si>
  <si>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</si>
  <si>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</si>
  <si>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</si>
  <si>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</si>
  <si>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</si>
  <si>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</si>
  <si>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</si>
  <si>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</si>
  <si>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</si>
  <si>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</si>
  <si>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</si>
  <si>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</si>
  <si>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</si>
  <si>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</si>
  <si>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</si>
  <si>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</si>
  <si>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</si>
  <si>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</si>
  <si>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</si>
  <si>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</si>
  <si>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</si>
  <si>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</si>
  <si>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</si>
  <si>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</si>
  <si>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</si>
  <si>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</si>
  <si>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</si>
  <si>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</si>
  <si>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</si>
  <si>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</si>
  <si>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</si>
  <si>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</si>
  <si>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</si>
  <si>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</si>
  <si>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</si>
  <si>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</si>
  <si>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</si>
  <si>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</si>
  <si>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</si>
  <si>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</si>
  <si>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</si>
  <si>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</si>
  <si>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</si>
  <si>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</si>
  <si>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</si>
  <si>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</si>
  <si>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</si>
  <si>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</si>
  <si>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</si>
  <si>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</si>
  <si>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</si>
  <si>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</si>
  <si>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</si>
  <si>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</si>
  <si>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</si>
  <si>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</si>
  <si>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</si>
  <si>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</si>
  <si>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</si>
  <si>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</si>
  <si>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</si>
  <si>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</si>
  <si>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</si>
  <si>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</si>
  <si>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</si>
  <si>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</si>
  <si>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</si>
  <si>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</si>
  <si>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</si>
  <si>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</si>
  <si>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</si>
  <si>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</si>
  <si>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</si>
  <si>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</si>
  <si>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</si>
  <si>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</si>
  <si>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</si>
  <si>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</si>
  <si>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</si>
  <si>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</si>
  <si>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</si>
  <si>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</si>
  <si>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</si>
  <si>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</si>
  <si>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</si>
  <si>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</si>
  <si>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</si>
  <si>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</si>
  <si>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</si>
  <si>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</si>
  <si>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</si>
  <si>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</si>
  <si>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</si>
  <si>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</si>
  <si>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</si>
  <si>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</si>
  <si>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</si>
  <si>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</si>
  <si>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</si>
  <si>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</si>
  <si>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</si>
  <si>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</si>
  <si>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</si>
  <si>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</si>
  <si>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</si>
  <si>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</si>
  <si>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</si>
  <si>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</si>
  <si>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</si>
  <si>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</si>
  <si>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</si>
  <si>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</si>
  <si>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</si>
  <si>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</si>
  <si>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</si>
  <si>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</si>
  <si>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</si>
  <si>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</si>
  <si>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</si>
  <si>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</si>
  <si>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</si>
  <si>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</si>
  <si>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</si>
  <si>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</si>
  <si>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</si>
  <si>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</si>
  <si>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</si>
  <si>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</si>
  <si>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</si>
  <si>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</si>
  <si>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</si>
  <si>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</si>
  <si>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</si>
  <si>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</si>
  <si>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</si>
  <si>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</si>
  <si>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</si>
  <si>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</si>
  <si>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</si>
  <si>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</si>
  <si>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</si>
  <si>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</si>
  <si>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</si>
  <si>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</si>
  <si>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</si>
  <si>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</si>
  <si>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</si>
  <si>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</si>
  <si>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</si>
  <si>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</si>
  <si>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</si>
  <si>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</si>
  <si>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</si>
  <si>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</si>
  <si>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</si>
  <si>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</si>
  <si>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</si>
  <si>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</si>
  <si>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</si>
  <si>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</si>
  <si>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</si>
  <si>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</si>
  <si>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</si>
  <si>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</si>
  <si>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</si>
  <si>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</si>
  <si>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</si>
  <si>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</si>
  <si>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</si>
  <si>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</si>
  <si>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</si>
  <si>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</si>
  <si>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</si>
  <si>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</si>
  <si>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</si>
  <si>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</si>
  <si>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</si>
  <si>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</si>
  <si>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</si>
  <si>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</si>
  <si>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</si>
  <si>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</si>
  <si>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</si>
  <si>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</si>
  <si>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</si>
  <si>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</si>
  <si>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</si>
  <si>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</si>
  <si>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</si>
  <si>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</si>
  <si>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</si>
  <si>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</si>
  <si>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</si>
  <si>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</si>
  <si>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</si>
  <si>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</si>
  <si>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</si>
  <si>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</si>
  <si>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</si>
  <si>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</si>
  <si>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</si>
  <si>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</si>
  <si>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</si>
  <si>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</si>
  <si>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</si>
  <si>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</si>
  <si>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</si>
  <si>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</si>
  <si>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</si>
  <si>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</si>
  <si>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</si>
  <si>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</si>
  <si>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</si>
  <si>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</si>
  <si>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</si>
  <si>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</si>
  <si>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</si>
  <si>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</si>
  <si>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</si>
  <si>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</si>
  <si>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</si>
  <si>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</si>
  <si>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</si>
  <si>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</si>
  <si>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</si>
  <si>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</si>
  <si>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</si>
  <si>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</si>
  <si>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</si>
  <si>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</si>
  <si>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</si>
  <si>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</si>
  <si>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</si>
  <si>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</si>
  <si>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</si>
  <si>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</si>
  <si>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</si>
  <si>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</si>
  <si>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</si>
  <si>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</si>
  <si>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</si>
  <si>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</si>
  <si>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</si>
  <si>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</si>
  <si>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</si>
  <si>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</si>
  <si>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</si>
  <si>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</si>
  <si>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</si>
  <si>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</si>
  <si>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</si>
  <si>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</si>
  <si>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</si>
  <si>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</si>
  <si>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</si>
  <si>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</si>
  <si>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</si>
  <si>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</si>
  <si>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</si>
  <si>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</si>
  <si>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</si>
  <si>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</si>
  <si>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</si>
  <si>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</si>
  <si>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</si>
  <si>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</si>
  <si>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</si>
  <si>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</si>
  <si>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</si>
  <si>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</si>
  <si>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</si>
  <si>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</si>
  <si>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</si>
  <si>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</si>
  <si>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</si>
  <si>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</si>
  <si>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</si>
  <si>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</si>
  <si>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</si>
  <si>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</si>
  <si>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</si>
  <si>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</si>
  <si>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</si>
  <si>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</si>
  <si>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</si>
  <si>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</si>
  <si>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</si>
  <si>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</si>
  <si>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</si>
  <si>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</si>
  <si>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</si>
  <si>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</si>
  <si>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</si>
  <si>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</si>
  <si>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</si>
  <si>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</si>
  <si>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</si>
  <si>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</si>
  <si>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</si>
  <si>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</si>
  <si>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</si>
  <si>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</si>
  <si>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</si>
  <si>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</si>
  <si>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</si>
  <si>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</si>
  <si>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</si>
  <si>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</si>
  <si>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</si>
  <si>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</si>
  <si>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</si>
  <si>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</si>
  <si>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</si>
  <si>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</si>
  <si>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</si>
  <si>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</si>
  <si>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</si>
  <si>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</si>
  <si>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</si>
  <si>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</si>
  <si>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</si>
  <si>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</si>
  <si>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</si>
  <si>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</si>
  <si>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</si>
  <si>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</si>
  <si>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</si>
  <si>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</si>
  <si>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</si>
  <si>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</si>
  <si>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</si>
  <si>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</si>
  <si>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</si>
  <si>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</si>
  <si>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</si>
  <si>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</si>
  <si>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</si>
  <si>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</si>
  <si>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</si>
  <si>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</si>
  <si>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</si>
  <si>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</si>
  <si>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</si>
  <si>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</si>
  <si>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</si>
  <si>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</si>
  <si>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</si>
  <si>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</si>
  <si>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</si>
  <si>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</si>
  <si>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</si>
  <si>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</si>
  <si>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</si>
  <si>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</si>
  <si>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</si>
  <si>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</si>
  <si>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</si>
  <si>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</si>
  <si>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</si>
  <si>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</si>
  <si>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</si>
  <si>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</si>
  <si>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</si>
  <si>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</si>
  <si>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</si>
  <si>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</si>
  <si>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</si>
  <si>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</si>
  <si>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</si>
  <si>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</si>
  <si>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</si>
  <si>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</si>
  <si>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</si>
  <si>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</si>
  <si>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</si>
  <si>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</si>
  <si>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</si>
  <si>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</si>
  <si>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</si>
  <si>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</si>
  <si>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</si>
  <si>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</si>
  <si>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</si>
  <si>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</si>
  <si>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</si>
  <si>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</si>
  <si>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</si>
  <si>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</si>
  <si>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</si>
  <si>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</si>
  <si>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</si>
  <si>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</si>
  <si>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</si>
  <si>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</si>
  <si>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</si>
  <si>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</si>
  <si>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</si>
  <si>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</si>
  <si>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</si>
  <si>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</si>
  <si>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</si>
  <si>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</si>
  <si>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</si>
  <si>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</si>
  <si>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</si>
  <si>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</si>
  <si>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</si>
  <si>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</si>
  <si>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</si>
  <si>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</si>
  <si>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</si>
  <si>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</si>
  <si>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</si>
  <si>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</si>
  <si>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</si>
  <si>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</si>
  <si>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</si>
  <si>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</si>
  <si>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</si>
  <si>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</si>
  <si>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</si>
  <si>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</si>
  <si>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</si>
  <si>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</si>
  <si>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</si>
  <si>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</si>
  <si>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</si>
  <si>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</si>
  <si>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</si>
  <si>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</si>
  <si>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</si>
  <si>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</si>
  <si>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</si>
  <si>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</si>
  <si>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</si>
  <si>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</si>
  <si>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</si>
  <si>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</si>
  <si>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</si>
  <si>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</si>
  <si>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</si>
  <si>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</si>
  <si>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</si>
  <si>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</si>
  <si>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</si>
  <si>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</si>
  <si>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</si>
  <si>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</si>
  <si>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</si>
  <si>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</si>
  <si>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</si>
  <si>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</si>
  <si>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</si>
  <si>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</si>
  <si>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</si>
  <si>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</si>
  <si>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</si>
  <si>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</si>
  <si>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</si>
  <si>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</si>
  <si>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</si>
  <si>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</si>
  <si>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</si>
  <si>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</si>
  <si>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</si>
  <si>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</si>
  <si>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</si>
  <si>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</si>
  <si>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</si>
  <si>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</si>
  <si>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</si>
  <si>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</si>
  <si>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</si>
  <si>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</si>
  <si>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</si>
  <si>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</si>
  <si>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</si>
  <si>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</si>
  <si>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</si>
  <si>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</si>
  <si>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</si>
  <si>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</si>
  <si>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</si>
  <si>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</si>
  <si>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</si>
  <si>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</si>
  <si>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</si>
  <si>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</si>
  <si>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</si>
  <si>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</si>
  <si>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</si>
  <si>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</si>
  <si>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</si>
  <si>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</si>
  <si>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</si>
  <si>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</si>
  <si>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</si>
  <si>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</si>
  <si>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</si>
  <si>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</si>
  <si>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</si>
  <si>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</si>
  <si>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</si>
  <si>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</si>
  <si>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</si>
  <si>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</si>
  <si>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</si>
  <si>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</si>
  <si>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</si>
  <si>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</si>
  <si>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</si>
  <si>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</si>
  <si>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</si>
  <si>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</si>
  <si>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</si>
  <si>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</si>
  <si>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</si>
  <si>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</si>
  <si>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</si>
  <si>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</si>
  <si>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</si>
  <si>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</si>
  <si>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</si>
  <si>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</si>
  <si>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</si>
  <si>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</si>
  <si>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</si>
  <si>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</si>
  <si>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</si>
  <si>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</si>
  <si>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</si>
  <si>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</si>
  <si>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</si>
  <si>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</si>
  <si>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</si>
  <si>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</si>
  <si>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</si>
  <si>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</si>
  <si>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</si>
  <si>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</si>
  <si>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</si>
  <si>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</si>
  <si>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</si>
  <si>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</si>
  <si>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</si>
  <si>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</si>
  <si>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</si>
  <si>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</si>
  <si>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</si>
  <si>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</si>
  <si>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</si>
  <si>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</si>
  <si>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</si>
  <si>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</si>
  <si>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</si>
  <si>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</si>
  <si>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</si>
  <si>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</si>
  <si>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</si>
  <si>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</si>
  <si>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</si>
  <si>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</si>
  <si>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</si>
  <si>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</si>
  <si>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</si>
  <si>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</si>
  <si>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</si>
  <si>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</si>
  <si>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</si>
  <si>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</si>
  <si>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</si>
  <si>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</si>
  <si>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</si>
  <si>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</si>
  <si>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</si>
  <si>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</si>
  <si>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</si>
  <si>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</si>
  <si>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</si>
  <si>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</si>
  <si>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</si>
  <si>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</si>
  <si>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</si>
  <si>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</si>
  <si>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</si>
  <si>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</si>
  <si>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</si>
  <si>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</si>
  <si>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</si>
  <si>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</si>
  <si>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</si>
  <si>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</si>
  <si>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</si>
  <si>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</si>
  <si>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</si>
  <si>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</si>
  <si>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</si>
  <si>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</si>
  <si>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</si>
  <si>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</si>
  <si>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</si>
  <si>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</si>
  <si>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</si>
  <si>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</si>
  <si>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</si>
  <si>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</si>
  <si>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</si>
  <si>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</si>
  <si>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</si>
  <si>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</si>
  <si>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</si>
  <si>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</si>
  <si>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</si>
  <si>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</si>
  <si>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</si>
  <si>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</si>
  <si>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</si>
  <si>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</si>
  <si>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</si>
  <si>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</si>
  <si>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</si>
  <si>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</si>
  <si>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</si>
  <si>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</si>
  <si>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</si>
  <si>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</si>
  <si>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</si>
  <si>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</si>
  <si>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</si>
  <si>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</si>
  <si>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</si>
  <si>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</si>
  <si>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</si>
  <si>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</si>
  <si>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</si>
  <si>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</si>
  <si>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</si>
  <si>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</si>
  <si>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</si>
  <si>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</si>
  <si>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</si>
  <si>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</si>
  <si>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</si>
  <si>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</si>
  <si>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</si>
  <si>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</si>
  <si>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</si>
  <si>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</si>
  <si>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</si>
  <si>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</si>
  <si>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</si>
  <si>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</si>
  <si>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</si>
  <si>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</si>
  <si>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</si>
  <si>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</si>
  <si>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</si>
  <si>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</si>
  <si>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</si>
  <si>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</si>
  <si>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</si>
  <si>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</si>
  <si>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</si>
  <si>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</si>
  <si>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</si>
  <si>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</si>
  <si>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</si>
  <si>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</si>
  <si>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</si>
  <si>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</si>
  <si>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</si>
  <si>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</si>
  <si>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</si>
  <si>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</si>
  <si>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</si>
  <si>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</si>
  <si>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</si>
  <si>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</si>
  <si>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</si>
  <si>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</si>
  <si>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</si>
  <si>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</si>
  <si>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</si>
  <si>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</si>
  <si>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</si>
  <si>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</si>
  <si>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</si>
  <si>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</si>
  <si>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</si>
  <si>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</si>
  <si>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</si>
  <si>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</si>
  <si>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</si>
  <si>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</si>
  <si>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</si>
  <si>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</si>
  <si>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</si>
  <si>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</si>
  <si>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</si>
  <si>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</si>
  <si>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</si>
  <si>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</si>
  <si>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</si>
  <si>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</si>
  <si>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</si>
  <si>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</si>
  <si>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</si>
  <si>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</si>
  <si>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</si>
  <si>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</si>
  <si>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</si>
  <si>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</si>
  <si>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</si>
  <si>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</si>
  <si>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</si>
  <si>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</si>
  <si>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</si>
  <si>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</si>
  <si>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</si>
  <si>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</si>
  <si>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</si>
  <si>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</si>
  <si>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</si>
  <si>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</si>
  <si>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</si>
  <si>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</si>
  <si>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</si>
  <si>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</si>
  <si>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</si>
  <si>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</si>
  <si>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</si>
  <si>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</si>
  <si>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</si>
  <si>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</si>
  <si>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</si>
  <si>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</si>
  <si>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</si>
  <si>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</si>
  <si>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</si>
  <si>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</si>
  <si>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</si>
  <si>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</si>
  <si>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</si>
  <si>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</si>
  <si>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</si>
  <si>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</si>
  <si>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</si>
  <si>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</si>
  <si>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</si>
  <si>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</si>
  <si>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</si>
  <si>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</si>
  <si>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</si>
  <si>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</si>
  <si>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</si>
  <si>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</si>
  <si>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</si>
  <si>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</si>
  <si>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</si>
  <si>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</si>
  <si>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</si>
  <si>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</si>
  <si>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</si>
  <si>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</si>
  <si>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</si>
  <si>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</si>
  <si>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</si>
  <si>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</si>
  <si>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</si>
  <si>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</si>
  <si>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</si>
  <si>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</si>
  <si>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</si>
  <si>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</si>
  <si>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</si>
  <si>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</si>
  <si>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</si>
  <si>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</si>
  <si>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</si>
  <si>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</si>
  <si>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</si>
  <si>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</si>
  <si>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</si>
  <si>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</si>
  <si>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</si>
  <si>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</si>
  <si>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</si>
  <si>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</si>
  <si>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</si>
  <si>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</si>
  <si>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</si>
  <si>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</si>
  <si>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</si>
  <si>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</si>
  <si>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</si>
  <si>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</si>
  <si>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</si>
  <si>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</si>
  <si>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</si>
  <si>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</si>
  <si>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</si>
  <si>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</si>
  <si>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</si>
  <si>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</si>
  <si>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</si>
  <si>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</si>
  <si>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</si>
  <si>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</si>
  <si>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</si>
  <si>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</si>
  <si>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</si>
  <si>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</si>
  <si>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</si>
  <si>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</si>
  <si>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</si>
  <si>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</si>
  <si>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</si>
  <si>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</si>
  <si>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</si>
  <si>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</si>
  <si>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</si>
  <si>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</si>
  <si>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</si>
  <si>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</si>
  <si>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</si>
  <si>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</si>
  <si>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</si>
  <si>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</si>
  <si>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</si>
  <si>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</si>
  <si>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</si>
  <si>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</si>
  <si>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</si>
  <si>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</si>
  <si>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</si>
  <si>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</si>
  <si>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</si>
  <si>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</si>
  <si>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</si>
  <si>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</si>
  <si>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</si>
  <si>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</si>
  <si>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</si>
  <si>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</si>
  <si>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</si>
  <si>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</si>
  <si>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</si>
  <si>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</si>
  <si>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</si>
  <si>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</si>
  <si>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</si>
  <si>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</si>
  <si>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</si>
  <si>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</si>
  <si>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</si>
  <si>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</si>
  <si>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</si>
  <si>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</si>
  <si>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</si>
  <si>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</si>
  <si>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</si>
  <si>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</si>
  <si>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</si>
  <si>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</si>
  <si>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</si>
  <si>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</si>
  <si>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</si>
  <si>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</si>
  <si>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</si>
  <si>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</si>
  <si>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</si>
  <si>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</si>
  <si>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</si>
  <si>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</si>
  <si>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</si>
  <si>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</si>
  <si>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</si>
  <si>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</si>
  <si>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</si>
  <si>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</si>
  <si>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</si>
  <si>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</si>
  <si>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</si>
  <si>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</si>
  <si>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</si>
  <si>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</si>
  <si>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</si>
  <si>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</si>
  <si>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</si>
  <si>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</si>
  <si>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</si>
  <si>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</si>
  <si>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</si>
  <si>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</si>
  <si>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</si>
  <si>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</si>
  <si>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</si>
  <si>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</si>
  <si>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</si>
  <si>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</si>
  <si>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</si>
  <si>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</si>
  <si>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</si>
  <si>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</si>
  <si>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</si>
  <si>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</si>
  <si>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</si>
  <si>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</si>
  <si>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</si>
  <si>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</si>
  <si>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</si>
  <si>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</si>
  <si>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</si>
  <si>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</si>
  <si>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</si>
  <si>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</si>
  <si>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</si>
  <si>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</si>
  <si>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</si>
  <si>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</si>
  <si>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</si>
  <si>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</si>
  <si>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</si>
  <si>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</si>
  <si>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</si>
  <si>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</si>
  <si>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</si>
  <si>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</si>
  <si>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</si>
  <si>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</si>
  <si>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</si>
  <si>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</si>
  <si>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</si>
  <si>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</si>
  <si>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</si>
  <si>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</si>
  <si>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</si>
  <si>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</si>
  <si>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</si>
  <si>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</si>
  <si>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</si>
  <si>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</si>
  <si>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</si>
  <si>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</si>
  <si>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</si>
  <si>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</si>
  <si>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</si>
  <si>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</si>
  <si>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</si>
  <si>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</si>
  <si>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</si>
  <si>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</si>
  <si>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</si>
  <si>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</si>
  <si>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</si>
  <si>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</si>
  <si>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</si>
  <si>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</si>
  <si>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</si>
  <si>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</si>
  <si>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</si>
  <si>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</si>
  <si>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</si>
  <si>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</si>
  <si>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</si>
  <si>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</si>
  <si>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</si>
  <si>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</si>
  <si>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</si>
  <si>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</si>
  <si>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</si>
  <si>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</si>
  <si>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</si>
  <si>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</si>
  <si>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</si>
  <si>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</si>
  <si>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</si>
  <si>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</si>
  <si>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</si>
  <si>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</si>
  <si>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</si>
  <si>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</si>
  <si>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</si>
  <si>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</si>
  <si>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</si>
  <si>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</si>
  <si>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</si>
  <si>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</si>
  <si>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</si>
  <si>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</si>
  <si>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</si>
  <si>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</si>
  <si>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</si>
  <si>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2019-3</t>
    <phoneticPr fontId="4" type="noConversion"/>
  </si>
  <si>
    <t>2019-4</t>
    <phoneticPr fontId="4" type="noConversion"/>
  </si>
  <si>
    <t>赵璠</t>
    <phoneticPr fontId="4" type="noConversion"/>
  </si>
  <si>
    <t>2019A-027</t>
    <phoneticPr fontId="4" type="noConversion"/>
  </si>
  <si>
    <t>刘俊财</t>
    <phoneticPr fontId="4" type="noConversion"/>
  </si>
  <si>
    <t>2020-1</t>
    <phoneticPr fontId="4" type="noConversion"/>
  </si>
  <si>
    <t>2020-2</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</si>
  <si>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</si>
  <si>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</si>
  <si>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t>土地征用及拆迁补偿费</t>
    <phoneticPr fontId="10" type="noConversion"/>
  </si>
  <si>
    <t>核定资产</t>
  </si>
  <si>
    <t>市场价格</t>
  </si>
  <si>
    <t>企业</t>
  </si>
  <si>
    <t>Ⅶ-兴1</t>
  </si>
  <si>
    <t>工业</t>
    <phoneticPr fontId="8" type="noConversion"/>
  </si>
  <si>
    <t>地上</t>
  </si>
  <si>
    <t>成新度</t>
  </si>
  <si>
    <t>土地开发补偿费</t>
  </si>
  <si>
    <t>c</t>
    <phoneticPr fontId="4" type="noConversion"/>
  </si>
  <si>
    <t>年度</t>
    <phoneticPr fontId="4" type="noConversion"/>
  </si>
  <si>
    <t>会期</t>
    <phoneticPr fontId="277"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</si>
  <si>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</si>
  <si>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</si>
  <si>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</si>
  <si>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</si>
  <si>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</si>
  <si>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</si>
  <si>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</si>
  <si>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</si>
  <si>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</si>
  <si>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</si>
  <si>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</si>
  <si>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</si>
  <si>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</si>
  <si>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</si>
  <si>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</si>
  <si>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</si>
  <si>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</si>
  <si>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</si>
  <si>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</si>
  <si>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</si>
  <si>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</si>
  <si>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</si>
  <si>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</si>
  <si>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</si>
  <si>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</si>
  <si>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</si>
  <si>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</si>
  <si>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</si>
  <si>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</si>
  <si>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</si>
  <si>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</si>
  <si>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</si>
  <si>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</si>
  <si>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</si>
  <si>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</si>
  <si>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</si>
  <si>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</si>
  <si>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</si>
  <si>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</si>
  <si>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</si>
  <si>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</si>
  <si>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</si>
  <si>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</si>
  <si>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</si>
  <si>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</si>
  <si>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</si>
  <si>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</si>
  <si>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</si>
  <si>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</si>
  <si>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</si>
  <si>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</si>
  <si>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</si>
  <si>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</si>
  <si>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</si>
  <si>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</si>
  <si>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</si>
  <si>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</si>
  <si>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</si>
  <si>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</si>
  <si>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</si>
  <si>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</si>
  <si>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</si>
  <si>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</si>
  <si>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</si>
  <si>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</si>
  <si>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</si>
  <si>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</si>
  <si>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</si>
  <si>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</si>
  <si>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</si>
  <si>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</si>
  <si>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</si>
  <si>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</si>
  <si>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</si>
  <si>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</si>
  <si>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</si>
  <si>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</si>
  <si>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</si>
  <si>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</si>
  <si>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</si>
  <si>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</si>
  <si>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</si>
  <si>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</si>
  <si>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</si>
  <si>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</si>
  <si>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</si>
  <si>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</si>
  <si>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</si>
  <si>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</si>
  <si>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</si>
  <si>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</si>
  <si>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</si>
  <si>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</si>
  <si>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</si>
  <si>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</si>
  <si>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</si>
  <si>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</si>
  <si>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</si>
  <si>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</si>
  <si>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</si>
  <si>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</si>
  <si>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</si>
  <si>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</si>
  <si>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77"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</si>
  <si>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</si>
  <si>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</si>
  <si>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</si>
  <si>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</si>
  <si>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77"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</si>
  <si>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</si>
  <si>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</si>
  <si>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</si>
  <si>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</si>
  <si>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</si>
  <si>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</si>
  <si>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</si>
  <si>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</si>
  <si>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</si>
  <si>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</si>
  <si>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</si>
  <si>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</si>
  <si>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</si>
  <si>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</si>
  <si>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</si>
  <si>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6" type="noConversion"/>
  </si>
  <si>
    <t>第8期</t>
    <phoneticPr fontId="277"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</si>
  <si>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</si>
  <si>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</si>
  <si>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</si>
  <si>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</si>
  <si>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7"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</si>
  <si>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</si>
  <si>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</si>
  <si>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</si>
  <si>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</si>
  <si>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7"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</si>
  <si>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</si>
  <si>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</si>
  <si>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</si>
  <si>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</si>
  <si>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</si>
  <si>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</si>
  <si>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</si>
  <si>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</si>
  <si>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</si>
  <si>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</si>
  <si>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</si>
  <si>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</si>
  <si>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</si>
  <si>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</si>
  <si>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</si>
  <si>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</si>
  <si>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</si>
  <si>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</si>
  <si>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</si>
  <si>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</si>
  <si>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工业用地</t>
  </si>
  <si>
    <t>宗地容积率</t>
  </si>
  <si>
    <t>通路</t>
  </si>
  <si>
    <t>通电</t>
  </si>
  <si>
    <t>通讯</t>
  </si>
  <si>
    <t>通上水</t>
  </si>
  <si>
    <t>通下水</t>
  </si>
  <si>
    <t>平整</t>
  </si>
  <si>
    <t>与级别开发程度不一致</t>
  </si>
  <si>
    <t>容积率修正</t>
  </si>
  <si>
    <t>押一</t>
  </si>
  <si>
    <t>收益还原法</t>
  </si>
  <si>
    <t>钢混</t>
  </si>
  <si>
    <t>基准地价</t>
    <phoneticPr fontId="229" type="noConversion"/>
  </si>
  <si>
    <t>剩余法</t>
    <phoneticPr fontId="229" type="noConversion"/>
  </si>
  <si>
    <t>成本逼近</t>
    <phoneticPr fontId="229" type="noConversion"/>
  </si>
  <si>
    <t>权重</t>
    <phoneticPr fontId="229" type="noConversion"/>
  </si>
  <si>
    <t>亩</t>
    <phoneticPr fontId="229" type="noConversion"/>
  </si>
  <si>
    <t>扣除增值收益率单价（15%）</t>
    <phoneticPr fontId="229" type="noConversion"/>
  </si>
  <si>
    <r>
      <t>扣除增值收益率单价（1</t>
    </r>
    <r>
      <rPr>
        <sz val="11"/>
        <color theme="1"/>
        <rFont val="宋体"/>
        <family val="3"/>
        <charset val="134"/>
        <scheme val="minor"/>
      </rPr>
      <t>9</t>
    </r>
    <r>
      <rPr>
        <sz val="11"/>
        <color theme="1"/>
        <rFont val="宋体"/>
        <family val="3"/>
        <charset val="134"/>
        <scheme val="minor"/>
      </rPr>
      <t>%）</t>
    </r>
    <phoneticPr fontId="229" type="noConversion"/>
  </si>
  <si>
    <t>成本逼近</t>
    <phoneticPr fontId="229" type="noConversion"/>
  </si>
  <si>
    <t>单价</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</si>
</sst>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u/>
      <sz val="12"/>
      <color indexed="12"/>
      <name val="宋体"/>
      <family val="3"/>
      <charset val="134"/>
    </font>
    <font>
      <sz val="11"/>
      <color indexed="42"/>
      <name val="宋体"/>
      <family val="3"/>
      <charset val="134"/>
    </font>
    <font>
      <sz val="11"/>
      <color indexed="62"/>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1" fillId="0" borderId="0">
      <alignment vertical="center"/>
    </xf>
    <xf numFmtId="0" fontId="82" fillId="0" borderId="0">
      <alignment vertical="center"/>
    </xf>
    <xf numFmtId="0" fontId="1" fillId="0" borderId="0">
      <alignment vertical="center"/>
    </xf>
    <xf numFmtId="0" fontId="257" fillId="0" borderId="0"/>
    <xf numFmtId="0" fontId="146" fillId="0" borderId="0">
      <alignment vertical="center"/>
    </xf>
    <xf numFmtId="0" fontId="1" fillId="0" borderId="0">
      <alignment vertical="center"/>
    </xf>
    <xf numFmtId="0" fontId="257" fillId="0" borderId="0"/>
    <xf numFmtId="0" fontId="287" fillId="0" borderId="0" applyNumberFormat="0" applyFill="0" applyBorder="0" applyAlignment="0" applyProtection="0">
      <alignment vertical="top"/>
      <protection locked="0"/>
    </xf>
    <xf numFmtId="0" fontId="288" fillId="19" borderId="0" applyNumberFormat="0" applyBorder="0" applyProtection="0">
      <alignment vertical="center"/>
    </xf>
    <xf numFmtId="0" fontId="288" fillId="20" borderId="0" applyNumberFormat="0" applyBorder="0" applyProtection="0">
      <alignment vertical="center"/>
    </xf>
    <xf numFmtId="0" fontId="288" fillId="21" borderId="0" applyNumberFormat="0" applyBorder="0" applyAlignment="0" applyProtection="0">
      <alignment vertical="center"/>
    </xf>
    <xf numFmtId="0" fontId="289" fillId="22" borderId="154" applyNumberFormat="0" applyProtection="0">
      <alignment vertical="center"/>
    </xf>
  </cellStyleXfs>
  <cellXfs count="3549">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13" borderId="2" xfId="14" applyFont="1" applyFill="1" applyBorder="1" applyAlignment="1" applyProtection="1">
      <alignment horizontal="center" vertical="center" wrapText="1"/>
      <protection locked="0"/>
    </xf>
    <xf numFmtId="0" fontId="258" fillId="0" borderId="2" xfId="14" applyFont="1" applyBorder="1" applyAlignment="1" applyProtection="1">
      <alignment horizontal="left" vertical="center" wrapText="1"/>
      <protection locked="0"/>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237" fillId="13" borderId="124" xfId="13" applyFont="1" applyFill="1" applyBorder="1" applyAlignment="1" applyProtection="1">
      <alignment horizontal="center" vertical="center" wrapText="1"/>
    </xf>
    <xf numFmtId="0" fontId="237" fillId="13" borderId="128" xfId="13" applyFont="1" applyFill="1" applyBorder="1" applyAlignment="1" applyProtection="1">
      <alignment horizontal="center" vertical="center" wrapText="1"/>
    </xf>
    <xf numFmtId="0" fontId="258"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8" fillId="5" borderId="2" xfId="14" applyFont="1" applyFill="1" applyBorder="1" applyAlignment="1" applyProtection="1">
      <alignment horizontal="center" vertical="center" wrapText="1"/>
    </xf>
    <xf numFmtId="14" fontId="258" fillId="5" borderId="2" xfId="14" applyNumberFormat="1" applyFont="1" applyFill="1" applyBorder="1" applyAlignment="1" applyProtection="1">
      <alignment horizontal="center" vertical="center" wrapText="1"/>
    </xf>
    <xf numFmtId="0" fontId="257" fillId="5" borderId="2" xfId="14" applyFill="1" applyBorder="1" applyAlignment="1" applyProtection="1">
      <alignment vertical="center"/>
    </xf>
    <xf numFmtId="0" fontId="258" fillId="5" borderId="10" xfId="14" applyFont="1" applyFill="1" applyBorder="1" applyAlignment="1" applyProtection="1">
      <alignment horizontal="center" vertical="center" wrapText="1"/>
    </xf>
    <xf numFmtId="0" fontId="146" fillId="0" borderId="2" xfId="14" applyFont="1" applyFill="1" applyBorder="1" applyAlignment="1" applyProtection="1">
      <alignment vertical="center"/>
      <protection locked="0"/>
    </xf>
    <xf numFmtId="0" fontId="258" fillId="0" borderId="10" xfId="14" applyFont="1" applyFill="1" applyBorder="1" applyAlignment="1" applyProtection="1">
      <alignment horizontal="center" vertical="center" wrapText="1"/>
      <protection locked="0"/>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96" fillId="7" borderId="5" xfId="2" applyNumberFormat="1" applyFont="1" applyFill="1" applyBorder="1" applyAlignment="1" applyProtection="1">
      <alignment horizontal="center" vertical="center"/>
    </xf>
    <xf numFmtId="0" fontId="277" fillId="0" borderId="0" xfId="17" applyFont="1" applyFill="1" applyBorder="1">
      <alignment vertical="center"/>
    </xf>
    <xf numFmtId="0" fontId="279" fillId="0" borderId="2" xfId="17" applyFont="1" applyFill="1" applyBorder="1" applyAlignment="1">
      <alignment horizontal="center" vertical="center"/>
    </xf>
    <xf numFmtId="0" fontId="277" fillId="0" borderId="0" xfId="17" applyFont="1" applyFill="1" applyBorder="1" applyAlignment="1">
      <alignment vertical="center"/>
    </xf>
    <xf numFmtId="0" fontId="280" fillId="0" borderId="2" xfId="17" applyFont="1" applyFill="1" applyBorder="1" applyAlignment="1">
      <alignment horizontal="center" vertical="center"/>
    </xf>
    <xf numFmtId="0" fontId="281" fillId="0" borderId="2" xfId="17" applyNumberFormat="1" applyFont="1" applyFill="1" applyBorder="1" applyAlignment="1">
      <alignment horizontal="center" vertical="center" wrapText="1"/>
    </xf>
    <xf numFmtId="177"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left" vertical="center" wrapText="1"/>
    </xf>
    <xf numFmtId="0" fontId="283" fillId="0" borderId="21" xfId="17" applyFont="1" applyFill="1" applyBorder="1" applyAlignment="1">
      <alignment horizontal="center" vertical="center"/>
    </xf>
    <xf numFmtId="0" fontId="280" fillId="0" borderId="0" xfId="17" applyFont="1" applyFill="1" applyBorder="1">
      <alignment vertical="center"/>
    </xf>
    <xf numFmtId="0" fontId="283" fillId="0" borderId="0" xfId="17" applyFont="1" applyFill="1" applyBorder="1">
      <alignment vertical="center"/>
    </xf>
    <xf numFmtId="0" fontId="283" fillId="0" borderId="2" xfId="17" applyFont="1" applyFill="1" applyBorder="1" applyAlignment="1">
      <alignment horizontal="center" vertical="center"/>
    </xf>
    <xf numFmtId="177" fontId="128" fillId="0" borderId="2" xfId="17" applyNumberFormat="1" applyFont="1" applyFill="1" applyBorder="1" applyAlignment="1">
      <alignment horizontal="center" vertical="center" wrapText="1"/>
    </xf>
    <xf numFmtId="177" fontId="83" fillId="0" borderId="2" xfId="17" applyNumberFormat="1" applyFont="1" applyFill="1" applyBorder="1" applyAlignment="1" applyProtection="1">
      <alignment horizontal="center" vertical="center" wrapText="1"/>
    </xf>
    <xf numFmtId="177" fontId="281" fillId="0" borderId="2" xfId="17" applyNumberFormat="1" applyFont="1" applyFill="1" applyBorder="1" applyAlignment="1">
      <alignment horizontal="center" vertical="center" wrapText="1"/>
    </xf>
    <xf numFmtId="0"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center" vertical="center" wrapText="1"/>
    </xf>
    <xf numFmtId="177" fontId="128" fillId="0" borderId="2" xfId="17" applyNumberFormat="1" applyFont="1" applyFill="1" applyBorder="1" applyAlignment="1" applyProtection="1">
      <alignment horizontal="center" vertical="center" wrapText="1"/>
    </xf>
    <xf numFmtId="177" fontId="281" fillId="0" borderId="2" xfId="17" applyNumberFormat="1" applyFont="1" applyBorder="1" applyAlignment="1">
      <alignment horizontal="center" vertical="center" wrapText="1"/>
    </xf>
    <xf numFmtId="177" fontId="282" fillId="0" borderId="2" xfId="17" applyNumberFormat="1" applyFont="1" applyBorder="1" applyAlignment="1">
      <alignment horizontal="center" vertical="center" wrapText="1"/>
    </xf>
    <xf numFmtId="0" fontId="283" fillId="0" borderId="10" xfId="17" applyFont="1" applyFill="1" applyBorder="1" applyAlignment="1">
      <alignment horizontal="center" vertical="center"/>
    </xf>
    <xf numFmtId="0" fontId="280" fillId="18" borderId="0" xfId="17" applyFont="1" applyFill="1" applyBorder="1">
      <alignment vertical="center"/>
    </xf>
    <xf numFmtId="177" fontId="281" fillId="0" borderId="0" xfId="17" applyNumberFormat="1" applyFont="1" applyFill="1" applyBorder="1" applyAlignment="1">
      <alignment horizontal="center" vertical="center"/>
    </xf>
    <xf numFmtId="185" fontId="281" fillId="0" borderId="2" xfId="17" applyNumberFormat="1" applyFont="1" applyFill="1" applyBorder="1" applyAlignment="1">
      <alignment horizontal="center" vertical="center" wrapText="1"/>
    </xf>
    <xf numFmtId="0" fontId="135" fillId="0" borderId="0" xfId="17" applyFont="1" applyFill="1" applyBorder="1" applyAlignment="1">
      <alignment horizontal="center" vertical="center"/>
    </xf>
    <xf numFmtId="0" fontId="280" fillId="0" borderId="2" xfId="17" applyFont="1" applyFill="1" applyBorder="1" applyAlignment="1">
      <alignment horizontal="center" vertical="center" wrapText="1"/>
    </xf>
    <xf numFmtId="177" fontId="165" fillId="8" borderId="2" xfId="17" applyNumberFormat="1" applyFont="1" applyFill="1" applyBorder="1" applyAlignment="1">
      <alignment horizontal="center" vertical="center" wrapText="1"/>
    </xf>
    <xf numFmtId="177" fontId="165" fillId="0" borderId="0" xfId="17" applyNumberFormat="1" applyFont="1" applyFill="1" applyBorder="1">
      <alignment vertical="center"/>
    </xf>
    <xf numFmtId="177" fontId="282" fillId="0" borderId="2" xfId="17" applyNumberFormat="1" applyFont="1" applyBorder="1" applyAlignment="1">
      <alignment horizontal="left" vertical="center" wrapText="1"/>
    </xf>
    <xf numFmtId="185" fontId="165" fillId="0" borderId="2" xfId="17" applyNumberFormat="1" applyFont="1" applyFill="1" applyBorder="1" applyAlignment="1">
      <alignment horizontal="center" vertical="center" wrapText="1"/>
    </xf>
    <xf numFmtId="195" fontId="281" fillId="0" borderId="2" xfId="18" applyNumberFormat="1" applyFont="1" applyFill="1" applyBorder="1" applyAlignment="1">
      <alignment horizontal="center" vertical="center" wrapText="1"/>
    </xf>
    <xf numFmtId="177" fontId="281" fillId="0" borderId="2" xfId="17" applyNumberFormat="1" applyFont="1" applyFill="1" applyBorder="1" applyAlignment="1">
      <alignment horizontal="left" vertical="center" wrapText="1"/>
    </xf>
    <xf numFmtId="0" fontId="281" fillId="0" borderId="2" xfId="18" applyFont="1" applyFill="1" applyBorder="1" applyAlignment="1">
      <alignment horizontal="center" vertical="center" wrapText="1"/>
    </xf>
    <xf numFmtId="0" fontId="165" fillId="0" borderId="0" xfId="17" applyFont="1" applyFill="1" applyBorder="1" applyAlignment="1">
      <alignment horizontal="center" vertical="center"/>
    </xf>
    <xf numFmtId="0" fontId="165" fillId="0" borderId="2" xfId="17" applyFont="1" applyFill="1" applyBorder="1" applyAlignment="1">
      <alignment horizontal="center" vertical="center"/>
    </xf>
    <xf numFmtId="0" fontId="128" fillId="0" borderId="2" xfId="17" applyFont="1" applyFill="1" applyBorder="1" applyAlignment="1">
      <alignment horizontal="center" vertical="center" wrapText="1"/>
    </xf>
    <xf numFmtId="177" fontId="83" fillId="0" borderId="2" xfId="17" applyNumberFormat="1" applyFont="1" applyBorder="1" applyAlignment="1">
      <alignment horizontal="center" vertical="center" wrapText="1"/>
    </xf>
    <xf numFmtId="177" fontId="83" fillId="0" borderId="2" xfId="17" applyNumberFormat="1" applyFont="1" applyBorder="1" applyAlignment="1">
      <alignment horizontal="left" vertical="center" wrapText="1"/>
    </xf>
    <xf numFmtId="0" fontId="128" fillId="0" borderId="2" xfId="17" applyFont="1" applyFill="1" applyBorder="1" applyAlignment="1">
      <alignment horizontal="center" vertical="center"/>
    </xf>
    <xf numFmtId="177" fontId="284" fillId="0" borderId="2" xfId="17" applyNumberFormat="1" applyFont="1" applyFill="1" applyBorder="1" applyAlignment="1">
      <alignment horizontal="center" vertical="center"/>
    </xf>
    <xf numFmtId="177" fontId="284" fillId="0" borderId="0" xfId="17" applyNumberFormat="1" applyFont="1" applyFill="1" applyBorder="1" applyAlignment="1">
      <alignment vertical="center"/>
    </xf>
    <xf numFmtId="0" fontId="83" fillId="0" borderId="2" xfId="18" applyFont="1" applyFill="1" applyBorder="1" applyAlignment="1">
      <alignment horizontal="center" vertical="center" wrapText="1"/>
    </xf>
    <xf numFmtId="185" fontId="128" fillId="0" borderId="2" xfId="17" applyNumberFormat="1" applyFont="1" applyFill="1" applyBorder="1" applyAlignment="1">
      <alignment horizontal="center" vertical="center" wrapText="1"/>
    </xf>
    <xf numFmtId="0" fontId="83" fillId="0" borderId="10" xfId="18" applyFont="1" applyFill="1" applyBorder="1" applyAlignment="1">
      <alignment horizontal="center" vertical="center" wrapText="1"/>
    </xf>
    <xf numFmtId="0" fontId="201" fillId="0" borderId="2" xfId="17" applyFont="1" applyFill="1" applyBorder="1" applyAlignment="1">
      <alignment horizontal="center" vertical="center"/>
    </xf>
    <xf numFmtId="195" fontId="83" fillId="0" borderId="2" xfId="18" applyNumberFormat="1" applyFont="1" applyFill="1" applyBorder="1" applyAlignment="1">
      <alignment horizontal="center" vertical="center" wrapText="1"/>
    </xf>
    <xf numFmtId="0" fontId="83" fillId="0" borderId="21" xfId="18" applyFont="1" applyFill="1" applyBorder="1" applyAlignment="1">
      <alignment horizontal="center" vertical="center" wrapText="1"/>
    </xf>
    <xf numFmtId="0" fontId="277" fillId="0" borderId="0" xfId="17" applyFont="1" applyFill="1" applyBorder="1" applyAlignment="1">
      <alignment horizontal="left" vertical="center"/>
    </xf>
    <xf numFmtId="0" fontId="277" fillId="0" borderId="0" xfId="17" applyFont="1" applyFill="1" applyBorder="1" applyAlignment="1">
      <alignment horizontal="center" vertical="center"/>
    </xf>
    <xf numFmtId="177" fontId="277" fillId="0" borderId="0" xfId="17" applyNumberFormat="1" applyFont="1" applyFill="1" applyBorder="1" applyAlignment="1">
      <alignment horizontal="center" vertical="center"/>
    </xf>
    <xf numFmtId="0" fontId="146" fillId="0" borderId="0" xfId="0" applyFont="1">
      <alignment vertical="center"/>
    </xf>
    <xf numFmtId="0" fontId="146" fillId="0" borderId="2" xfId="0" applyFont="1" applyBorder="1">
      <alignment vertical="center"/>
    </xf>
    <xf numFmtId="0" fontId="0" fillId="0" borderId="2" xfId="0" applyBorder="1">
      <alignment vertical="center"/>
    </xf>
    <xf numFmtId="0" fontId="0" fillId="6" borderId="2" xfId="0" applyFill="1" applyBorder="1">
      <alignment vertical="center"/>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278" fillId="0" borderId="2" xfId="18" applyFont="1" applyFill="1" applyBorder="1" applyAlignment="1">
      <alignment horizontal="center" vertical="center" wrapText="1"/>
    </xf>
    <xf numFmtId="0" fontId="278" fillId="0" borderId="2" xfId="18" applyFont="1" applyFill="1" applyBorder="1" applyAlignment="1">
      <alignment horizontal="center" vertical="center"/>
    </xf>
    <xf numFmtId="0" fontId="279" fillId="0" borderId="2" xfId="17" applyFont="1" applyFill="1" applyBorder="1" applyAlignment="1">
      <alignment horizontal="center" vertical="center" wrapText="1"/>
    </xf>
    <xf numFmtId="0" fontId="279" fillId="0" borderId="2" xfId="17" applyFont="1" applyFill="1" applyBorder="1" applyAlignment="1">
      <alignment horizontal="center" vertical="center"/>
    </xf>
    <xf numFmtId="0" fontId="276" fillId="0" borderId="17" xfId="16" applyFont="1" applyFill="1" applyBorder="1" applyAlignment="1">
      <alignment horizontal="center" vertical="center" wrapText="1"/>
    </xf>
    <xf numFmtId="0" fontId="276" fillId="0" borderId="19" xfId="16" applyFont="1" applyFill="1" applyBorder="1" applyAlignment="1">
      <alignment horizontal="center" vertical="center" wrapText="1"/>
    </xf>
    <xf numFmtId="195" fontId="278" fillId="0" borderId="2" xfId="18" applyNumberFormat="1" applyFont="1" applyFill="1" applyBorder="1" applyAlignment="1">
      <alignment horizontal="center" vertical="center" wrapText="1"/>
    </xf>
    <xf numFmtId="195" fontId="278" fillId="0" borderId="2" xfId="18" applyNumberFormat="1" applyFont="1" applyFill="1" applyBorder="1" applyAlignment="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23" fillId="5" borderId="0" xfId="0" applyFont="1" applyFill="1" applyAlignment="1" applyProtection="1">
      <alignment horizontal="left" vertical="center"/>
      <protection locked="0"/>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cellXfs>
  <cellStyles count="29">
    <cellStyle name="百分比 2" xfId="11"/>
    <cellStyle name="常规" xfId="0" builtinId="0"/>
    <cellStyle name="常规 10" xfId="17"/>
    <cellStyle name="常规 11" xfId="19"/>
    <cellStyle name="常规 12" xfId="20"/>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2" xfId="24"/>
    <cellStyle name="强调文字颜色 2 2 2_Sheet1_2_Sheet1_1" xfId="25"/>
    <cellStyle name="强调文字颜色 5 2 2" xfId="26"/>
    <cellStyle name="强调文字颜色 6 2 2" xfId="27"/>
    <cellStyle name="输入 2 2_Sheet1_5" xfId="28"/>
  </cellStyles>
  <dxfs count="225">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0-06/&#27979;&#31639;&#8212;&#8212;&#27719;&#24635;-&#26472;11-&#26472;&#32418;&#33521;20190709-1419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2650</v>
      </c>
      <c r="B1" s="2845" t="s">
        <v>2747</v>
      </c>
    </row>
    <row r="2" spans="1:55" s="2849" customFormat="1" ht="15" thickTop="1">
      <c r="A2" s="2847" t="s">
        <v>2654</v>
      </c>
      <c r="B2" s="2848" t="str">
        <f>'预评函-封皮'!B37</f>
        <v>北京市出让国有建设用地使用权市场价格预评估</v>
      </c>
      <c r="AX2" s="2850"/>
      <c r="AZ2" s="2850"/>
      <c r="BA2" s="2851"/>
      <c r="BC2" s="2851"/>
    </row>
    <row r="3" spans="1:55" s="2852" customFormat="1">
      <c r="A3" s="2831" t="s">
        <v>2655</v>
      </c>
      <c r="B3" s="2834">
        <f>'预评函-封皮'!B40</f>
        <v>0</v>
      </c>
    </row>
    <row r="4" spans="1:55" s="2833" customFormat="1">
      <c r="A4" s="2831" t="s">
        <v>2656</v>
      </c>
      <c r="B4" s="2832" t="str">
        <f>'预评函-封皮'!B46</f>
        <v>土地估价师、土地估价师</v>
      </c>
      <c r="N4" s="2833" t="str">
        <f>'预评函-1'!A28</f>
        <v>——</v>
      </c>
    </row>
    <row r="5" spans="1:55" s="2846" customFormat="1" ht="15" thickBot="1">
      <c r="A5" s="2853" t="s">
        <v>2657</v>
      </c>
      <c r="B5" s="2854" t="str">
        <f>'预评函-封皮'!B49</f>
        <v>康正预评字号</v>
      </c>
    </row>
    <row r="6" spans="1:55" s="2855" customFormat="1" ht="15" thickTop="1">
      <c r="A6" s="2847" t="s">
        <v>2699</v>
      </c>
      <c r="B6" s="2848" t="str">
        <f>'预评函-1'!A4</f>
        <v>受贵公司委托，我公司对北京市出让国有建设用地使用权市场价格进行了预评估。</v>
      </c>
      <c r="AM6" s="2856"/>
    </row>
    <row r="7" spans="1:55" s="2830" customFormat="1">
      <c r="A7" s="2831" t="s">
        <v>2651</v>
      </c>
      <c r="B7" s="2832" t="str">
        <f>'预评函-1'!A6</f>
        <v>估价对象为使用的、位于北京市出让国有建设用地使用权。根据《国有土地使用证》[]，估价对象（分摊）出让国有建设用地使用权面积为96343.56平方米。根据《建设工程规划许可证》[]、《出让合同》[]，估价对象规划建筑面积为96343.56平方米。</v>
      </c>
    </row>
    <row r="8" spans="1:55" s="2830" customFormat="1">
      <c r="A8" s="2831" t="s">
        <v>2652</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2702</v>
      </c>
      <c r="B9" s="2832" t="str">
        <f>'预评函-1'!A9</f>
        <v>本次评估为委托估价方了解标的物之市场价格提供参考依据而评估出让国有建设用地使用权市场价格。</v>
      </c>
    </row>
    <row r="10" spans="1:55" s="2830" customFormat="1">
      <c r="A10" s="2831" t="s">
        <v>2653</v>
      </c>
      <c r="B10" s="2832" t="str">
        <f>'预评函-1'!A11</f>
        <v>2020年6月19日（评估专业人员勘察现场之日）</v>
      </c>
    </row>
    <row r="11" spans="1:55" s="2830" customFormat="1">
      <c r="A11" s="2831" t="s">
        <v>2659</v>
      </c>
      <c r="B11" s="2832" t="str">
        <f>'预评函-1'!A14</f>
        <v>根据《国有土地使用证》[]，本次评估估价对象证载（地类）用途为。</v>
      </c>
    </row>
    <row r="12" spans="1:55" s="2830" customFormat="1">
      <c r="A12" s="2831" t="s">
        <v>2660</v>
      </c>
      <c r="B12" s="2832" t="str">
        <f>'预评函-1'!A15</f>
        <v>本次评估设定用途即为证载用途。</v>
      </c>
    </row>
    <row r="13" spans="1:55" s="2830" customFormat="1">
      <c r="A13" s="2831" t="s">
        <v>2661</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2662</v>
      </c>
      <c r="B14" s="2832" t="str">
        <f>'预评函-1'!A18</f>
        <v>。本次评估设定土地开发程度为红线外市政基础设施达“七通”、宗地红线内场地平整。</v>
      </c>
    </row>
    <row r="15" spans="1:55" s="2830" customFormat="1">
      <c r="A15" s="2831" t="s">
        <v>2658</v>
      </c>
      <c r="B15" s="2832" t="str">
        <f>'预评函-1'!A20</f>
        <v>根据《国有土地使用证》[]，估价对象（分摊）出让国有建设用地使用权面积为96343.56平方米。根据《建设工程规划许可证》[]、《出让合同》[]，估价对象规划建筑面积为96343.56平方米。</v>
      </c>
    </row>
    <row r="16" spans="1:55" s="2830" customFormat="1">
      <c r="A16" s="2831" t="s">
        <v>2663</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2070年7月1日。截至估价期日，出让国有建设用地使用权剩余土地使用年限为。</v>
      </c>
    </row>
    <row r="17" spans="1:48" s="2830" customFormat="1">
      <c r="A17" s="2831" t="s">
        <v>2664</v>
      </c>
      <c r="B17" s="2832" t="str">
        <f>'预评函-1'!A23</f>
        <v>本次评估设定估价对象剩余土地使用年限为。</v>
      </c>
    </row>
    <row r="18" spans="1:48" s="2830" customFormat="1">
      <c r="A18" s="2831" t="s">
        <v>2665</v>
      </c>
      <c r="B18" s="2832" t="str">
        <f>'预评函-1'!A25</f>
        <v>本次估价的“出让国有建设用地使用权价格”是指在估价对象土地所有权为国家所有，使用权性质为出让，在公开市场条件下、于估价期日2020年6月19日，在规划利用条件下、设定土地开发程度为红线外“七通”、宗地内场地，设定用途为，剩余土地使用年限为的出让国有建设用地使用权价格。</v>
      </c>
    </row>
    <row r="19" spans="1:48" s="2830" customFormat="1">
      <c r="A19" s="2831" t="s">
        <v>2666</v>
      </c>
      <c r="B19" s="2832" t="str">
        <f>'预评函-1'!A26</f>
        <v>——</v>
      </c>
    </row>
    <row r="20" spans="1:48" s="2830" customFormat="1">
      <c r="A20" s="2831" t="s">
        <v>2667</v>
      </c>
      <c r="B20" s="2832" t="str">
        <f>'预评函-1'!A27</f>
        <v>——</v>
      </c>
    </row>
    <row r="21" spans="1:48" s="2846" customFormat="1" ht="15" thickBot="1">
      <c r="A21" s="2853" t="s">
        <v>2668</v>
      </c>
      <c r="B21" s="2854" t="str">
        <f>'预评函-1'!A28</f>
        <v>——</v>
      </c>
    </row>
    <row r="22" spans="1:48" ht="15" thickTop="1">
      <c r="A22" s="2842" t="s">
        <v>2669</v>
      </c>
      <c r="B22" s="284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1" t="s">
        <v>2670</v>
      </c>
      <c r="B23" s="2832" t="str">
        <f>'预评函-2'!K2</f>
        <v>估价期日：2020年6月19日</v>
      </c>
    </row>
    <row r="24" spans="1:48">
      <c r="A24" s="2831" t="s">
        <v>2671</v>
      </c>
      <c r="B24" s="2832" t="str">
        <f>'预评函-2'!R2</f>
        <v>估价期日的国有建设用地使用权性质：出让</v>
      </c>
    </row>
    <row r="25" spans="1:48">
      <c r="A25" s="2831" t="s">
        <v>2727</v>
      </c>
      <c r="B25" s="2832" t="str">
        <f>'预评函-2'!A3</f>
        <v>估价期日土地使用者</v>
      </c>
    </row>
    <row r="26" spans="1:48">
      <c r="A26" s="2831" t="s">
        <v>2703</v>
      </c>
      <c r="B26" s="2832" t="str">
        <f>'预评函-2'!A5</f>
        <v>中信开发</v>
      </c>
    </row>
    <row r="27" spans="1:48">
      <c r="A27" s="2831" t="s">
        <v>2728</v>
      </c>
      <c r="B27" s="2832" t="str">
        <f>'预评函-2'!B3</f>
        <v>宗地编号/不动产单元号</v>
      </c>
    </row>
    <row r="28" spans="1:48">
      <c r="A28" s="2831" t="s">
        <v>2704</v>
      </c>
      <c r="B28" s="2832" t="str">
        <f>'预评函-2'!B5</f>
        <v>11111111111</v>
      </c>
    </row>
    <row r="29" spans="1:48">
      <c r="A29" s="2831" t="s">
        <v>2730</v>
      </c>
      <c r="B29" s="2832">
        <f>'预评函-2'!C5</f>
        <v>22</v>
      </c>
    </row>
    <row r="30" spans="1:48">
      <c r="A30" s="2831" t="s">
        <v>2731</v>
      </c>
      <c r="B30" s="2832" t="str">
        <f>'预评函-2'!D3</f>
        <v>土地使用证编号/不动产权证书编号</v>
      </c>
    </row>
    <row r="31" spans="1:48">
      <c r="A31" s="2831" t="s">
        <v>2705</v>
      </c>
      <c r="B31" s="2832" t="str">
        <f>'预评函-2'!D5</f>
        <v>京国土字第111号</v>
      </c>
    </row>
    <row r="32" spans="1:48">
      <c r="A32" s="2831" t="s">
        <v>2706</v>
      </c>
      <c r="B32" s="2832">
        <f>'预评函-2'!E5</f>
        <v>0</v>
      </c>
      <c r="AV32" s="2836"/>
    </row>
    <row r="33" spans="1:2">
      <c r="A33" s="2831" t="s">
        <v>2707</v>
      </c>
      <c r="B33" s="2832">
        <f>'预评函-2'!F5</f>
        <v>258</v>
      </c>
    </row>
    <row r="34" spans="1:2">
      <c r="A34" s="2831" t="s">
        <v>2708</v>
      </c>
      <c r="B34" s="2832">
        <f>'预评函-2'!G5</f>
        <v>0</v>
      </c>
    </row>
    <row r="35" spans="1:2">
      <c r="A35" s="2831" t="s">
        <v>2709</v>
      </c>
      <c r="B35" s="2832">
        <f>'预评函-2'!H5</f>
        <v>1.5</v>
      </c>
    </row>
    <row r="36" spans="1:2">
      <c r="A36" s="2831" t="s">
        <v>2710</v>
      </c>
      <c r="B36" s="2832">
        <f>'预评函-2'!I5</f>
        <v>1.5</v>
      </c>
    </row>
    <row r="37" spans="1:2">
      <c r="A37" s="2831" t="s">
        <v>2711</v>
      </c>
      <c r="B37" s="2832">
        <f>'预评函-2'!J5</f>
        <v>1.5</v>
      </c>
    </row>
    <row r="38" spans="1:2">
      <c r="A38" s="2831" t="s">
        <v>2712</v>
      </c>
      <c r="B38" s="2832" t="str">
        <f>'预评函-2'!K5</f>
        <v>红线外七通、宗地红线内</v>
      </c>
    </row>
    <row r="39" spans="1:2">
      <c r="A39" s="2831" t="s">
        <v>2713</v>
      </c>
      <c r="B39" s="2832" t="str">
        <f>'预评函-2'!L5</f>
        <v>红线外七通、宗地红线内场地</v>
      </c>
    </row>
    <row r="40" spans="1:2">
      <c r="A40" s="2831" t="s">
        <v>2732</v>
      </c>
      <c r="B40" s="2832" t="str">
        <f>'预评函-2'!M3</f>
        <v>（剩余）土地使用年限/年</v>
      </c>
    </row>
    <row r="41" spans="1:2">
      <c r="A41" s="2831" t="s">
        <v>2714</v>
      </c>
      <c r="B41" s="2832">
        <f>'预评函-2'!M5</f>
        <v>0</v>
      </c>
    </row>
    <row r="42" spans="1:2">
      <c r="A42" s="2831" t="s">
        <v>2733</v>
      </c>
      <c r="B42" s="2832" t="str">
        <f>'预评函-2'!N3</f>
        <v>（分摊）出让国有建设用地使用权面积/㎡</v>
      </c>
    </row>
    <row r="43" spans="1:2">
      <c r="A43" s="2831" t="s">
        <v>2715</v>
      </c>
      <c r="B43" s="2832">
        <f>'预评函-2'!N5</f>
        <v>96343.56</v>
      </c>
    </row>
    <row r="44" spans="1:2">
      <c r="A44" s="2831" t="s">
        <v>2734</v>
      </c>
      <c r="B44" s="2832" t="str">
        <f>'预评函-2'!O3</f>
        <v>规划建筑面积/㎡</v>
      </c>
    </row>
    <row r="45" spans="1:2">
      <c r="A45" s="2831" t="s">
        <v>2716</v>
      </c>
      <c r="B45" s="2832">
        <f>'预评函-2'!O5</f>
        <v>96343.56</v>
      </c>
    </row>
    <row r="46" spans="1:2">
      <c r="A46" s="2831" t="s">
        <v>2717</v>
      </c>
      <c r="B46" s="2832" t="e">
        <f ca="1">'预评函-2'!P5</f>
        <v>#REF!</v>
      </c>
    </row>
    <row r="47" spans="1:2">
      <c r="A47" s="2831" t="s">
        <v>2718</v>
      </c>
      <c r="B47" s="2832" t="e">
        <f ca="1">'预评函-2'!Q5</f>
        <v>#REF!</v>
      </c>
    </row>
    <row r="48" spans="1:2">
      <c r="A48" s="2831" t="s">
        <v>2719</v>
      </c>
      <c r="B48" s="2832" t="e">
        <f ca="1">'预评函-2'!R5</f>
        <v>#REF!</v>
      </c>
    </row>
    <row r="49" spans="1:2">
      <c r="A49" s="2831" t="s">
        <v>2735</v>
      </c>
      <c r="B49" s="2832" t="str">
        <f>'预评函-2'!A6</f>
        <v>——</v>
      </c>
    </row>
    <row r="50" spans="1:2">
      <c r="A50" s="2831" t="s">
        <v>2720</v>
      </c>
      <c r="B50" s="2832" t="str">
        <f>'预评函-2'!R6</f>
        <v>——</v>
      </c>
    </row>
    <row r="51" spans="1:2">
      <c r="A51" s="2831" t="s">
        <v>2736</v>
      </c>
      <c r="B51" s="2832" t="str">
        <f>'预评函-2'!A7</f>
        <v>——</v>
      </c>
    </row>
    <row r="52" spans="1:2">
      <c r="A52" s="2831" t="s">
        <v>2721</v>
      </c>
      <c r="B52" s="2832" t="str">
        <f>'预评函-2'!R7</f>
        <v>——</v>
      </c>
    </row>
    <row r="53" spans="1:2">
      <c r="A53" s="2831" t="s">
        <v>2737</v>
      </c>
      <c r="B53" s="2832" t="str">
        <f>'预评函-2'!A8</f>
        <v>——</v>
      </c>
    </row>
    <row r="54" spans="1:2" s="2846" customFormat="1" ht="15" thickBot="1">
      <c r="A54" s="2853" t="s">
        <v>2722</v>
      </c>
      <c r="B54" s="2854" t="str">
        <f>'预评函-2'!R8</f>
        <v>——</v>
      </c>
    </row>
    <row r="55" spans="1:2" ht="15" thickTop="1">
      <c r="A55" s="2842" t="s">
        <v>2672</v>
      </c>
      <c r="B55" s="2843" t="str">
        <f>'预评函-3'!A2</f>
        <v>1.权利限制：根据估价对象《不动产权证书》原件、《国有土地使用权》复印件，截至估价期日，估价对象抵押权未见登记。未设定租赁等其他他项权利。</v>
      </c>
    </row>
    <row r="56" spans="1:2">
      <c r="A56" s="2831" t="s">
        <v>2673</v>
      </c>
      <c r="B56" s="2832" t="str">
        <f>'预评函-3'!A3</f>
        <v>2.基础设施条件：估价对象实际开发程度为红线外七通、宗地红线内；本次评估设定开发程度为红线外七通、宗地红线内场地。</v>
      </c>
    </row>
    <row r="57" spans="1:2">
      <c r="A57" s="2831" t="s">
        <v>2674</v>
      </c>
      <c r="B57" s="2832" t="str">
        <f>'预评函-3'!A4</f>
        <v>3.估价规划限制条件：详见《建设工程规划许可证》[]、《出让合同》[]。</v>
      </c>
    </row>
    <row r="58" spans="1:2" s="2846" customFormat="1" ht="15" thickBot="1">
      <c r="A58" s="2853" t="s">
        <v>2723</v>
      </c>
      <c r="B58" s="2854" t="str">
        <f>'预评函-3'!A5</f>
        <v>4.影响价格的其他限定条件：无。</v>
      </c>
    </row>
    <row r="59" spans="1:2" ht="15" thickTop="1">
      <c r="A59" s="2842" t="s">
        <v>2675</v>
      </c>
      <c r="B59" s="2843" t="str">
        <f>'预评函-3'!A8</f>
        <v>2.本次评估设定估价对象宗地权属无争议，未被查封或者以其他形式限制其房地产权利，未设定抵押权等他项权利，不涉及第三方权利义务。</v>
      </c>
    </row>
    <row r="60" spans="1:2">
      <c r="A60" s="2831" t="s">
        <v>2676</v>
      </c>
      <c r="B60" s="2832" t="str">
        <f>'预评函-3'!A9</f>
        <v>——</v>
      </c>
    </row>
    <row r="61" spans="1:2">
      <c r="A61" s="2831" t="s">
        <v>2678</v>
      </c>
      <c r="B61" s="2832" t="str">
        <f>'预评函-3'!A10</f>
        <v>——</v>
      </c>
    </row>
    <row r="62" spans="1:2">
      <c r="A62" s="2831" t="s">
        <v>2677</v>
      </c>
      <c r="B62" s="2832" t="str">
        <f>'预评函-3'!A11</f>
        <v>——</v>
      </c>
    </row>
    <row r="63" spans="1:2">
      <c r="A63" s="2831" t="s">
        <v>2679</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2680</v>
      </c>
      <c r="B64" s="2837" t="str">
        <f>'预评函-3'!A13</f>
        <v>（3）。</v>
      </c>
    </row>
    <row r="65" spans="1:2">
      <c r="A65" s="2831" t="s">
        <v>2681</v>
      </c>
      <c r="B65" s="2838" t="str">
        <f>'预评函-3'!A14</f>
        <v>——</v>
      </c>
    </row>
    <row r="66" spans="1:2">
      <c r="A66" s="2831" t="s">
        <v>2682</v>
      </c>
      <c r="B66" s="283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2683</v>
      </c>
      <c r="B67" s="283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2686</v>
      </c>
      <c r="B68" s="2857">
        <f>'预评函-3'!D30</f>
        <v>42558</v>
      </c>
    </row>
    <row r="69" spans="1:2" ht="15" thickTop="1">
      <c r="A69" s="2842" t="s">
        <v>2684</v>
      </c>
      <c r="B69" s="2843" t="str">
        <f>'预评函-3'!A20</f>
        <v>土地估价师</v>
      </c>
    </row>
    <row r="70" spans="1:2">
      <c r="A70" s="2831" t="s">
        <v>2684</v>
      </c>
      <c r="B70" s="2838">
        <f>'预评函-3'!B20</f>
        <v>0</v>
      </c>
    </row>
    <row r="71" spans="1:2">
      <c r="A71" s="2831" t="s">
        <v>2685</v>
      </c>
      <c r="B71" s="2832" t="str">
        <f>'预评函-3'!A21</f>
        <v>土地估价师</v>
      </c>
    </row>
    <row r="72" spans="1:2" s="2846" customFormat="1" ht="15" thickBot="1">
      <c r="A72" s="2853" t="s">
        <v>2685</v>
      </c>
      <c r="B72" s="2859">
        <f>'预评函-3'!B21</f>
        <v>0</v>
      </c>
    </row>
    <row r="73" spans="1:2" ht="15" thickTop="1">
      <c r="A73" s="2842" t="s">
        <v>2744</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2745</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2746</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2780</v>
      </c>
      <c r="B76" s="2841"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45" sqref="B45"/>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1933</v>
      </c>
      <c r="B1" s="3285" t="str">
        <f>IF(B10="北京市","北京市",C10)&amp;F10&amp;B16&amp;"国有建设用地使用权"&amp;B9&amp;"预评估"</f>
        <v>北京市出让国有建设用地使用权市场价格预评估</v>
      </c>
      <c r="C1" s="3286"/>
      <c r="D1" s="3286"/>
      <c r="E1" s="3286"/>
      <c r="F1" s="3286"/>
      <c r="G1" s="3286"/>
      <c r="H1" s="3286"/>
      <c r="I1" s="3287"/>
      <c r="J1" s="1676"/>
      <c r="K1" s="2417" t="str">
        <f>IF(B10="北京市","北京市",C10)&amp;F10&amp;B16&amp;"国有建设用地使用权"&amp;B9</f>
        <v>北京市出让国有建设用地使用权市场价格</v>
      </c>
      <c r="L1" s="1705"/>
      <c r="M1" s="1705"/>
      <c r="N1" s="1676"/>
      <c r="O1" s="1677"/>
      <c r="P1" s="1676"/>
      <c r="Q1" s="1676"/>
      <c r="R1" s="1676"/>
      <c r="S1" s="1676"/>
      <c r="T1" s="1676"/>
      <c r="U1" s="1676"/>
    </row>
    <row r="2" spans="1:21">
      <c r="A2" s="1642" t="s">
        <v>1934</v>
      </c>
      <c r="B2" s="1824"/>
      <c r="D2" s="1676"/>
      <c r="E2" s="1676"/>
      <c r="F2" s="1676"/>
      <c r="G2" s="1676"/>
      <c r="H2" s="1642"/>
      <c r="I2" s="1677"/>
      <c r="J2" s="1676"/>
      <c r="K2" s="2417" t="str">
        <f>IF(B10="北京市","北京市",C10)&amp;F10&amp;B16&amp;"国有建设用地使用权"</f>
        <v>北京市出让国有建设用地使用权</v>
      </c>
      <c r="L2" s="1705"/>
      <c r="M2" s="1705"/>
      <c r="N2" s="1676"/>
      <c r="O2" s="1677"/>
      <c r="P2" s="1676"/>
      <c r="Q2" s="1676"/>
      <c r="R2" s="1676"/>
      <c r="S2" s="1676"/>
      <c r="T2" s="1676"/>
      <c r="U2" s="1676"/>
    </row>
    <row r="3" spans="1:21">
      <c r="A3" s="1643" t="s">
        <v>1935</v>
      </c>
      <c r="B3" s="1644">
        <v>44001</v>
      </c>
      <c r="C3" s="1645" t="s">
        <v>1991</v>
      </c>
      <c r="D3" s="1644">
        <v>44001</v>
      </c>
      <c r="E3" s="1676"/>
      <c r="F3" s="1676"/>
      <c r="G3" s="1676"/>
      <c r="H3" s="1642"/>
      <c r="I3" s="1677"/>
      <c r="J3" s="1676"/>
      <c r="K3" s="1756"/>
      <c r="L3" s="1705"/>
      <c r="M3" s="1705"/>
      <c r="N3" s="1676"/>
      <c r="O3" s="1677"/>
      <c r="P3" s="1676"/>
      <c r="Q3" s="1676"/>
      <c r="R3" s="1676"/>
      <c r="S3" s="1676"/>
      <c r="T3" s="1676"/>
      <c r="U3" s="1676"/>
    </row>
    <row r="4" spans="1:21" ht="29.25" thickBot="1">
      <c r="A4" s="1646" t="s">
        <v>1936</v>
      </c>
      <c r="B4" s="1825" t="s">
        <v>2881</v>
      </c>
      <c r="C4" s="1828">
        <f>SUMIF(土地估价师,B4,估价师及机构信息!E3:E24)</f>
        <v>0</v>
      </c>
      <c r="D4" s="1825" t="s">
        <v>2881</v>
      </c>
      <c r="E4" s="1828">
        <f>SUMIF(土地估价师,D4,估价师及机构信息!E3:E24)</f>
        <v>0</v>
      </c>
      <c r="F4" s="1825" t="s">
        <v>950</v>
      </c>
      <c r="G4" s="1828">
        <f>SUMIF(土地估价师,F4,估价师及机构信息!E3:E24)</f>
        <v>0</v>
      </c>
      <c r="H4" s="1825" t="s">
        <v>950</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1937</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2700</v>
      </c>
      <c r="B6" s="1771"/>
      <c r="C6" s="1743"/>
      <c r="D6" s="1650"/>
      <c r="E6" s="1676"/>
      <c r="F6" s="1676"/>
      <c r="G6" s="1676"/>
      <c r="H6" s="1642"/>
      <c r="I6" s="1677"/>
      <c r="J6" s="1676"/>
      <c r="K6" s="2999" t="str">
        <f>IF(COUNTIF(B6,"*上海银行*"),"上海银行","")</f>
        <v/>
      </c>
      <c r="L6" s="1705"/>
      <c r="M6" s="1705"/>
      <c r="N6" s="1676"/>
      <c r="O6" s="1677"/>
      <c r="P6" s="1676"/>
      <c r="Q6" s="1676"/>
      <c r="R6" s="1676"/>
      <c r="S6" s="1676"/>
      <c r="T6" s="1676"/>
      <c r="U6" s="1676"/>
    </row>
    <row r="7" spans="1:21">
      <c r="A7" s="1651" t="s">
        <v>2701</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1938</v>
      </c>
      <c r="B8" s="1652" t="s">
        <v>2995</v>
      </c>
      <c r="C8" s="1653"/>
      <c r="D8" s="3291" t="s">
        <v>1940</v>
      </c>
      <c r="E8" s="1826"/>
      <c r="F8" s="1654"/>
      <c r="G8" s="1642"/>
      <c r="H8" s="1642"/>
      <c r="I8" s="1689"/>
      <c r="J8" s="1676"/>
      <c r="K8" s="1756"/>
      <c r="L8" s="1705"/>
      <c r="M8" s="1705"/>
      <c r="N8" s="1676"/>
      <c r="O8" s="1677"/>
      <c r="P8" s="1676"/>
      <c r="Q8" s="1676"/>
      <c r="R8" s="1676"/>
      <c r="S8" s="1676"/>
      <c r="T8" s="1676"/>
      <c r="U8" s="1676"/>
    </row>
    <row r="9" spans="1:21" ht="15" thickBot="1">
      <c r="A9" s="1655" t="s">
        <v>1939</v>
      </c>
      <c r="B9" s="1656" t="s">
        <v>2996</v>
      </c>
      <c r="C9" s="1657"/>
      <c r="D9" s="3292"/>
      <c r="E9" s="1656"/>
      <c r="F9" s="1729"/>
      <c r="G9" s="1724"/>
      <c r="H9" s="1724"/>
      <c r="I9" s="1725"/>
      <c r="J9" s="1676"/>
      <c r="K9" s="1756"/>
      <c r="L9" s="1705"/>
      <c r="M9" s="1705"/>
      <c r="N9" s="1676"/>
      <c r="O9" s="1677"/>
      <c r="P9" s="1676"/>
      <c r="Q9" s="1676"/>
      <c r="R9" s="1676"/>
      <c r="S9" s="1676"/>
      <c r="T9" s="1676"/>
      <c r="U9" s="1676"/>
    </row>
    <row r="10" spans="1:21" ht="15" thickTop="1">
      <c r="A10" s="1726" t="s">
        <v>1995</v>
      </c>
      <c r="B10" s="1701" t="s">
        <v>1941</v>
      </c>
      <c r="C10" s="1658"/>
      <c r="D10" s="1649"/>
      <c r="E10" s="1659" t="s">
        <v>1942</v>
      </c>
      <c r="F10" s="1660"/>
      <c r="G10" s="1727"/>
      <c r="H10" s="1728"/>
      <c r="I10" s="1649"/>
      <c r="J10" s="1676"/>
      <c r="K10" s="1756"/>
      <c r="L10" s="1705"/>
      <c r="M10" s="1705"/>
      <c r="N10" s="1676"/>
      <c r="O10" s="1677"/>
      <c r="P10" s="1676"/>
      <c r="Q10" s="1676"/>
      <c r="R10" s="1676"/>
      <c r="S10" s="1676"/>
      <c r="T10" s="1676"/>
      <c r="U10" s="1676"/>
    </row>
    <row r="11" spans="1:21">
      <c r="A11" s="1679" t="s">
        <v>1996</v>
      </c>
      <c r="B11" s="1680" t="s">
        <v>2997</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2054</v>
      </c>
      <c r="B12" s="3288"/>
      <c r="C12" s="3289"/>
      <c r="D12" s="3290"/>
      <c r="E12" s="1681" t="s">
        <v>2057</v>
      </c>
      <c r="F12" s="3306" t="s">
        <v>2882</v>
      </c>
      <c r="G12" s="3307"/>
      <c r="H12" s="3307"/>
      <c r="I12" s="3308"/>
      <c r="J12" s="1676"/>
      <c r="K12" s="1756"/>
      <c r="L12" s="1705"/>
      <c r="M12" s="1705"/>
      <c r="N12" s="1676"/>
      <c r="O12" s="1677"/>
      <c r="P12" s="1676"/>
      <c r="Q12" s="1676"/>
      <c r="R12" s="1676"/>
      <c r="S12" s="1676"/>
      <c r="T12" s="1676"/>
      <c r="U12" s="1676"/>
    </row>
    <row r="13" spans="1:21">
      <c r="A13" s="1669" t="s">
        <v>2055</v>
      </c>
      <c r="B13" s="3288"/>
      <c r="C13" s="3289"/>
      <c r="D13" s="3290"/>
      <c r="E13" s="1681" t="s">
        <v>2057</v>
      </c>
      <c r="F13" s="3306" t="s">
        <v>2883</v>
      </c>
      <c r="G13" s="3307"/>
      <c r="H13" s="3307"/>
      <c r="I13" s="3308"/>
      <c r="J13" s="1676"/>
      <c r="K13" s="1756"/>
      <c r="L13" s="1705"/>
      <c r="M13" s="1705"/>
      <c r="N13" s="1676"/>
      <c r="O13" s="1677"/>
      <c r="P13" s="1676"/>
      <c r="Q13" s="1676"/>
      <c r="R13" s="1676"/>
      <c r="S13" s="1676"/>
      <c r="T13" s="1676"/>
      <c r="U13" s="1676"/>
    </row>
    <row r="14" spans="1:21">
      <c r="A14" s="1643" t="s">
        <v>2058</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1945</v>
      </c>
      <c r="E15" s="1748" t="s">
        <v>1946</v>
      </c>
      <c r="F15" s="1748" t="s">
        <v>1947</v>
      </c>
      <c r="G15" s="1668" t="s">
        <v>1948</v>
      </c>
      <c r="H15" s="1668" t="s">
        <v>1949</v>
      </c>
      <c r="I15" s="1668" t="s">
        <v>1950</v>
      </c>
      <c r="J15" s="1676"/>
      <c r="K15" s="1756"/>
      <c r="L15" s="1705"/>
      <c r="M15" s="1705"/>
      <c r="N15" s="1676"/>
      <c r="O15" s="1677"/>
      <c r="P15" s="1676"/>
      <c r="Q15" s="1676"/>
      <c r="R15" s="1676"/>
      <c r="S15" s="1676"/>
      <c r="T15" s="1676"/>
      <c r="U15" s="1676"/>
    </row>
    <row r="16" spans="1:21" ht="28.5">
      <c r="A16" s="1662" t="s">
        <v>1943</v>
      </c>
      <c r="B16" s="1663" t="s">
        <v>2980</v>
      </c>
      <c r="C16" s="1681" t="s">
        <v>1944</v>
      </c>
      <c r="D16" s="2608" t="s">
        <v>1945</v>
      </c>
      <c r="E16" s="1704"/>
      <c r="F16" s="1704"/>
      <c r="G16" s="1704"/>
      <c r="H16" s="1704"/>
      <c r="I16" s="1668" t="s">
        <v>1950</v>
      </c>
      <c r="J16" s="1676"/>
      <c r="K16" s="2418" t="str">
        <f>IF(D17="","",D16&amp;TEXT(D17,"yyyy年m月d日;;"))</f>
        <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工业2070年7月1日</v>
      </c>
    </row>
    <row r="17" spans="1:21">
      <c r="A17" s="1745"/>
      <c r="B17" s="1664"/>
      <c r="C17" s="1665" t="s">
        <v>1951</v>
      </c>
      <c r="D17" s="1682"/>
      <c r="E17" s="1682"/>
      <c r="F17" s="1682"/>
      <c r="G17" s="1682"/>
      <c r="H17" s="1682"/>
      <c r="I17" s="1682">
        <v>62275</v>
      </c>
      <c r="J17" s="1676"/>
      <c r="K17" s="2417" t="str">
        <f>CONCATENATE(K16,L16,M16,N16,O16,P16,Q16,R16,S16,T16,,U16)</f>
        <v>工业2070年7月1日</v>
      </c>
      <c r="L17" s="1705"/>
      <c r="M17" s="1705"/>
      <c r="N17" s="1676"/>
      <c r="O17" s="1677"/>
      <c r="P17" s="1676"/>
      <c r="Q17" s="1676"/>
      <c r="R17" s="1676"/>
      <c r="S17" s="1676"/>
      <c r="T17" s="1676"/>
      <c r="U17" s="1676"/>
    </row>
    <row r="18" spans="1:21">
      <c r="A18" s="1745"/>
      <c r="B18" s="1664"/>
      <c r="C18" s="1665" t="s">
        <v>1952</v>
      </c>
      <c r="D18" s="1666"/>
      <c r="E18" s="1666"/>
      <c r="F18" s="1666"/>
      <c r="G18" s="1666"/>
      <c r="H18" s="1666"/>
      <c r="I18" s="1666">
        <v>50</v>
      </c>
      <c r="J18" s="1676"/>
      <c r="K18" s="1756"/>
      <c r="L18" s="1705"/>
      <c r="M18" s="1705"/>
      <c r="N18" s="1676"/>
      <c r="O18" s="1677"/>
      <c r="P18" s="1676"/>
      <c r="Q18" s="1676"/>
      <c r="R18" s="1676"/>
      <c r="S18" s="1676"/>
      <c r="T18" s="1676"/>
      <c r="U18" s="1676"/>
    </row>
    <row r="19" spans="1:21">
      <c r="A19" s="1745"/>
      <c r="B19" s="1664"/>
      <c r="C19" s="1642" t="s">
        <v>1953</v>
      </c>
      <c r="D19" s="1740" t="str">
        <f>IF(B16="出让",IF(D17="","",ROUNDDOWN(MIN((D17-$D$3)/365,D18),2)),D18)</f>
        <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f>IF(B16="出让",IF(I17="","",ROUNDDOWN(MIN((I17-$D$3)/365,I18),2)),I18)</f>
        <v>50</v>
      </c>
      <c r="J19" s="1676"/>
      <c r="K19" s="1756"/>
      <c r="L19" s="1705"/>
      <c r="M19" s="1705"/>
      <c r="N19" s="1676"/>
      <c r="O19" s="1677"/>
      <c r="P19" s="1676"/>
      <c r="Q19" s="1676"/>
      <c r="R19" s="1676"/>
      <c r="S19" s="1676"/>
      <c r="T19" s="1676"/>
      <c r="U19" s="1676"/>
    </row>
    <row r="20" spans="1:21">
      <c r="A20" s="1768"/>
      <c r="B20" s="1769"/>
      <c r="C20" s="1770" t="s">
        <v>2056</v>
      </c>
      <c r="D20" s="3303"/>
      <c r="E20" s="3304"/>
      <c r="F20" s="3304"/>
      <c r="G20" s="3304"/>
      <c r="H20" s="3304"/>
      <c r="I20" s="3305"/>
      <c r="J20" s="1676"/>
      <c r="K20" s="1756"/>
      <c r="L20" s="1705"/>
      <c r="M20" s="1705"/>
      <c r="N20" s="1676"/>
      <c r="O20" s="1677"/>
      <c r="P20" s="1676"/>
      <c r="Q20" s="1676"/>
      <c r="R20" s="1676"/>
      <c r="S20" s="1676"/>
      <c r="T20" s="1676"/>
      <c r="U20" s="1676"/>
    </row>
    <row r="21" spans="1:21">
      <c r="A21" s="1745" t="s">
        <v>1954</v>
      </c>
      <c r="B21" s="1746" t="s">
        <v>1955</v>
      </c>
      <c r="C21" s="1741">
        <f>'数据-汇总表'!E3</f>
        <v>96343.56</v>
      </c>
      <c r="D21" s="1742" t="s">
        <v>1956</v>
      </c>
      <c r="E21" s="3293" t="s">
        <v>1994</v>
      </c>
      <c r="F21" s="3294"/>
      <c r="G21" s="3294"/>
      <c r="H21" s="3294"/>
      <c r="I21" s="3295"/>
      <c r="J21" s="1676"/>
      <c r="K21" s="1756"/>
      <c r="L21" s="1705"/>
      <c r="M21" s="1705"/>
      <c r="N21" s="1676"/>
      <c r="O21" s="1677"/>
      <c r="P21" s="1676"/>
      <c r="Q21" s="1676"/>
      <c r="R21" s="1676"/>
      <c r="S21" s="1676"/>
      <c r="T21" s="1676"/>
      <c r="U21" s="1676"/>
    </row>
    <row r="22" spans="1:21">
      <c r="A22" s="3089" t="s">
        <v>950</v>
      </c>
      <c r="B22" s="1643" t="s">
        <v>1957</v>
      </c>
      <c r="C22" s="1668">
        <f>'数据-汇总表'!D3</f>
        <v>96343.56</v>
      </c>
      <c r="D22" s="1669" t="s">
        <v>1956</v>
      </c>
      <c r="E22" s="3293" t="s">
        <v>2884</v>
      </c>
      <c r="F22" s="3294"/>
      <c r="G22" s="3294"/>
      <c r="H22" s="3294"/>
      <c r="I22" s="3295"/>
      <c r="J22" s="1676"/>
      <c r="K22" s="1756"/>
      <c r="L22" s="1705"/>
      <c r="M22" s="1705"/>
      <c r="N22" s="1676"/>
      <c r="O22" s="1677"/>
      <c r="P22" s="1676"/>
      <c r="Q22" s="1676"/>
      <c r="R22" s="1676"/>
      <c r="S22" s="1676"/>
      <c r="T22" s="1676"/>
      <c r="U22" s="1676"/>
    </row>
    <row r="23" spans="1:21" ht="43.5" thickBot="1">
      <c r="A23" s="1747" t="s">
        <v>1958</v>
      </c>
      <c r="B23" s="1683" t="s">
        <v>1959</v>
      </c>
      <c r="C23" s="1684"/>
      <c r="D23" s="1685" t="s">
        <v>1960</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1961</v>
      </c>
      <c r="B24" s="3296" t="s">
        <v>1962</v>
      </c>
      <c r="C24" s="3297"/>
      <c r="D24" s="3298" t="s">
        <v>1963</v>
      </c>
      <c r="E24" s="3299"/>
      <c r="F24" s="1690" t="s">
        <v>1964</v>
      </c>
      <c r="G24" s="1676"/>
      <c r="H24" s="1676"/>
      <c r="I24" s="1689"/>
      <c r="J24" s="1676"/>
      <c r="K24" s="3284" t="s">
        <v>1965</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2320</v>
      </c>
      <c r="C25" s="1691" t="s">
        <v>1966</v>
      </c>
      <c r="D25" s="1692"/>
      <c r="E25" s="1693" t="s">
        <v>950</v>
      </c>
      <c r="F25" s="1694"/>
      <c r="G25" s="1676"/>
      <c r="H25" s="1676"/>
      <c r="I25" s="1689"/>
      <c r="J25" s="1676"/>
      <c r="K25" s="3284"/>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1967</v>
      </c>
      <c r="C26" s="1691" t="s">
        <v>2321</v>
      </c>
      <c r="D26" s="1642"/>
      <c r="E26" s="1642"/>
      <c r="F26" s="1670"/>
      <c r="G26" s="1676"/>
      <c r="H26" s="1676"/>
      <c r="I26" s="1689"/>
      <c r="J26" s="1676"/>
      <c r="K26" s="3284"/>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1968</v>
      </c>
      <c r="B27" s="1735" t="s">
        <v>1969</v>
      </c>
      <c r="C27" s="1695"/>
      <c r="D27" s="2613" t="s">
        <v>1969</v>
      </c>
      <c r="E27" s="1696"/>
      <c r="F27" s="1670"/>
      <c r="G27" s="1676"/>
      <c r="H27" s="1676"/>
      <c r="I27" s="1689"/>
      <c r="J27" s="1676"/>
      <c r="K27" s="1756"/>
      <c r="L27" s="1705"/>
      <c r="M27" s="1705"/>
      <c r="N27" s="1676"/>
      <c r="O27" s="1677"/>
      <c r="P27" s="1676"/>
      <c r="Q27" s="1676"/>
      <c r="R27" s="1676"/>
      <c r="S27" s="1676"/>
      <c r="T27" s="1676"/>
      <c r="U27" s="1676"/>
    </row>
    <row r="28" spans="1:21">
      <c r="A28" s="1738"/>
      <c r="B28" s="1735" t="s">
        <v>1970</v>
      </c>
      <c r="C28" s="1697"/>
      <c r="D28" s="2614" t="s">
        <v>1970</v>
      </c>
      <c r="E28" s="1698"/>
      <c r="F28" s="1670"/>
      <c r="G28" s="1676"/>
      <c r="H28" s="1676"/>
      <c r="I28" s="1689"/>
      <c r="J28" s="1676"/>
      <c r="K28" s="1756"/>
      <c r="L28" s="1705"/>
      <c r="M28" s="1705"/>
      <c r="N28" s="1676"/>
      <c r="O28" s="1677"/>
      <c r="P28" s="1676"/>
      <c r="Q28" s="1676"/>
      <c r="R28" s="1676"/>
      <c r="S28" s="1676"/>
      <c r="T28" s="1676"/>
      <c r="U28" s="1676"/>
    </row>
    <row r="29" spans="1:21">
      <c r="A29" s="1738"/>
      <c r="B29" s="1735" t="s">
        <v>1971</v>
      </c>
      <c r="C29" s="1697"/>
      <c r="D29" s="2614" t="s">
        <v>1971</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1972</v>
      </c>
      <c r="C30" s="1699"/>
      <c r="D30" s="2615" t="s">
        <v>1972</v>
      </c>
      <c r="E30" s="1700"/>
      <c r="F30" s="1671"/>
      <c r="G30" s="1724"/>
      <c r="H30" s="1724"/>
      <c r="I30" s="1725"/>
      <c r="J30" s="1676"/>
      <c r="K30" s="1756"/>
      <c r="L30" s="1705"/>
      <c r="M30" s="1705"/>
      <c r="N30" s="1676"/>
      <c r="O30" s="1677"/>
      <c r="P30" s="1676"/>
      <c r="Q30" s="1676"/>
      <c r="R30" s="1676"/>
      <c r="S30" s="1676"/>
      <c r="T30" s="1676"/>
      <c r="U30" s="1676"/>
    </row>
    <row r="31" spans="1:21" ht="15" thickTop="1">
      <c r="A31" s="3270" t="s">
        <v>1997</v>
      </c>
      <c r="B31" s="1746" t="s">
        <v>1998</v>
      </c>
      <c r="C31" s="3309"/>
      <c r="D31" s="3310"/>
      <c r="E31" s="1676"/>
      <c r="F31" s="1676"/>
      <c r="G31" s="1676"/>
      <c r="H31" s="1676"/>
      <c r="I31" s="1689"/>
      <c r="J31" s="1676"/>
      <c r="K31" s="2420"/>
      <c r="L31" s="1676"/>
      <c r="M31" s="1676"/>
      <c r="N31" s="1676"/>
      <c r="O31" s="1676"/>
      <c r="P31" s="1676"/>
      <c r="Q31" s="1676"/>
      <c r="R31" s="1676"/>
      <c r="S31" s="1676"/>
      <c r="T31" s="1676"/>
      <c r="U31" s="1676"/>
    </row>
    <row r="32" spans="1:21">
      <c r="A32" s="3270"/>
      <c r="B32" s="1643" t="s">
        <v>1999</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70"/>
      <c r="B33" s="1643" t="s">
        <v>2000</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71"/>
      <c r="B34" s="1643" t="s">
        <v>2001</v>
      </c>
      <c r="C34" s="3272"/>
      <c r="D34" s="3273"/>
      <c r="E34" s="1676"/>
      <c r="F34" s="1676"/>
      <c r="G34" s="1676"/>
      <c r="H34" s="1676"/>
      <c r="I34" s="1689"/>
      <c r="J34" s="1676"/>
      <c r="K34" s="2420"/>
      <c r="L34" s="1676"/>
      <c r="M34" s="1676"/>
      <c r="N34" s="1676"/>
      <c r="O34" s="1676"/>
      <c r="P34" s="1676"/>
      <c r="Q34" s="1676"/>
      <c r="R34" s="1676"/>
      <c r="S34" s="1676"/>
      <c r="T34" s="1676"/>
      <c r="U34" s="1676"/>
    </row>
    <row r="35" spans="1:21">
      <c r="A35" s="3274" t="s">
        <v>845</v>
      </c>
      <c r="B35" s="1704"/>
      <c r="C35" s="1758" t="str">
        <f>IF(B35="场地平整","——","具体情况：")</f>
        <v>具体情况：</v>
      </c>
      <c r="D35" s="3276"/>
      <c r="E35" s="3277"/>
      <c r="F35" s="3277"/>
      <c r="G35" s="3277"/>
      <c r="H35" s="3277"/>
      <c r="I35" s="3278"/>
      <c r="J35" s="1676"/>
      <c r="K35" s="1757"/>
      <c r="L35" s="1705"/>
      <c r="M35" s="1705"/>
      <c r="N35" s="1676"/>
      <c r="O35" s="1677"/>
      <c r="P35" s="1676"/>
      <c r="Q35" s="1676"/>
      <c r="R35" s="1676"/>
      <c r="S35" s="1676"/>
      <c r="T35" s="1676"/>
      <c r="U35" s="1676"/>
    </row>
    <row r="36" spans="1:21">
      <c r="A36" s="3270"/>
      <c r="B36" s="3279" t="s">
        <v>2050</v>
      </c>
      <c r="C36" s="3280"/>
      <c r="D36" s="1774"/>
      <c r="E36" s="3281"/>
      <c r="F36" s="3281"/>
      <c r="G36" s="1669" t="str">
        <f>IF(B35="场地未平整","估价结果处理","")</f>
        <v/>
      </c>
      <c r="H36" s="3282"/>
      <c r="I36" s="3282"/>
      <c r="J36" s="1676"/>
      <c r="K36" s="1757"/>
      <c r="L36" s="1705"/>
      <c r="M36" s="1705"/>
      <c r="N36" s="1676"/>
      <c r="O36" s="1677"/>
      <c r="P36" s="1676"/>
      <c r="Q36" s="1676"/>
      <c r="R36" s="1676"/>
      <c r="S36" s="1676"/>
      <c r="T36" s="1676"/>
      <c r="U36" s="1676"/>
    </row>
    <row r="37" spans="1:21" ht="28.5">
      <c r="A37" s="3270"/>
      <c r="B37" s="3300" t="s">
        <v>846</v>
      </c>
      <c r="C37" s="1706" t="s">
        <v>847</v>
      </c>
      <c r="D37" s="1707"/>
      <c r="E37" s="1708"/>
      <c r="F37" s="1676"/>
      <c r="G37" s="1676"/>
      <c r="H37" s="1676"/>
      <c r="I37" s="1689"/>
      <c r="J37" s="1676"/>
      <c r="K37" s="1757"/>
      <c r="L37" s="1676"/>
      <c r="M37" s="1676"/>
      <c r="N37" s="1676"/>
      <c r="O37" s="1676"/>
      <c r="P37" s="1676"/>
      <c r="Q37" s="1676"/>
      <c r="R37" s="1676"/>
      <c r="S37" s="1676"/>
      <c r="T37" s="1676"/>
      <c r="U37" s="1676"/>
    </row>
    <row r="38" spans="1:21">
      <c r="A38" s="3270"/>
      <c r="B38" s="3301"/>
      <c r="C38" s="1651" t="s">
        <v>848</v>
      </c>
      <c r="D38" s="1773">
        <f>ROUNDDOWN(MIN(('数据-取费表'!$B$2-D37)/365,D34),1)</f>
        <v>120.5</v>
      </c>
      <c r="E38" s="1709" t="s">
        <v>849</v>
      </c>
      <c r="F38" s="1676"/>
      <c r="G38" s="1676"/>
      <c r="H38" s="1676"/>
      <c r="I38" s="1689"/>
      <c r="J38" s="1676"/>
      <c r="K38" s="1757"/>
      <c r="L38" s="1676"/>
      <c r="M38" s="1676"/>
      <c r="N38" s="1676"/>
      <c r="O38" s="1676"/>
      <c r="P38" s="1676"/>
      <c r="Q38" s="1676"/>
      <c r="R38" s="1676"/>
      <c r="S38" s="1676"/>
      <c r="T38" s="1676"/>
      <c r="U38" s="1676"/>
    </row>
    <row r="39" spans="1:21">
      <c r="A39" s="3271"/>
      <c r="B39" s="3302"/>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1973</v>
      </c>
      <c r="B40" s="1672"/>
      <c r="C40" s="1672"/>
      <c r="D40" s="1672"/>
      <c r="E40" s="1672"/>
      <c r="F40" s="1672"/>
      <c r="G40" s="1672"/>
      <c r="H40" s="1672"/>
      <c r="I40" s="1689"/>
      <c r="J40" s="1676"/>
      <c r="K40" s="1712">
        <f>COUNTIF(B40:H40,"——")</f>
        <v>0</v>
      </c>
      <c r="L40" s="1681" t="s">
        <v>1974</v>
      </c>
      <c r="M40" s="1678" t="s">
        <v>1975</v>
      </c>
      <c r="N40" s="1678" t="s">
        <v>1976</v>
      </c>
      <c r="O40" s="1678" t="s">
        <v>1977</v>
      </c>
      <c r="P40" s="1678" t="s">
        <v>1978</v>
      </c>
      <c r="Q40" s="1678" t="s">
        <v>1979</v>
      </c>
      <c r="R40" s="1678" t="s">
        <v>1980</v>
      </c>
      <c r="S40" s="3283" t="s">
        <v>1981</v>
      </c>
      <c r="T40" s="1713" t="str">
        <f>NUMBERSTRING(7-K40,1)&amp;"通"</f>
        <v>七通</v>
      </c>
      <c r="U40" s="1676"/>
    </row>
    <row r="41" spans="1:21">
      <c r="A41" s="1645"/>
      <c r="B41" s="3275" t="s">
        <v>1719</v>
      </c>
      <c r="C41" s="3275"/>
      <c r="D41" s="3275"/>
      <c r="E41" s="3275"/>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83"/>
      <c r="T41" s="1715" t="str">
        <f>IF(T40="一通",L41,IF(T40="二通",M41,IF(T40="三通",N41,IF(T40="四通",O41,IF(T40="五通",P41,IF(T40="六通",Q41,R41))))))</f>
        <v>、、、、、、</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t="s">
        <v>1409</v>
      </c>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t="s">
        <v>2998</v>
      </c>
      <c r="F44" s="1721"/>
      <c r="G44" s="1676"/>
      <c r="H44" s="1676"/>
      <c r="I44" s="1689"/>
      <c r="J44" s="1676"/>
      <c r="K44" s="1756"/>
      <c r="L44" s="1705"/>
      <c r="M44" s="1705"/>
      <c r="N44" s="1676"/>
      <c r="O44" s="1677"/>
      <c r="P44" s="1676"/>
      <c r="Q44" s="1676"/>
      <c r="R44" s="1676"/>
      <c r="S44" s="1676"/>
      <c r="T44" s="1676"/>
      <c r="U44" s="1676"/>
    </row>
    <row r="45" spans="1:21" s="3016" customFormat="1" ht="21" thickBot="1">
      <c r="A45" s="3017" t="s">
        <v>2885</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2002</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2003</v>
      </c>
      <c r="B48" s="1668" t="s">
        <v>2004</v>
      </c>
      <c r="C48" s="1668" t="s">
        <v>2005</v>
      </c>
      <c r="D48" s="1668" t="s">
        <v>2006</v>
      </c>
      <c r="E48" s="1668" t="s">
        <v>2007</v>
      </c>
      <c r="F48" s="1668" t="s">
        <v>2008</v>
      </c>
      <c r="G48" s="1668" t="s">
        <v>2009</v>
      </c>
      <c r="H48" s="1668" t="s">
        <v>2010</v>
      </c>
      <c r="I48" s="1668" t="s">
        <v>2011</v>
      </c>
      <c r="J48" s="1754" t="s">
        <v>2012</v>
      </c>
      <c r="K48" s="1748" t="s">
        <v>2013</v>
      </c>
      <c r="L48" s="1748" t="s">
        <v>2014</v>
      </c>
      <c r="M48" s="1748" t="s">
        <v>2015</v>
      </c>
      <c r="N48" s="1668" t="s">
        <v>2016</v>
      </c>
      <c r="O48" s="1668" t="s">
        <v>2017</v>
      </c>
      <c r="P48" s="1668" t="s">
        <v>2018</v>
      </c>
      <c r="Q48" s="1681" t="s">
        <v>2019</v>
      </c>
      <c r="R48" s="1681" t="s">
        <v>2020</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2328</v>
      </c>
      <c r="BA2" s="2323"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96343.56</v>
      </c>
      <c r="B3" s="22">
        <f>IF(C3="否",G5-AT5,G5)</f>
        <v>96343.56</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96343.56</v>
      </c>
      <c r="H5" s="27">
        <f t="shared" ref="H5:AT5" si="0">SUM(H13:H641)</f>
        <v>96343.56</v>
      </c>
      <c r="I5" s="27">
        <f t="shared" si="0"/>
        <v>96343.56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96343.56</v>
      </c>
      <c r="BA5" s="29">
        <f t="shared" si="1"/>
        <v>96343.56</v>
      </c>
      <c r="BB5" s="29">
        <f t="shared" si="1"/>
        <v>96343.56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96343.56</v>
      </c>
      <c r="F6" s="27" t="s">
        <v>1</v>
      </c>
      <c r="G6" s="27" t="s">
        <v>2</v>
      </c>
      <c r="H6" s="33">
        <f>SUMIF(I$12:AB$12,"总值",I6:AB6)</f>
        <v>96343.56</v>
      </c>
      <c r="I6" s="27">
        <f t="shared" ref="I6:AB6" si="2">ROUND($A$3*I5/$B$3,2)</f>
        <v>96343.56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96343.56</v>
      </c>
      <c r="AZ6" s="27" t="s">
        <v>3</v>
      </c>
      <c r="BA6" s="27">
        <f>ROUND($AY$6*BA5/$AZ$5,2)</f>
        <v>96343.56</v>
      </c>
      <c r="BB6" s="27">
        <f>ROUND($AY$6*BB5/$AZ$5,2)</f>
        <v>96343.56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853</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9" t="s">
        <v>3000</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9"/>
      <c r="J10" s="51"/>
      <c r="K10" s="2971"/>
      <c r="L10" s="51"/>
      <c r="M10" s="2971"/>
      <c r="N10" s="51"/>
      <c r="O10" s="66"/>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2325</v>
      </c>
      <c r="AE11" s="1000"/>
      <c r="AF11" s="2317" t="s">
        <v>2325</v>
      </c>
      <c r="AG11" s="1000"/>
      <c r="AH11" s="2317" t="s">
        <v>2324</v>
      </c>
      <c r="AI11" s="2318"/>
      <c r="AJ11" s="2317" t="s">
        <v>2324</v>
      </c>
      <c r="AK11" s="2316"/>
      <c r="AL11" s="998"/>
      <c r="AM11" s="1000"/>
      <c r="AN11" s="998"/>
      <c r="AO11" s="1000"/>
      <c r="AP11" s="1182"/>
      <c r="AQ11" s="1184"/>
      <c r="AR11" s="1182"/>
      <c r="AS11" s="1184"/>
      <c r="AT11" s="1001"/>
      <c r="AU11" s="45"/>
      <c r="AV11" s="55"/>
      <c r="AW11" s="1001"/>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4"/>
      <c r="B13" s="2964"/>
      <c r="C13" s="2964"/>
      <c r="D13" s="2965" t="s">
        <v>1676</v>
      </c>
      <c r="E13" s="27">
        <f t="shared" ref="E13:E20" si="6">IF($C$3="是",ROUND($A$3*G13/$B$3,2),ROUND($A$3*(G13-AT13)/$B$3,2))</f>
        <v>96343.56</v>
      </c>
      <c r="F13" s="81"/>
      <c r="G13" s="82">
        <f t="shared" ref="G13:G20" si="7">H13+AC13+AT13</f>
        <v>96343.56</v>
      </c>
      <c r="H13" s="33">
        <f t="shared" ref="H13:H20" si="8">SUMIF(I$12:AB$12,"总值",I13:AB13)</f>
        <v>96343.56</v>
      </c>
      <c r="I13" s="2968">
        <f>A3</f>
        <v>96343.56</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4">
        <f t="shared" ref="AY13:AY20" si="11">ROUND($AY$6*AZ13/$AZ$5,2)</f>
        <v>96343.56</v>
      </c>
      <c r="AZ13" s="27">
        <f t="shared" ref="AZ13:AZ20" si="12">BA13+BL13</f>
        <v>96343.56</v>
      </c>
      <c r="BA13" s="27">
        <f t="shared" ref="BA13:BA20" si="13">SUM(BB13:BK13)</f>
        <v>96343.56</v>
      </c>
      <c r="BB13" s="27">
        <f t="shared" ref="BB13:BB20" si="14">IF($D13="是",I13-J13,0)</f>
        <v>96343.56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1" t="s">
        <v>0</v>
      </c>
      <c r="B1" s="3311" t="s">
        <v>4</v>
      </c>
      <c r="C1" s="3311" t="s">
        <v>5</v>
      </c>
      <c r="D1" s="3312" t="s">
        <v>40</v>
      </c>
      <c r="E1" s="3312" t="s">
        <v>41</v>
      </c>
      <c r="F1" s="3312"/>
      <c r="G1" s="3312"/>
      <c r="H1" s="3312"/>
      <c r="I1" s="3312"/>
      <c r="J1" s="3312"/>
      <c r="K1" s="3312"/>
      <c r="L1" s="3312"/>
      <c r="M1" s="3312"/>
    </row>
    <row r="2" spans="1:13" ht="27" customHeight="1">
      <c r="A2" s="3311"/>
      <c r="B2" s="3311"/>
      <c r="C2" s="3311"/>
      <c r="D2" s="3312"/>
      <c r="E2" s="3312" t="s">
        <v>24</v>
      </c>
      <c r="F2" s="3312" t="s">
        <v>25</v>
      </c>
      <c r="G2" s="3312"/>
      <c r="H2" s="3312"/>
      <c r="I2" s="3312"/>
      <c r="J2" s="3312" t="s">
        <v>26</v>
      </c>
      <c r="K2" s="3312"/>
      <c r="L2" s="3312"/>
      <c r="M2" s="3312"/>
    </row>
    <row r="3" spans="1:13" ht="28.5">
      <c r="A3" s="3311"/>
      <c r="B3" s="3311"/>
      <c r="C3" s="3311"/>
      <c r="D3" s="3312"/>
      <c r="E3" s="331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2" t="s">
        <v>42</v>
      </c>
      <c r="B9" s="3312"/>
      <c r="C9" s="331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22" t="s">
        <v>203</v>
      </c>
      <c r="B2" s="3322"/>
      <c r="C2" s="3322"/>
      <c r="D2" s="1958" t="s">
        <v>204</v>
      </c>
      <c r="E2" s="106" t="s">
        <v>205</v>
      </c>
      <c r="F2" s="1967"/>
      <c r="G2" s="1192"/>
      <c r="H2" s="1193"/>
      <c r="I2" s="1194" t="s">
        <v>855</v>
      </c>
      <c r="J2" s="1967"/>
      <c r="K2" s="1967"/>
      <c r="L2" s="1967"/>
    </row>
    <row r="3" spans="1:16" ht="15.75" thickBot="1">
      <c r="A3" s="3323" t="s">
        <v>206</v>
      </c>
      <c r="B3" s="3323"/>
      <c r="C3" s="3323"/>
      <c r="D3" s="107">
        <f>'数据-基础表'!AY6</f>
        <v>96343.56</v>
      </c>
      <c r="E3" s="107">
        <f>'数据-基础表'!AZ5</f>
        <v>96343.56</v>
      </c>
      <c r="F3" s="1967"/>
      <c r="G3" s="280" t="s">
        <v>856</v>
      </c>
      <c r="H3" s="275" t="s">
        <v>857</v>
      </c>
      <c r="I3" s="1959">
        <f>ROUND('数据-基础表'!B3/'数据-基础表'!A3,2)</f>
        <v>1</v>
      </c>
      <c r="J3" s="1967"/>
      <c r="K3" s="1967"/>
      <c r="L3" s="1967"/>
    </row>
    <row r="4" spans="1:16" ht="15">
      <c r="A4" s="3324"/>
      <c r="B4" s="3325"/>
      <c r="C4" s="3326"/>
      <c r="D4" s="108" t="s">
        <v>204</v>
      </c>
      <c r="E4" s="109" t="s">
        <v>205</v>
      </c>
      <c r="F4" s="1967"/>
      <c r="G4" s="1195"/>
      <c r="H4" s="275" t="s">
        <v>858</v>
      </c>
      <c r="I4" s="1959">
        <f>ROUND(SUMIF('数据-基础表'!I9:AS9,"地上",'数据-基础表'!I5:AS5)/'数据-基础表'!A3,2)</f>
        <v>1</v>
      </c>
      <c r="J4" s="1967"/>
      <c r="K4" s="1967"/>
      <c r="L4" s="1967"/>
    </row>
    <row r="5" spans="1:16">
      <c r="A5" s="110" t="s">
        <v>207</v>
      </c>
      <c r="B5" s="3327" t="s">
        <v>230</v>
      </c>
      <c r="C5" s="3327"/>
      <c r="D5" s="111">
        <f>ROUND($D$3*E5/$E$3,2)</f>
        <v>0</v>
      </c>
      <c r="E5" s="112">
        <f>SUMIF('数据-基础表'!$11:$11,"住宅",'数据-基础表'!$5:$5)</f>
        <v>0</v>
      </c>
      <c r="F5" s="1967"/>
      <c r="G5" s="280" t="s">
        <v>859</v>
      </c>
      <c r="H5" s="275" t="s">
        <v>857</v>
      </c>
      <c r="I5" s="1959">
        <f>ROUND(E31/D31,2)</f>
        <v>1</v>
      </c>
      <c r="J5" s="1967"/>
      <c r="K5" s="1967"/>
      <c r="L5" s="1967"/>
    </row>
    <row r="6" spans="1:16" ht="15" thickBot="1">
      <c r="A6" s="113"/>
      <c r="B6" s="3327" t="s">
        <v>208</v>
      </c>
      <c r="C6" s="3327"/>
      <c r="D6" s="111">
        <f>ROUND($D$3*E6/$E$3,2)</f>
        <v>96343.56</v>
      </c>
      <c r="E6" s="112">
        <f>E3-E5</f>
        <v>96343.56</v>
      </c>
      <c r="F6" s="1967"/>
      <c r="G6" s="1195"/>
      <c r="H6" s="275" t="s">
        <v>858</v>
      </c>
      <c r="I6" s="1959">
        <f>ROUND(F31/D31,2)</f>
        <v>1</v>
      </c>
      <c r="J6" s="1967"/>
      <c r="K6" s="1967"/>
      <c r="L6" s="1967"/>
    </row>
    <row r="7" spans="1:16" ht="15">
      <c r="A7" s="3319"/>
      <c r="B7" s="3320"/>
      <c r="C7" s="3321"/>
      <c r="D7" s="108" t="s">
        <v>204</v>
      </c>
      <c r="E7" s="114" t="s">
        <v>231</v>
      </c>
      <c r="F7" s="1967"/>
      <c r="G7" s="1150" t="s">
        <v>1643</v>
      </c>
      <c r="H7" s="1151"/>
      <c r="I7" s="1829">
        <v>4</v>
      </c>
      <c r="J7" s="1967"/>
      <c r="K7" s="1967"/>
      <c r="L7" s="1967"/>
    </row>
    <row r="8" spans="1:16">
      <c r="A8" s="110" t="s">
        <v>209</v>
      </c>
      <c r="B8" s="115" t="s">
        <v>210</v>
      </c>
      <c r="C8" s="111" t="s">
        <v>211</v>
      </c>
      <c r="D8" s="111">
        <f t="shared" ref="D8:D15" si="0">ROUND($D$3*E8/$E$3,2)</f>
        <v>96343.56</v>
      </c>
      <c r="E8" s="116">
        <f>SUMIF('数据-基础表'!BB10:BK10,"地上",'数据-基础表'!BB5:BK5)</f>
        <v>96343.56</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2329</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96343.56</v>
      </c>
      <c r="E16" s="120">
        <f>SUM(E8:E15)</f>
        <v>96343.56</v>
      </c>
      <c r="F16" s="1967"/>
      <c r="G16" s="1969"/>
      <c r="H16" s="966" t="s">
        <v>219</v>
      </c>
      <c r="I16" s="967"/>
      <c r="J16" s="1967"/>
      <c r="K16" s="3313" t="s">
        <v>2561</v>
      </c>
      <c r="L16" s="3314"/>
      <c r="M16" s="3314"/>
      <c r="N16" s="3314"/>
      <c r="O16" s="3314"/>
      <c r="P16" s="3315"/>
    </row>
    <row r="17" spans="1:19" ht="15">
      <c r="A17" s="121" t="s">
        <v>216</v>
      </c>
      <c r="B17" s="122" t="s">
        <v>217</v>
      </c>
      <c r="C17" s="2281" t="s">
        <v>2308</v>
      </c>
      <c r="D17" s="108" t="s">
        <v>204</v>
      </c>
      <c r="E17" s="124" t="s">
        <v>205</v>
      </c>
      <c r="F17" s="125"/>
      <c r="G17" s="1360"/>
      <c r="H17" s="968" t="s">
        <v>218</v>
      </c>
      <c r="I17" s="969" t="s">
        <v>2307</v>
      </c>
      <c r="J17" s="1967"/>
      <c r="K17" s="3316" t="s">
        <v>2562</v>
      </c>
      <c r="L17" s="3317"/>
      <c r="M17" s="3318"/>
      <c r="N17" s="3316" t="s">
        <v>2563</v>
      </c>
      <c r="O17" s="3317"/>
      <c r="P17" s="3318"/>
      <c r="R17" s="2282" t="s">
        <v>2306</v>
      </c>
      <c r="S17" s="144"/>
    </row>
    <row r="18" spans="1:19" ht="15">
      <c r="A18" s="117"/>
      <c r="B18" s="128"/>
      <c r="C18" s="129"/>
      <c r="D18" s="2604"/>
      <c r="E18" s="130" t="s">
        <v>220</v>
      </c>
      <c r="F18" s="131" t="s">
        <v>221</v>
      </c>
      <c r="G18" s="1361" t="s">
        <v>222</v>
      </c>
      <c r="H18" s="970" t="s">
        <v>223</v>
      </c>
      <c r="I18" s="971" t="s">
        <v>224</v>
      </c>
      <c r="J18" s="1967"/>
      <c r="K18" s="2567" t="s">
        <v>2564</v>
      </c>
      <c r="L18" s="2568" t="s">
        <v>2565</v>
      </c>
      <c r="M18" s="2569" t="s">
        <v>2566</v>
      </c>
      <c r="N18" s="2567" t="s">
        <v>2564</v>
      </c>
      <c r="O18" s="2568" t="s">
        <v>2565</v>
      </c>
      <c r="P18" s="2569" t="s">
        <v>2566</v>
      </c>
      <c r="R18" s="2283" t="s">
        <v>2304</v>
      </c>
      <c r="S18" s="2283" t="s">
        <v>2305</v>
      </c>
    </row>
    <row r="19" spans="1:19">
      <c r="A19" s="133"/>
      <c r="B19" s="115" t="s">
        <v>225</v>
      </c>
      <c r="C19" s="2975" t="s">
        <v>2999</v>
      </c>
      <c r="D19" s="111">
        <f t="shared" ref="D19:D26" si="1">ROUND($D$3*E19/$E$3,2)</f>
        <v>96343.56</v>
      </c>
      <c r="E19" s="134">
        <f t="shared" ref="E19:E26" si="2">SUM(F19:G19)</f>
        <v>96343.56</v>
      </c>
      <c r="F19" s="135">
        <f>'数据-基础表'!I13</f>
        <v>96343.56</v>
      </c>
      <c r="G19" s="1362"/>
      <c r="H19" s="972">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96343.56</v>
      </c>
      <c r="S19" s="2284">
        <f t="shared" si="5"/>
        <v>96343.56</v>
      </c>
    </row>
    <row r="20" spans="1:19">
      <c r="A20" s="138"/>
      <c r="B20" s="115" t="s">
        <v>226</v>
      </c>
      <c r="C20" s="2975"/>
      <c r="D20" s="111">
        <f t="shared" si="1"/>
        <v>0</v>
      </c>
      <c r="E20" s="134">
        <f t="shared" si="2"/>
        <v>0</v>
      </c>
      <c r="F20" s="135"/>
      <c r="G20" s="1362"/>
      <c r="H20" s="972">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0</v>
      </c>
      <c r="S20" s="2284">
        <f t="shared" si="5"/>
        <v>0</v>
      </c>
    </row>
    <row r="21" spans="1:19">
      <c r="A21" s="138"/>
      <c r="B21" s="115" t="s">
        <v>226</v>
      </c>
      <c r="C21" s="2975"/>
      <c r="D21" s="111">
        <f t="shared" si="1"/>
        <v>0</v>
      </c>
      <c r="E21" s="134">
        <f t="shared" si="2"/>
        <v>0</v>
      </c>
      <c r="F21" s="135"/>
      <c r="G21" s="1362"/>
      <c r="H21" s="972">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96343.56</v>
      </c>
      <c r="E27" s="143">
        <f>IF(SUM(E19:E26)='数据-基础表'!BA5,SUM(E19:E26),IF(F27="地上面积有误","面积有误","地下面积有误"))</f>
        <v>96343.56</v>
      </c>
      <c r="F27" s="134">
        <f>IF(SUM(F19:F26)=E8,SUM(F19:F26),"地上面积有误")</f>
        <v>96343.56</v>
      </c>
      <c r="G27" s="112">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96343.56</v>
      </c>
      <c r="S27" s="275">
        <f>IF(SUM(S19:S26)=$E$3,SUM(S19:S26),SUM(S19:S26)&amp;"误差"&amp;ROUND(SUM(S19:S26)-E3,2))</f>
        <v>96343.56</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2315</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2317</v>
      </c>
      <c r="D31" s="1366">
        <f>D27+D30</f>
        <v>96343.56</v>
      </c>
      <c r="E31" s="1366">
        <f>E27+E30</f>
        <v>96343.56</v>
      </c>
      <c r="F31" s="1367">
        <f>F27+F30</f>
        <v>96343.56</v>
      </c>
      <c r="G31" s="1368">
        <f>G27+G30</f>
        <v>0</v>
      </c>
      <c r="H31" s="1967"/>
      <c r="I31" s="1967"/>
      <c r="J31" s="1967"/>
      <c r="K31" s="1967"/>
      <c r="L31" s="1967"/>
    </row>
    <row r="32" spans="1:19">
      <c r="A32" s="1967"/>
      <c r="B32" s="2325" t="s">
        <v>2316</v>
      </c>
      <c r="C32" s="2609"/>
      <c r="D32" s="1195"/>
      <c r="E32" s="1195">
        <f>SUMIF(C19:C26,"*住宅*",E19:E26)</f>
        <v>0</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3" sqref="H23"/>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44001</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862</v>
      </c>
      <c r="B4" s="152"/>
      <c r="C4" s="153"/>
      <c r="D4" s="1202"/>
      <c r="E4" s="1203" t="s">
        <v>863</v>
      </c>
      <c r="F4" s="153"/>
      <c r="G4" s="153"/>
      <c r="H4" s="153"/>
      <c r="I4" s="153"/>
      <c r="J4" s="154"/>
      <c r="K4" s="1204"/>
      <c r="L4" s="1205"/>
      <c r="M4" s="153"/>
      <c r="N4" s="1203" t="s">
        <v>864</v>
      </c>
      <c r="O4" s="153"/>
      <c r="P4" s="153"/>
      <c r="Q4" s="153"/>
      <c r="R4" s="153"/>
      <c r="S4" s="154"/>
      <c r="T4" s="975"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40.5">
      <c r="A5" s="2287"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3" t="s">
        <v>3001</v>
      </c>
      <c r="O5" s="163" t="s">
        <v>246</v>
      </c>
      <c r="P5" s="165" t="s">
        <v>247</v>
      </c>
      <c r="Q5" s="166" t="s">
        <v>248</v>
      </c>
      <c r="R5" s="167" t="s">
        <v>249</v>
      </c>
      <c r="S5" s="2583" t="s">
        <v>2567</v>
      </c>
      <c r="T5" s="168" t="s">
        <v>250</v>
      </c>
      <c r="U5" s="169" t="s">
        <v>251</v>
      </c>
      <c r="V5" s="159" t="s">
        <v>252</v>
      </c>
      <c r="W5" s="159" t="s">
        <v>253</v>
      </c>
      <c r="X5" s="1801"/>
      <c r="Y5" s="170" t="s">
        <v>254</v>
      </c>
      <c r="Z5" s="171" t="s">
        <v>255</v>
      </c>
      <c r="AA5" s="159" t="s">
        <v>252</v>
      </c>
      <c r="AB5" s="159" t="s">
        <v>253</v>
      </c>
      <c r="AC5" s="1802"/>
      <c r="AD5" s="172" t="s">
        <v>254</v>
      </c>
      <c r="AE5" s="1" t="s">
        <v>868</v>
      </c>
      <c r="AF5" s="159" t="s">
        <v>256</v>
      </c>
      <c r="AG5" s="170" t="s">
        <v>257</v>
      </c>
      <c r="AH5" s="1802" t="s">
        <v>2318</v>
      </c>
      <c r="AI5" s="171" t="s">
        <v>2287</v>
      </c>
      <c r="AJ5" s="171" t="s">
        <v>258</v>
      </c>
      <c r="AK5" s="159" t="s">
        <v>259</v>
      </c>
      <c r="AL5" s="159" t="s">
        <v>260</v>
      </c>
      <c r="AM5" s="172" t="s">
        <v>261</v>
      </c>
      <c r="AN5" s="2353" t="s">
        <v>2368</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工业</v>
      </c>
      <c r="B6" s="2320" t="str">
        <f>IF(A6=0,"","经营性")</f>
        <v>经营性</v>
      </c>
      <c r="C6" s="173" t="s">
        <v>979</v>
      </c>
      <c r="D6" s="2291">
        <f>SUMIF(项目基本情况!D$15:I$15,C6,项目基本情况!D$18:I$18)</f>
        <v>50</v>
      </c>
      <c r="E6" s="2292">
        <f>IF(B6="","",SUMIF(项目基本情况!D$15:I$15,C6,项目基本情况!D$17:I$17))</f>
        <v>62275</v>
      </c>
      <c r="F6" s="174">
        <f>SUMIF(项目基本情况!D$15:I$15,C6,项目基本情况!D$19:I$19)</f>
        <v>50</v>
      </c>
      <c r="G6" s="175">
        <f>IF(ISERROR(ROUND(POWER(1+H6,D6-F6)*(POWER(1+H6,F6)-1)/(POWER(1+H6,D6)-1),3)),0,ROUND(POWER(1+H6,D6-F6)*(POWER(1+H6,F6)-1)/(POWER(1+H6,D6)-1),3))</f>
        <v>1</v>
      </c>
      <c r="H6" s="2976">
        <v>3.5000000000000003E-2</v>
      </c>
      <c r="I6" s="2976">
        <v>0.04</v>
      </c>
      <c r="J6" s="176">
        <v>0.08</v>
      </c>
      <c r="K6" s="179">
        <f>SUMIF('数据-汇总表'!C$19:C$33,'数据-取费表'!A6,'数据-汇总表'!E$19:E$33)</f>
        <v>96343.56</v>
      </c>
      <c r="L6" s="2977">
        <v>1500</v>
      </c>
      <c r="M6" s="177">
        <f t="shared" ref="M6:M14" si="0">ROUND(K6*L6/10000,0)</f>
        <v>14452</v>
      </c>
      <c r="N6" s="2978">
        <v>1</v>
      </c>
      <c r="O6" s="177" t="str">
        <f>IF($N$5="成新度","——",ROUND(M6*N6,0))</f>
        <v>——</v>
      </c>
      <c r="P6" s="178" t="str">
        <f>IF($N$5="成新度","——",M6-O6)</f>
        <v>——</v>
      </c>
      <c r="Q6" s="2979">
        <v>0.1</v>
      </c>
      <c r="R6" s="179">
        <f>SUMIF('数据-汇总表'!C$19:C$33,A6,'数据-汇总表'!R$19:R$33)</f>
        <v>96343.56</v>
      </c>
      <c r="S6" s="132">
        <f>IF('数据-汇总表'!$I$17="按面积比例",SUMIF('数据-汇总表'!C$19:C$33,A6,'数据-汇总表'!K$19:K$33),SUMIF('数据-汇总表'!C$19:C$33,A6,'数据-汇总表'!N$19:N$33))</f>
        <v>0</v>
      </c>
      <c r="T6" s="2217" t="str">
        <f>IF($T$4="按面积比例",IF(ISERROR(ROUND($M$14*S6/S$16,0)),"0",ROUND($M$14*S6/S$16,0)),"需自行计算录入")</f>
        <v>0</v>
      </c>
      <c r="U6" s="180">
        <v>1</v>
      </c>
      <c r="V6" s="181">
        <v>0.02</v>
      </c>
      <c r="W6" s="181">
        <v>0.1</v>
      </c>
      <c r="X6" s="2304"/>
      <c r="Y6" s="182">
        <v>1</v>
      </c>
      <c r="Z6" s="183"/>
      <c r="AA6" s="176"/>
      <c r="AB6" s="176"/>
      <c r="AC6" s="2307"/>
      <c r="AD6" s="184"/>
      <c r="AE6" s="970">
        <v>50</v>
      </c>
      <c r="AF6" s="141"/>
      <c r="AG6" s="1207">
        <f>IF(AF6="",0,AE6-AF6)</f>
        <v>0</v>
      </c>
      <c r="AH6" s="141">
        <f>'数据-汇总表'!E3</f>
        <v>96343.56</v>
      </c>
      <c r="AI6" s="187">
        <v>365</v>
      </c>
      <c r="AJ6" s="188"/>
      <c r="AK6" s="189">
        <v>0.02</v>
      </c>
      <c r="AL6" s="190">
        <v>2E-3</v>
      </c>
      <c r="AM6" s="2990">
        <v>0.02</v>
      </c>
      <c r="AN6" s="2354" t="s">
        <v>3173</v>
      </c>
      <c r="AO6" s="1983"/>
      <c r="AP6" s="1198">
        <f>ROUND(1-1/(1+H6)^F6,3)</f>
        <v>0.82099999999999995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t="str">
        <f t="shared" ref="O7:O14" si="3">IF($N$5="成新度","——",ROUND(M7*N7,0))</f>
        <v>——</v>
      </c>
      <c r="P7" s="178" t="str">
        <f t="shared" ref="P7:P14" si="4">IF($N$5="成新度","——",M7-O7)</f>
        <v>——</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t="str">
        <f t="shared" si="3"/>
        <v>——</v>
      </c>
      <c r="P8" s="178" t="str">
        <f t="shared" si="4"/>
        <v>——</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t="str">
        <f t="shared" si="3"/>
        <v>——</v>
      </c>
      <c r="P9" s="178" t="str">
        <f t="shared" si="4"/>
        <v>——</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t="str">
        <f t="shared" si="3"/>
        <v>——</v>
      </c>
      <c r="P10" s="178" t="str">
        <f t="shared" si="4"/>
        <v>——</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t="str">
        <f t="shared" si="3"/>
        <v>——</v>
      </c>
      <c r="P11" s="178" t="str">
        <f t="shared" si="4"/>
        <v>——</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t="str">
        <f t="shared" si="3"/>
        <v>——</v>
      </c>
      <c r="P12" s="178" t="str">
        <f t="shared" si="4"/>
        <v>——</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2309</v>
      </c>
      <c r="B14" s="2289" t="s">
        <v>1677</v>
      </c>
      <c r="C14" s="2290" t="s">
        <v>2309</v>
      </c>
      <c r="D14" s="2291"/>
      <c r="E14" s="2292"/>
      <c r="F14" s="174"/>
      <c r="G14" s="175"/>
      <c r="H14" s="2293"/>
      <c r="I14" s="2293"/>
      <c r="J14" s="2293"/>
      <c r="K14" s="179">
        <f>SUMIF('数据-汇总表'!C$19:C$33,'数据-取费表'!A14,'数据-汇总表'!E$19:E$33)</f>
        <v>0</v>
      </c>
      <c r="L14" s="193"/>
      <c r="M14" s="177">
        <f t="shared" si="0"/>
        <v>0</v>
      </c>
      <c r="N14" s="194"/>
      <c r="O14" s="177" t="str">
        <f t="shared" si="3"/>
        <v>——</v>
      </c>
      <c r="P14" s="178" t="str">
        <f t="shared" si="4"/>
        <v>——</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2311</v>
      </c>
      <c r="B15" s="2289" t="s">
        <v>1677</v>
      </c>
      <c r="C15" s="2290" t="s">
        <v>2310</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1</v>
      </c>
      <c r="H16" s="203">
        <f>ROUND(SUMPRODUCT(H6:H13,K6:K13)/SUMPRODUCT((H6:H13&gt;0)*(K6:K13)),3)</f>
        <v>3.5000000000000003E-2</v>
      </c>
      <c r="I16" s="204"/>
      <c r="J16" s="204"/>
      <c r="K16" s="205">
        <f>SUM(K6:K15)</f>
        <v>96343.56</v>
      </c>
      <c r="L16" s="206">
        <f>ROUND(M16*10000/SUM(K6:K14),0)</f>
        <v>1500</v>
      </c>
      <c r="M16" s="206">
        <f>SUM(M6:M14)</f>
        <v>14452</v>
      </c>
      <c r="N16" s="207">
        <f>ROUND(SUMPRODUCT(M6:M14,N6:N14)/M16,3)</f>
        <v>1</v>
      </c>
      <c r="O16" s="206">
        <f>SUM(O6:O14)</f>
        <v>0</v>
      </c>
      <c r="P16" s="206">
        <f>SUM(P6:P14)</f>
        <v>0</v>
      </c>
      <c r="Q16" s="208">
        <f>ROUND(SUMPRODUCT(Q6:Q13,K6:K13)/SUMPRODUCT((Q6:Q13&gt;0)*(K6:K13)),2)</f>
        <v>0.1</v>
      </c>
      <c r="R16" s="2294">
        <f>SUM(R6:R13)</f>
        <v>96343.56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0.82099999999999995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1</v>
      </c>
      <c r="C19" s="2326" t="s">
        <v>2331</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1</v>
      </c>
      <c r="C20" s="2326" t="s">
        <v>2330</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1</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2</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0</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2333</v>
      </c>
      <c r="B27" s="227">
        <v>160</v>
      </c>
      <c r="C27" s="2329" t="s">
        <v>2337</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2334</v>
      </c>
      <c r="B28" s="229">
        <v>200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2332</v>
      </c>
      <c r="B29" s="232">
        <v>0</v>
      </c>
      <c r="C29" s="1537"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5"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0.03</v>
      </c>
      <c r="C33" s="2327" t="s">
        <v>2886</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2887</v>
      </c>
      <c r="D34" s="1976" t="s">
        <v>869</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2888</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2889</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2890</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2890</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2451</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2452</v>
      </c>
      <c r="B40" s="2443">
        <f ca="1">存贷款利率!E2</f>
        <v>4.7500000000000001E-2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40">
        <v>0.05</v>
      </c>
      <c r="C42" s="3044">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0.05</v>
      </c>
      <c r="C44" s="2327" t="s">
        <v>2891</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2892</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2893</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18" t="s">
        <v>2894</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19" t="s">
        <v>2895</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19" t="s">
        <v>2896</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1407</v>
      </c>
      <c r="C53" s="3020" t="s">
        <v>2897</v>
      </c>
      <c r="D53" s="3021" t="s">
        <v>2898</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3" t="s">
        <v>2899</v>
      </c>
      <c r="B54" s="186"/>
      <c r="C54" s="1977">
        <v>30</v>
      </c>
      <c r="D54" s="3022"/>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3" t="s">
        <v>2900</v>
      </c>
      <c r="B55" s="186"/>
      <c r="C55" s="1977">
        <v>24</v>
      </c>
      <c r="D55" s="3022"/>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3" t="s">
        <v>2901</v>
      </c>
      <c r="B56" s="186"/>
      <c r="C56" s="1977">
        <v>18</v>
      </c>
      <c r="D56" s="3022"/>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3" t="s">
        <v>2902</v>
      </c>
      <c r="B57" s="186"/>
      <c r="C57" s="1977">
        <v>12</v>
      </c>
      <c r="D57" s="3022"/>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3" t="s">
        <v>2903</v>
      </c>
      <c r="B58" s="186"/>
      <c r="C58" s="1977">
        <v>3</v>
      </c>
      <c r="D58" s="3022"/>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3" t="s">
        <v>2904</v>
      </c>
      <c r="B59" s="186">
        <v>1.5</v>
      </c>
      <c r="C59" s="1977">
        <v>1.5</v>
      </c>
      <c r="D59" s="3022"/>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3" t="s">
        <v>2905</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3" t="s">
        <v>2906</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3" t="s">
        <v>2907</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4" t="s">
        <v>2908</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28" t="s">
        <v>1661</v>
      </c>
      <c r="B1" s="3329"/>
      <c r="C1" s="3329"/>
      <c r="D1" s="3329"/>
      <c r="E1" s="3329"/>
      <c r="F1" s="3329"/>
      <c r="G1" s="3329"/>
      <c r="H1" s="1985"/>
      <c r="I1" s="1986"/>
      <c r="J1" s="1987"/>
      <c r="K1" s="1985"/>
      <c r="L1" s="1986"/>
      <c r="M1" s="1987"/>
      <c r="N1" s="1985"/>
      <c r="O1" s="1986"/>
      <c r="P1" s="1987"/>
      <c r="Q1" s="1988"/>
      <c r="R1" s="1989"/>
    </row>
    <row r="2" spans="1:18" ht="14.25" thickBot="1">
      <c r="A2" s="1215"/>
      <c r="B2" s="1216"/>
      <c r="C2" s="1217" t="s">
        <v>1662</v>
      </c>
      <c r="D2" s="1218"/>
      <c r="E2" s="1219"/>
      <c r="F2" s="1220"/>
      <c r="G2" s="1217" t="s">
        <v>1663</v>
      </c>
      <c r="H2" s="1991"/>
      <c r="I2" s="1991"/>
      <c r="J2" s="1991"/>
      <c r="K2" s="1991"/>
      <c r="L2" s="1991"/>
      <c r="M2" s="1991"/>
      <c r="N2" s="1991"/>
      <c r="O2" s="1991"/>
      <c r="P2" s="1991"/>
      <c r="Q2" s="1991"/>
      <c r="R2" s="1991"/>
    </row>
    <row r="3" spans="1:18" ht="54">
      <c r="A3" s="1221" t="s">
        <v>1664</v>
      </c>
      <c r="B3" s="1222" t="s">
        <v>1651</v>
      </c>
      <c r="C3" s="3025" t="s">
        <v>2915</v>
      </c>
      <c r="D3" s="1992"/>
      <c r="E3" s="1223" t="s">
        <v>1664</v>
      </c>
      <c r="F3" s="1224" t="s">
        <v>1652</v>
      </c>
      <c r="G3" s="3029" t="s">
        <v>2914</v>
      </c>
      <c r="H3" s="1991"/>
      <c r="I3" s="1991"/>
      <c r="J3" s="1991"/>
      <c r="K3" s="1991"/>
      <c r="L3" s="1991"/>
      <c r="M3" s="1991"/>
      <c r="N3" s="1991"/>
      <c r="O3" s="1991"/>
      <c r="P3" s="1991"/>
      <c r="Q3" s="1991"/>
      <c r="R3" s="1991"/>
    </row>
    <row r="4" spans="1:18" ht="41.25">
      <c r="A4" s="1223"/>
      <c r="B4" s="1225" t="s">
        <v>1665</v>
      </c>
      <c r="C4" s="3026" t="s">
        <v>2916</v>
      </c>
      <c r="D4" s="1992"/>
      <c r="E4" s="1226"/>
      <c r="F4" s="1227" t="s">
        <v>1666</v>
      </c>
      <c r="G4" s="3027" t="s">
        <v>2911</v>
      </c>
      <c r="H4" s="1991"/>
      <c r="I4" s="1991"/>
      <c r="J4" s="1991"/>
      <c r="K4" s="1991"/>
      <c r="L4" s="1991"/>
      <c r="M4" s="1991"/>
      <c r="N4" s="1991"/>
      <c r="O4" s="1991"/>
      <c r="P4" s="1991"/>
      <c r="Q4" s="1991"/>
      <c r="R4" s="1991"/>
    </row>
    <row r="5" spans="1:18" ht="41.25">
      <c r="A5" s="1223"/>
      <c r="B5" s="1225" t="s">
        <v>1667</v>
      </c>
      <c r="C5" s="3026" t="s">
        <v>2917</v>
      </c>
      <c r="D5" s="1992"/>
      <c r="E5" s="1226"/>
      <c r="F5" s="1225" t="s">
        <v>2541</v>
      </c>
      <c r="G5" s="3027" t="s">
        <v>2912</v>
      </c>
      <c r="H5" s="1991"/>
      <c r="I5" s="1991"/>
      <c r="J5" s="1991"/>
      <c r="K5" s="1991"/>
      <c r="L5" s="1991"/>
      <c r="M5" s="1991"/>
      <c r="N5" s="1991"/>
      <c r="O5" s="1991"/>
      <c r="P5" s="1991"/>
      <c r="Q5" s="1991"/>
      <c r="R5" s="1991"/>
    </row>
    <row r="6" spans="1:18" ht="54">
      <c r="A6" s="1223"/>
      <c r="B6" s="1225" t="s">
        <v>1653</v>
      </c>
      <c r="C6" s="3027" t="s">
        <v>2911</v>
      </c>
      <c r="D6" s="1992"/>
      <c r="E6" s="1226"/>
      <c r="F6" s="1225" t="s">
        <v>2542</v>
      </c>
      <c r="G6" s="3027" t="s">
        <v>2909</v>
      </c>
      <c r="H6" s="1991"/>
      <c r="I6" s="1991"/>
      <c r="J6" s="1991"/>
      <c r="K6" s="1991"/>
      <c r="L6" s="1991"/>
      <c r="M6" s="1991"/>
      <c r="N6" s="1991"/>
      <c r="O6" s="1991"/>
      <c r="P6" s="1991"/>
      <c r="Q6" s="1991"/>
      <c r="R6" s="1991"/>
    </row>
    <row r="7" spans="1:18" ht="41.25" thickBot="1">
      <c r="A7" s="1223"/>
      <c r="B7" s="1225" t="s">
        <v>2541</v>
      </c>
      <c r="C7" s="3027" t="s">
        <v>2912</v>
      </c>
      <c r="D7" s="1993"/>
      <c r="E7" s="1228"/>
      <c r="F7" s="1229" t="s">
        <v>1668</v>
      </c>
      <c r="G7" s="3030" t="s">
        <v>2913</v>
      </c>
      <c r="H7" s="1991"/>
      <c r="I7" s="1991"/>
      <c r="J7" s="1991"/>
      <c r="K7" s="1991"/>
      <c r="L7" s="1991"/>
      <c r="M7" s="1991"/>
      <c r="N7" s="1991"/>
      <c r="O7" s="1991"/>
      <c r="P7" s="1991"/>
      <c r="Q7" s="1991"/>
      <c r="R7" s="1991"/>
    </row>
    <row r="8" spans="1:18" ht="27">
      <c r="A8" s="1223"/>
      <c r="B8" s="1225" t="s">
        <v>2542</v>
      </c>
      <c r="C8" s="3027" t="s">
        <v>2909</v>
      </c>
      <c r="D8" s="1993"/>
      <c r="E8" s="1993"/>
      <c r="F8" s="1538"/>
      <c r="G8" s="1538"/>
      <c r="H8" s="1991"/>
      <c r="I8" s="1991"/>
      <c r="J8" s="1991"/>
      <c r="K8" s="1991"/>
      <c r="L8" s="1991"/>
      <c r="M8" s="1991"/>
      <c r="N8" s="1991"/>
      <c r="O8" s="1991"/>
      <c r="P8" s="1991"/>
      <c r="Q8" s="1991"/>
      <c r="R8" s="1991"/>
    </row>
    <row r="9" spans="1:18" ht="40.5">
      <c r="A9" s="1223"/>
      <c r="B9" s="1225" t="s">
        <v>1654</v>
      </c>
      <c r="C9" s="3026" t="s">
        <v>2910</v>
      </c>
      <c r="D9" s="1992"/>
      <c r="E9" s="1993"/>
      <c r="F9" s="1538"/>
      <c r="G9" s="1538"/>
      <c r="H9" s="1991"/>
      <c r="I9" s="1991"/>
      <c r="J9" s="1991"/>
      <c r="K9" s="1991"/>
      <c r="L9" s="1991"/>
      <c r="M9" s="1991"/>
      <c r="N9" s="1991"/>
      <c r="O9" s="1991"/>
      <c r="P9" s="1991"/>
      <c r="Q9" s="1991"/>
      <c r="R9" s="1991"/>
    </row>
    <row r="10" spans="1:18" s="1999" customFormat="1" ht="15" thickBot="1">
      <c r="A10" s="1230"/>
      <c r="B10" s="1231" t="s">
        <v>1669</v>
      </c>
      <c r="C10" s="3028"/>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1670</v>
      </c>
      <c r="B13" s="2540"/>
      <c r="C13" s="2540"/>
      <c r="D13" s="1218"/>
      <c r="E13" s="2540"/>
      <c r="F13" s="2540"/>
      <c r="G13" s="2540"/>
    </row>
    <row r="14" spans="1:18" ht="14.25" thickBot="1">
      <c r="A14" s="1232"/>
      <c r="B14" s="1233"/>
      <c r="C14" s="1234" t="s">
        <v>1662</v>
      </c>
      <c r="D14" s="1992"/>
      <c r="E14" s="1235"/>
      <c r="F14" s="1235"/>
      <c r="G14" s="1217" t="s">
        <v>1663</v>
      </c>
    </row>
    <row r="15" spans="1:18" ht="54">
      <c r="A15" s="2550" t="s">
        <v>1655</v>
      </c>
      <c r="B15" s="1236" t="s">
        <v>1651</v>
      </c>
      <c r="C15" s="1237" t="str">
        <f>C3</f>
        <v>估价对象周边居住用地比例、居住小区规模和社区发展完善程度，综合评价居住社区成熟度一般</v>
      </c>
      <c r="D15" s="1992"/>
      <c r="E15" s="2547" t="s">
        <v>1656</v>
      </c>
      <c r="F15" s="1236" t="s">
        <v>1671</v>
      </c>
      <c r="G15" s="1238" t="str">
        <f>G3</f>
        <v>估价对象位于XX开发区，园区建设成熟度XX，产业集聚程度XX</v>
      </c>
    </row>
    <row r="16" spans="1:18" ht="40.5">
      <c r="A16" s="2551"/>
      <c r="B16" s="1239" t="s">
        <v>1665</v>
      </c>
      <c r="C16" s="1240" t="str">
        <f>C4</f>
        <v>估价对象位于XX商圈，周边商业氛围成熟，人流量大，商业繁华度好</v>
      </c>
      <c r="D16" s="1992"/>
      <c r="E16" s="2548"/>
      <c r="F16" s="1241" t="s">
        <v>1666</v>
      </c>
      <c r="G16" s="1003" t="str">
        <f>G4</f>
        <v>估价对象周边道路状况、公共交通通达情况、停车便捷程度，综合评价交通便捷度较好</v>
      </c>
    </row>
    <row r="17" spans="1:7" ht="40.5">
      <c r="A17" s="2551"/>
      <c r="B17" s="1239" t="s">
        <v>1667</v>
      </c>
      <c r="C17" s="1240" t="str">
        <f>C5</f>
        <v>估价对象位于XX商圈，周边办公楼项目较多，入驻率高，办公集聚程度较好</v>
      </c>
      <c r="D17" s="1993"/>
      <c r="E17" s="2548"/>
      <c r="F17" s="1241" t="s">
        <v>1672</v>
      </c>
      <c r="G17" s="2748"/>
    </row>
    <row r="18" spans="1:7" ht="54">
      <c r="A18" s="2551"/>
      <c r="B18" s="1241" t="s">
        <v>1653</v>
      </c>
      <c r="C18" s="1003" t="str">
        <f>C6</f>
        <v>估价对象周边道路状况、公共交通通达情况、停车便捷程度，综合评价交通便捷度较好</v>
      </c>
      <c r="D18" s="1993"/>
      <c r="E18" s="2548"/>
      <c r="F18" s="1241" t="s">
        <v>1668</v>
      </c>
      <c r="G18" s="1003" t="str">
        <f>G7</f>
        <v>该园区内是否有污染型企业，绿化情况，卫生条件，整体环境状况判断</v>
      </c>
    </row>
    <row r="19" spans="1:7" ht="27">
      <c r="A19" s="2551"/>
      <c r="B19" s="1241" t="s">
        <v>1657</v>
      </c>
      <c r="C19" s="2748"/>
      <c r="D19" s="1992"/>
      <c r="E19" s="2548"/>
      <c r="F19" s="1225" t="s">
        <v>2541</v>
      </c>
      <c r="G19" s="1003" t="str">
        <f>G5</f>
        <v>估价对象所在区域公共配套设施齐备情况</v>
      </c>
    </row>
    <row r="20" spans="1:7" ht="40.5">
      <c r="A20" s="2551"/>
      <c r="B20" s="1241" t="s">
        <v>1658</v>
      </c>
      <c r="C20" s="1240" t="str">
        <f>C9</f>
        <v>区域自然环境：；人文环境；综合评价环境状况一般</v>
      </c>
      <c r="D20" s="1993"/>
      <c r="E20" s="2548"/>
      <c r="F20" s="1225" t="s">
        <v>2542</v>
      </c>
      <c r="G20" s="1003" t="str">
        <f>G6</f>
        <v>估价对象所在区域基础设施水平</v>
      </c>
    </row>
    <row r="21" spans="1:7" ht="27">
      <c r="A21" s="2551"/>
      <c r="B21" s="1225" t="s">
        <v>2541</v>
      </c>
      <c r="C21" s="1003" t="str">
        <f>C7</f>
        <v>估价对象所在区域公共配套设施齐备情况</v>
      </c>
      <c r="D21" s="1992"/>
      <c r="E21" s="2548"/>
      <c r="F21" s="1241" t="s">
        <v>1659</v>
      </c>
      <c r="G21" s="3031"/>
    </row>
    <row r="22" spans="1:7" ht="27">
      <c r="A22" s="2551"/>
      <c r="B22" s="1225" t="s">
        <v>2542</v>
      </c>
      <c r="C22" s="1003" t="str">
        <f>C8</f>
        <v>估价对象所在区域基础设施水平</v>
      </c>
      <c r="D22" s="1992"/>
      <c r="E22" s="2548"/>
      <c r="F22" s="1241" t="s">
        <v>1669</v>
      </c>
      <c r="G22" s="2748"/>
    </row>
    <row r="23" spans="1:7" ht="15" thickBot="1">
      <c r="A23" s="2551"/>
      <c r="B23" s="1241" t="s">
        <v>1659</v>
      </c>
      <c r="C23" s="3031"/>
      <c r="E23" s="2549"/>
      <c r="F23" s="1242" t="s">
        <v>1673</v>
      </c>
      <c r="G23" s="3032"/>
    </row>
    <row r="24" spans="1:7" ht="14.25" thickBot="1">
      <c r="A24" s="2552"/>
      <c r="B24" s="1242" t="s">
        <v>1660</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style="3178" customWidth="1"/>
    <col min="2" max="16384" width="14.625" style="3178"/>
  </cols>
  <sheetData>
    <row r="1" spans="1:9" ht="16.5">
      <c r="A1" s="3179" t="s">
        <v>2836</v>
      </c>
      <c r="B1" s="3179">
        <f>SUM(B14:B23)</f>
        <v>96343.56</v>
      </c>
      <c r="C1" s="3177"/>
      <c r="D1" s="3177"/>
      <c r="E1" s="3177"/>
      <c r="F1" s="3177"/>
    </row>
    <row r="2" spans="1:9" ht="16.5">
      <c r="A2" s="3179" t="s">
        <v>2837</v>
      </c>
      <c r="B2" s="3179">
        <f>SUM(C14:C23)</f>
        <v>96343.56</v>
      </c>
      <c r="C2" s="3177"/>
      <c r="D2" s="3177"/>
      <c r="E2" s="3177"/>
      <c r="F2" s="3177"/>
    </row>
    <row r="3" spans="1:9" ht="16.5">
      <c r="A3" s="3179" t="s">
        <v>2838</v>
      </c>
      <c r="B3" s="3180">
        <f>项目基本情况!D3</f>
        <v>44001</v>
      </c>
      <c r="C3" s="3177"/>
      <c r="D3" s="3177"/>
      <c r="E3" s="3177"/>
      <c r="F3" s="3177"/>
    </row>
    <row r="4" spans="1:9" ht="33">
      <c r="A4" s="3179" t="s">
        <v>2839</v>
      </c>
      <c r="B4" s="3179" t="s">
        <v>2840</v>
      </c>
      <c r="C4" s="3179" t="s">
        <v>2841</v>
      </c>
      <c r="D4" s="3179" t="s">
        <v>2842</v>
      </c>
      <c r="E4" s="3177"/>
      <c r="F4" s="3177"/>
    </row>
    <row r="5" spans="1:9" ht="16.5">
      <c r="A5" s="3179" t="s">
        <v>2843</v>
      </c>
      <c r="B5" s="3179">
        <f ca="1">SUM(D14:D23)</f>
        <v>3924</v>
      </c>
      <c r="C5" s="3179">
        <f ca="1">ROUND(B5*10000/$B$1,0)</f>
        <v>407</v>
      </c>
      <c r="D5" s="3179">
        <f ca="1">ROUND(B5*10000/$B$2,0)</f>
        <v>407</v>
      </c>
      <c r="E5" s="3177"/>
      <c r="F5" s="3177"/>
    </row>
    <row r="6" spans="1:9" ht="16.5">
      <c r="A6" s="3179" t="s">
        <v>2844</v>
      </c>
      <c r="B6" s="3179">
        <f>SUM(G14:G23)</f>
        <v>0</v>
      </c>
      <c r="C6" s="3179">
        <f t="shared" ref="C6:C8" si="0">ROUND(B6*10000/$B$1,0)</f>
        <v>0</v>
      </c>
      <c r="D6" s="3179">
        <f t="shared" ref="D6:D8" si="1">ROUND(B6*10000/$B$2,0)</f>
        <v>0</v>
      </c>
      <c r="E6" s="3177"/>
      <c r="F6" s="3177"/>
    </row>
    <row r="7" spans="1:9" ht="16.5">
      <c r="A7" s="3179" t="s">
        <v>2845</v>
      </c>
      <c r="B7" s="3179">
        <f>SUM(H14:H23)</f>
        <v>0</v>
      </c>
      <c r="C7" s="3179">
        <f t="shared" si="0"/>
        <v>0</v>
      </c>
      <c r="D7" s="3179">
        <f t="shared" si="1"/>
        <v>0</v>
      </c>
      <c r="E7" s="3177"/>
      <c r="F7" s="3177"/>
    </row>
    <row r="8" spans="1:9" ht="16.5">
      <c r="A8" s="3179" t="s">
        <v>2846</v>
      </c>
      <c r="B8" s="3179">
        <f>SUM(I14:I23)</f>
        <v>0</v>
      </c>
      <c r="C8" s="3179">
        <f t="shared" si="0"/>
        <v>0</v>
      </c>
      <c r="D8" s="3179">
        <f t="shared" si="1"/>
        <v>0</v>
      </c>
      <c r="E8" s="3177"/>
      <c r="F8" s="3177"/>
    </row>
    <row r="9" spans="1:9" ht="16.5">
      <c r="A9" s="3179" t="s">
        <v>2847</v>
      </c>
      <c r="B9" s="2995"/>
      <c r="C9" s="3177"/>
      <c r="D9" s="3177"/>
      <c r="E9" s="3177"/>
      <c r="F9" s="3177"/>
    </row>
    <row r="10" spans="1:9" ht="16.5">
      <c r="A10" s="3179" t="s">
        <v>2848</v>
      </c>
      <c r="B10" s="2995"/>
      <c r="C10" s="3177"/>
      <c r="D10" s="3177"/>
      <c r="E10" s="3177"/>
      <c r="F10" s="3177"/>
    </row>
    <row r="11" spans="1:9" ht="16.5">
      <c r="A11" s="3179" t="s">
        <v>2865</v>
      </c>
      <c r="B11" s="2995"/>
      <c r="C11" s="3177"/>
      <c r="D11" s="3177"/>
      <c r="E11" s="3177"/>
      <c r="F11" s="3177"/>
    </row>
    <row r="12" spans="1:9" ht="16.5">
      <c r="A12" s="3177"/>
      <c r="B12" s="3177"/>
      <c r="C12" s="3177"/>
      <c r="D12" s="3177"/>
      <c r="E12" s="3177"/>
      <c r="F12" s="3177"/>
    </row>
    <row r="13" spans="1:9" ht="33">
      <c r="A13" s="3181" t="s">
        <v>2864</v>
      </c>
      <c r="B13" s="3182" t="s">
        <v>2836</v>
      </c>
      <c r="C13" s="3182" t="s">
        <v>2837</v>
      </c>
      <c r="D13" s="3182" t="s">
        <v>2849</v>
      </c>
      <c r="E13" s="3179" t="s">
        <v>2863</v>
      </c>
      <c r="F13" s="3179" t="s">
        <v>2842</v>
      </c>
      <c r="G13" s="3182" t="s">
        <v>2850</v>
      </c>
      <c r="H13" s="3182" t="s">
        <v>2851</v>
      </c>
      <c r="I13" s="3182" t="s">
        <v>2852</v>
      </c>
    </row>
    <row r="14" spans="1:9" ht="16.5">
      <c r="A14" s="3183" t="s">
        <v>2862</v>
      </c>
      <c r="B14" s="3184">
        <f>结果表!L38</f>
        <v>96343.56</v>
      </c>
      <c r="C14" s="3184">
        <f>结果表!K38</f>
        <v>96343.56</v>
      </c>
      <c r="D14" s="3184">
        <f ca="1">结果!J7</f>
        <v>3924</v>
      </c>
      <c r="E14" s="3182">
        <f ca="1">ROUND(D14*10000/B14,0)</f>
        <v>407</v>
      </c>
      <c r="F14" s="3182">
        <f ca="1">ROUND(D14*10000/C14,0)</f>
        <v>407</v>
      </c>
      <c r="G14" s="3184" t="str">
        <f>结果表!C44</f>
        <v>——</v>
      </c>
      <c r="H14" s="3184" t="str">
        <f>结果表!C45</f>
        <v>——</v>
      </c>
      <c r="I14" s="3184" t="str">
        <f>结果表!C46</f>
        <v>——</v>
      </c>
    </row>
    <row r="15" spans="1:9" ht="16.5">
      <c r="A15" s="3183" t="s">
        <v>2853</v>
      </c>
      <c r="B15" s="2997"/>
      <c r="C15" s="2997"/>
      <c r="D15" s="2997"/>
      <c r="E15" s="3182" t="e">
        <f t="shared" ref="E15:E23" si="2">ROUND(D15*10000/B15,0)</f>
        <v>#DIV/0!</v>
      </c>
      <c r="F15" s="3182" t="e">
        <f t="shared" ref="F15:F23" si="3">ROUND(D15*10000/C15,0)</f>
        <v>#DIV/0!</v>
      </c>
      <c r="G15" s="2996"/>
      <c r="H15" s="2996"/>
      <c r="I15" s="2997"/>
    </row>
    <row r="16" spans="1:9" ht="16.5">
      <c r="A16" s="3183" t="s">
        <v>2854</v>
      </c>
      <c r="B16" s="2997"/>
      <c r="C16" s="2997"/>
      <c r="D16" s="2997"/>
      <c r="E16" s="3182" t="e">
        <f t="shared" si="2"/>
        <v>#DIV/0!</v>
      </c>
      <c r="F16" s="3182" t="e">
        <f t="shared" si="3"/>
        <v>#DIV/0!</v>
      </c>
      <c r="G16" s="2996"/>
      <c r="H16" s="2996"/>
      <c r="I16" s="2997"/>
    </row>
    <row r="17" spans="1:9" ht="16.5">
      <c r="A17" s="3183" t="s">
        <v>2855</v>
      </c>
      <c r="B17" s="2997"/>
      <c r="C17" s="2997"/>
      <c r="D17" s="2997"/>
      <c r="E17" s="3182" t="e">
        <f t="shared" si="2"/>
        <v>#DIV/0!</v>
      </c>
      <c r="F17" s="3182" t="e">
        <f t="shared" si="3"/>
        <v>#DIV/0!</v>
      </c>
      <c r="G17" s="2996"/>
      <c r="H17" s="2996"/>
      <c r="I17" s="2997"/>
    </row>
    <row r="18" spans="1:9" ht="16.5">
      <c r="A18" s="3183" t="s">
        <v>2856</v>
      </c>
      <c r="B18" s="2997"/>
      <c r="C18" s="2997"/>
      <c r="D18" s="2997"/>
      <c r="E18" s="3182" t="e">
        <f t="shared" si="2"/>
        <v>#DIV/0!</v>
      </c>
      <c r="F18" s="3182" t="e">
        <f t="shared" si="3"/>
        <v>#DIV/0!</v>
      </c>
      <c r="G18" s="2997"/>
      <c r="H18" s="2997"/>
      <c r="I18" s="2997"/>
    </row>
    <row r="19" spans="1:9" ht="16.5">
      <c r="A19" s="3183" t="s">
        <v>2857</v>
      </c>
      <c r="B19" s="2997"/>
      <c r="C19" s="2997"/>
      <c r="D19" s="2997"/>
      <c r="E19" s="3182" t="e">
        <f t="shared" si="2"/>
        <v>#DIV/0!</v>
      </c>
      <c r="F19" s="3182" t="e">
        <f t="shared" si="3"/>
        <v>#DIV/0!</v>
      </c>
      <c r="G19" s="2997"/>
      <c r="H19" s="2997"/>
      <c r="I19" s="2997"/>
    </row>
    <row r="20" spans="1:9" ht="16.5">
      <c r="A20" s="3183" t="s">
        <v>2858</v>
      </c>
      <c r="B20" s="2997"/>
      <c r="C20" s="2997"/>
      <c r="D20" s="2997"/>
      <c r="E20" s="3182" t="e">
        <f t="shared" si="2"/>
        <v>#DIV/0!</v>
      </c>
      <c r="F20" s="3182" t="e">
        <f t="shared" si="3"/>
        <v>#DIV/0!</v>
      </c>
      <c r="G20" s="2997"/>
      <c r="H20" s="2997"/>
      <c r="I20" s="2997"/>
    </row>
    <row r="21" spans="1:9" ht="16.5">
      <c r="A21" s="3183" t="s">
        <v>2859</v>
      </c>
      <c r="B21" s="2997"/>
      <c r="C21" s="2997"/>
      <c r="D21" s="2997"/>
      <c r="E21" s="3182" t="e">
        <f t="shared" si="2"/>
        <v>#DIV/0!</v>
      </c>
      <c r="F21" s="3182" t="e">
        <f t="shared" si="3"/>
        <v>#DIV/0!</v>
      </c>
      <c r="G21" s="2997"/>
      <c r="H21" s="2997"/>
      <c r="I21" s="2997"/>
    </row>
    <row r="22" spans="1:9" ht="16.5">
      <c r="A22" s="3183" t="s">
        <v>2860</v>
      </c>
      <c r="B22" s="2997"/>
      <c r="C22" s="2997"/>
      <c r="D22" s="2997"/>
      <c r="E22" s="3182" t="e">
        <f t="shared" si="2"/>
        <v>#DIV/0!</v>
      </c>
      <c r="F22" s="3182" t="e">
        <f t="shared" si="3"/>
        <v>#DIV/0!</v>
      </c>
      <c r="G22" s="2997"/>
      <c r="H22" s="2997"/>
      <c r="I22" s="2997"/>
    </row>
    <row r="23" spans="1:9" ht="16.5">
      <c r="A23" s="3183" t="s">
        <v>2861</v>
      </c>
      <c r="B23" s="2997"/>
      <c r="C23" s="2997"/>
      <c r="D23" s="2997"/>
      <c r="E23" s="3179" t="e">
        <f t="shared" si="2"/>
        <v>#DIV/0!</v>
      </c>
      <c r="F23" s="3179" t="e">
        <f t="shared" si="3"/>
        <v>#DIV/0!</v>
      </c>
      <c r="G23" s="2997"/>
      <c r="H23" s="2997"/>
      <c r="I23" s="2997"/>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111" sqref="I111"/>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9" t="s">
        <v>2051</v>
      </c>
      <c r="B1" s="1760"/>
      <c r="C1" s="1788" t="s">
        <v>2052</v>
      </c>
      <c r="D1" s="1789"/>
      <c r="E1" s="1788" t="s">
        <v>2053</v>
      </c>
      <c r="F1" s="1790"/>
      <c r="G1" s="311"/>
      <c r="H1" s="311"/>
      <c r="I1" s="311"/>
      <c r="J1" s="2012"/>
      <c r="K1" s="2012"/>
      <c r="L1" s="2012"/>
      <c r="M1" s="2012"/>
      <c r="N1" s="2012"/>
      <c r="O1" s="2012"/>
      <c r="P1" s="2012"/>
      <c r="Q1" s="2012"/>
      <c r="R1" s="2012"/>
      <c r="S1" s="2012"/>
      <c r="T1" s="2012"/>
      <c r="U1" s="2012"/>
      <c r="V1" s="2012"/>
    </row>
    <row r="2" spans="1:22" ht="21.75" customHeight="1" thickBot="1">
      <c r="A2" s="3371" t="str">
        <f>项目基本情况!K2</f>
        <v>北京市出让国有建设用地使用权</v>
      </c>
      <c r="B2" s="3372"/>
      <c r="C2" s="3373"/>
      <c r="D2" s="3373"/>
      <c r="E2" s="3373"/>
      <c r="F2" s="3373"/>
      <c r="G2" s="3372"/>
      <c r="H2" s="3372"/>
      <c r="I2" s="3374"/>
      <c r="J2" s="2013"/>
      <c r="K2" s="2012"/>
      <c r="L2" s="2012"/>
      <c r="M2" s="2012"/>
      <c r="N2" s="2012"/>
      <c r="O2" s="2012"/>
      <c r="P2" s="2012"/>
      <c r="Q2" s="2012"/>
      <c r="R2" s="2012"/>
      <c r="S2" s="2012"/>
      <c r="T2" s="2012"/>
      <c r="U2" s="2012"/>
      <c r="V2" s="2012"/>
    </row>
    <row r="3" spans="1:22" ht="14.25">
      <c r="A3" s="3364" t="s">
        <v>298</v>
      </c>
      <c r="B3" s="3365"/>
      <c r="C3" s="3365"/>
      <c r="D3" s="3365"/>
      <c r="E3" s="3365"/>
      <c r="F3" s="3365"/>
      <c r="G3" s="3365"/>
      <c r="H3" s="3365"/>
      <c r="I3" s="3365"/>
      <c r="J3" s="2013"/>
      <c r="K3" s="2012"/>
      <c r="L3" s="2012"/>
      <c r="M3" s="2012"/>
      <c r="N3" s="2012"/>
      <c r="O3" s="2012"/>
      <c r="P3" s="2012"/>
      <c r="Q3" s="2012"/>
      <c r="R3" s="2012"/>
      <c r="S3" s="2012"/>
      <c r="T3" s="2012"/>
      <c r="U3" s="2012"/>
      <c r="V3" s="2012"/>
    </row>
    <row r="4" spans="1:22" ht="14.25">
      <c r="A4" s="258" t="s">
        <v>299</v>
      </c>
      <c r="B4" s="259" t="s">
        <v>300</v>
      </c>
      <c r="C4" s="260"/>
      <c r="D4" s="260"/>
      <c r="E4" s="3333" t="s">
        <v>301</v>
      </c>
      <c r="F4" s="3334"/>
      <c r="G4" s="3334"/>
      <c r="H4" s="3334"/>
      <c r="I4" s="3366"/>
      <c r="J4" s="2013"/>
      <c r="K4" s="2012"/>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基准地价系数修正法</v>
      </c>
      <c r="N4" s="2012"/>
      <c r="O4" s="2012"/>
      <c r="P4" s="2012"/>
      <c r="Q4" s="2012"/>
      <c r="R4" s="2012"/>
      <c r="S4" s="2012"/>
      <c r="T4" s="2012"/>
      <c r="U4" s="2012"/>
      <c r="V4" s="2012"/>
    </row>
    <row r="5" spans="1:22" ht="14.25">
      <c r="A5" s="3332" t="s">
        <v>302</v>
      </c>
      <c r="B5" s="3361">
        <v>25</v>
      </c>
      <c r="C5" s="3359"/>
      <c r="D5" s="3363"/>
      <c r="E5" s="261" t="s">
        <v>303</v>
      </c>
      <c r="F5" s="262"/>
      <c r="G5" s="262"/>
      <c r="H5" s="262"/>
      <c r="I5" s="263"/>
      <c r="J5" s="2013"/>
      <c r="K5" s="2012"/>
      <c r="L5" s="2012"/>
      <c r="M5" s="2012"/>
      <c r="N5" s="2012"/>
      <c r="O5" s="2012"/>
      <c r="P5" s="2012"/>
      <c r="Q5" s="2012"/>
      <c r="R5" s="2012"/>
      <c r="S5" s="2012"/>
      <c r="T5" s="2012"/>
      <c r="U5" s="2012"/>
      <c r="V5" s="2012"/>
    </row>
    <row r="6" spans="1:22" ht="14.25">
      <c r="A6" s="3332"/>
      <c r="B6" s="3361"/>
      <c r="C6" s="3362"/>
      <c r="D6" s="3363"/>
      <c r="E6" s="261" t="s">
        <v>304</v>
      </c>
      <c r="F6" s="262"/>
      <c r="G6" s="262"/>
      <c r="H6" s="262"/>
      <c r="I6" s="263"/>
      <c r="J6" s="2013"/>
      <c r="K6" s="2012"/>
      <c r="L6" s="2012"/>
      <c r="M6" s="2012"/>
      <c r="N6" s="2012"/>
      <c r="O6" s="2012"/>
      <c r="P6" s="2012"/>
      <c r="Q6" s="2012"/>
      <c r="R6" s="2012"/>
      <c r="S6" s="2012"/>
      <c r="T6" s="2012"/>
      <c r="U6" s="2012"/>
      <c r="V6" s="2012"/>
    </row>
    <row r="7" spans="1:22" ht="14.25">
      <c r="A7" s="3332"/>
      <c r="B7" s="3361"/>
      <c r="C7" s="3360"/>
      <c r="D7" s="3363"/>
      <c r="E7" s="261" t="s">
        <v>305</v>
      </c>
      <c r="F7" s="262"/>
      <c r="G7" s="262"/>
      <c r="H7" s="262"/>
      <c r="I7" s="263"/>
      <c r="J7" s="2013"/>
      <c r="K7" s="2012"/>
      <c r="L7" s="2012"/>
      <c r="M7" s="2012"/>
      <c r="N7" s="2012"/>
      <c r="O7" s="2012"/>
      <c r="P7" s="2012"/>
      <c r="Q7" s="2012"/>
      <c r="R7" s="2012"/>
      <c r="S7" s="2012"/>
      <c r="T7" s="2012"/>
      <c r="U7" s="2012"/>
      <c r="V7" s="2012"/>
    </row>
    <row r="8" spans="1:22" ht="14.25">
      <c r="A8" s="3332" t="s">
        <v>306</v>
      </c>
      <c r="B8" s="3361">
        <v>15</v>
      </c>
      <c r="C8" s="3359"/>
      <c r="D8" s="3363"/>
      <c r="E8" s="261" t="s">
        <v>307</v>
      </c>
      <c r="F8" s="262"/>
      <c r="G8" s="262"/>
      <c r="H8" s="262"/>
      <c r="I8" s="263"/>
      <c r="J8" s="2013"/>
      <c r="K8" s="2012"/>
      <c r="L8" s="2012"/>
      <c r="M8" s="2012"/>
      <c r="N8" s="2012"/>
      <c r="O8" s="2012"/>
      <c r="P8" s="2012"/>
      <c r="Q8" s="2012"/>
      <c r="R8" s="2012"/>
      <c r="S8" s="2012"/>
      <c r="T8" s="2012"/>
      <c r="U8" s="2012"/>
      <c r="V8" s="2012"/>
    </row>
    <row r="9" spans="1:22" ht="14.25">
      <c r="A9" s="3332"/>
      <c r="B9" s="3361"/>
      <c r="C9" s="3360"/>
      <c r="D9" s="3363"/>
      <c r="E9" s="261" t="s">
        <v>308</v>
      </c>
      <c r="F9" s="262"/>
      <c r="G9" s="262"/>
      <c r="H9" s="262"/>
      <c r="I9" s="263"/>
      <c r="J9" s="2013"/>
      <c r="K9" s="2012"/>
      <c r="L9" s="2012"/>
      <c r="M9" s="2012"/>
      <c r="N9" s="2012"/>
      <c r="O9" s="2012"/>
      <c r="P9" s="2012"/>
      <c r="Q9" s="2012"/>
      <c r="R9" s="2012"/>
      <c r="S9" s="2012"/>
      <c r="T9" s="2012"/>
      <c r="U9" s="2012"/>
      <c r="V9" s="2012"/>
    </row>
    <row r="10" spans="1:22" ht="14.25">
      <c r="A10" s="3332" t="s">
        <v>309</v>
      </c>
      <c r="B10" s="3361">
        <v>15</v>
      </c>
      <c r="C10" s="3359"/>
      <c r="D10" s="3363"/>
      <c r="E10" s="261" t="s">
        <v>310</v>
      </c>
      <c r="F10" s="262"/>
      <c r="G10" s="262"/>
      <c r="H10" s="262"/>
      <c r="I10" s="263"/>
      <c r="J10" s="2013"/>
      <c r="K10" s="2012"/>
      <c r="L10" s="2012"/>
      <c r="M10" s="2012"/>
      <c r="N10" s="2012"/>
      <c r="O10" s="2012"/>
      <c r="P10" s="2012"/>
      <c r="Q10" s="2012"/>
      <c r="R10" s="2012"/>
      <c r="S10" s="2012"/>
      <c r="T10" s="2012"/>
      <c r="U10" s="2012"/>
      <c r="V10" s="2012"/>
    </row>
    <row r="11" spans="1:22" ht="14.25">
      <c r="A11" s="3332"/>
      <c r="B11" s="3361"/>
      <c r="C11" s="3360"/>
      <c r="D11" s="3363"/>
      <c r="E11" s="261" t="s">
        <v>311</v>
      </c>
      <c r="F11" s="262"/>
      <c r="G11" s="262"/>
      <c r="H11" s="262"/>
      <c r="I11" s="263"/>
      <c r="J11" s="2013"/>
      <c r="K11" s="2012"/>
      <c r="L11" s="2012"/>
      <c r="M11" s="2012"/>
      <c r="N11" s="2012"/>
      <c r="O11" s="2012"/>
      <c r="P11" s="2012"/>
      <c r="Q11" s="2012"/>
      <c r="R11" s="2012"/>
      <c r="S11" s="2012"/>
      <c r="T11" s="2012"/>
      <c r="U11" s="2012"/>
      <c r="V11" s="2012"/>
    </row>
    <row r="12" spans="1:22" ht="14.25">
      <c r="A12" s="3332" t="s">
        <v>312</v>
      </c>
      <c r="B12" s="3361">
        <v>15</v>
      </c>
      <c r="C12" s="3359"/>
      <c r="D12" s="3363"/>
      <c r="E12" s="261" t="s">
        <v>313</v>
      </c>
      <c r="F12" s="262"/>
      <c r="G12" s="262"/>
      <c r="H12" s="262"/>
      <c r="I12" s="263"/>
      <c r="J12" s="2013"/>
      <c r="K12" s="2012"/>
      <c r="L12" s="2012"/>
      <c r="M12" s="2012"/>
      <c r="N12" s="2012"/>
      <c r="O12" s="2012"/>
      <c r="P12" s="2012"/>
      <c r="Q12" s="2012"/>
      <c r="R12" s="2012"/>
      <c r="S12" s="2012"/>
      <c r="T12" s="2012"/>
      <c r="U12" s="2012"/>
      <c r="V12" s="2012"/>
    </row>
    <row r="13" spans="1:22" ht="14.25">
      <c r="A13" s="3332"/>
      <c r="B13" s="3361"/>
      <c r="C13" s="3360"/>
      <c r="D13" s="3363"/>
      <c r="E13" s="261" t="s">
        <v>314</v>
      </c>
      <c r="F13" s="262"/>
      <c r="G13" s="262"/>
      <c r="H13" s="262"/>
      <c r="I13" s="263"/>
      <c r="J13" s="2013"/>
      <c r="K13" s="2012"/>
      <c r="L13" s="2012"/>
      <c r="M13" s="2012"/>
      <c r="N13" s="2012"/>
      <c r="O13" s="2012"/>
      <c r="P13" s="2012"/>
      <c r="Q13" s="2012"/>
      <c r="R13" s="2012"/>
      <c r="S13" s="2012"/>
      <c r="T13" s="2012"/>
      <c r="U13" s="2012"/>
      <c r="V13" s="2012"/>
    </row>
    <row r="14" spans="1:22" ht="14.25">
      <c r="A14" s="3332" t="s">
        <v>315</v>
      </c>
      <c r="B14" s="3361">
        <v>30</v>
      </c>
      <c r="C14" s="3359"/>
      <c r="D14" s="3363"/>
      <c r="E14" s="261" t="s">
        <v>316</v>
      </c>
      <c r="F14" s="262"/>
      <c r="G14" s="262"/>
      <c r="H14" s="262"/>
      <c r="I14" s="263"/>
      <c r="J14" s="2013"/>
      <c r="K14" s="2012"/>
      <c r="L14" s="2012"/>
      <c r="M14" s="2012"/>
      <c r="N14" s="2012"/>
      <c r="O14" s="2012"/>
      <c r="P14" s="2012"/>
      <c r="Q14" s="2012"/>
      <c r="R14" s="2012"/>
      <c r="S14" s="2012"/>
      <c r="T14" s="2012"/>
      <c r="U14" s="2012"/>
      <c r="V14" s="2012"/>
    </row>
    <row r="15" spans="1:22" ht="14.25">
      <c r="A15" s="3332"/>
      <c r="B15" s="3361"/>
      <c r="C15" s="3362"/>
      <c r="D15" s="3363"/>
      <c r="E15" s="261" t="s">
        <v>317</v>
      </c>
      <c r="F15" s="262"/>
      <c r="G15" s="262"/>
      <c r="H15" s="262"/>
      <c r="I15" s="263"/>
      <c r="J15" s="2013"/>
      <c r="K15" s="2012"/>
      <c r="L15" s="2012"/>
      <c r="M15" s="2012"/>
      <c r="N15" s="2012"/>
      <c r="O15" s="2012"/>
      <c r="P15" s="2012"/>
      <c r="Q15" s="2012"/>
      <c r="R15" s="2012"/>
      <c r="S15" s="2012"/>
      <c r="T15" s="2012"/>
      <c r="U15" s="2012"/>
      <c r="V15" s="2012"/>
    </row>
    <row r="16" spans="1:22" ht="14.25">
      <c r="A16" s="3332"/>
      <c r="B16" s="3361"/>
      <c r="C16" s="3360"/>
      <c r="D16" s="3363"/>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0</v>
      </c>
      <c r="D17" s="265">
        <f>SUM(D5:D16)</f>
        <v>0</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t="e">
        <f>ROUND(C17/SUM(C17:D17),2)</f>
        <v>#DIV/0!</v>
      </c>
      <c r="D18" s="267" t="e">
        <f>1-C18</f>
        <v>#DIV/0!</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45" t="s">
        <v>326</v>
      </c>
      <c r="I21" s="311"/>
      <c r="J21" s="2012"/>
      <c r="K21" s="2012"/>
      <c r="L21" s="2012"/>
      <c r="M21" s="2012"/>
      <c r="N21" s="2012"/>
      <c r="O21" s="2012"/>
      <c r="P21" s="2012"/>
      <c r="Q21" s="2012"/>
      <c r="R21" s="2012"/>
      <c r="S21" s="2012"/>
      <c r="T21" s="2012"/>
      <c r="U21" s="2012"/>
      <c r="V21" s="2012"/>
    </row>
    <row r="22" spans="1:26" ht="15.75" thickBot="1">
      <c r="A22" s="126" t="s">
        <v>328</v>
      </c>
      <c r="B22" s="1246"/>
      <c r="C22" s="1247"/>
      <c r="D22" s="283" t="e">
        <f ca="1">IF(C19&lt;D19,D19/C19-1,C19/D19-1)</f>
        <v>#REF!</v>
      </c>
      <c r="E22" s="284"/>
      <c r="F22" s="285"/>
      <c r="G22" s="286" t="e">
        <f ca="1">ROUND(G19/('数据-汇总表'!D3/666.67),0)</f>
        <v>#REF!</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38"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39"/>
      <c r="B25" s="1315" t="s">
        <v>331</v>
      </c>
      <c r="C25" s="290">
        <f>IF(B30=0,0,C30)</f>
        <v>0</v>
      </c>
      <c r="D25" s="291"/>
      <c r="E25" s="311"/>
      <c r="F25" s="311"/>
      <c r="G25" s="311"/>
      <c r="H25" s="311"/>
      <c r="I25" s="311"/>
      <c r="J25" s="2012"/>
      <c r="K25" s="1249" t="e">
        <f ca="1">项目基本情况!B16&amp;"国有建设用地使用权价格："&amp;O38&amp;"万元"</f>
        <v>#REF!</v>
      </c>
      <c r="L25" s="1250"/>
      <c r="M25" s="1250"/>
      <c r="N25" s="1250"/>
      <c r="O25" s="1251"/>
      <c r="P25" s="2012"/>
      <c r="Q25" s="2012"/>
      <c r="R25" s="2012"/>
      <c r="S25" s="2012"/>
      <c r="T25" s="2012"/>
      <c r="U25" s="2012"/>
      <c r="V25" s="2012"/>
    </row>
    <row r="26" spans="1:26" s="1248" customFormat="1" ht="18">
      <c r="A26" s="293" t="s">
        <v>332</v>
      </c>
      <c r="B26" s="294" t="s">
        <v>333</v>
      </c>
      <c r="C26" s="294" t="s">
        <v>334</v>
      </c>
      <c r="D26" s="295" t="s">
        <v>335</v>
      </c>
      <c r="E26" s="311"/>
      <c r="F26" s="311"/>
      <c r="G26" s="311"/>
      <c r="H26" s="311"/>
      <c r="I26" s="311"/>
      <c r="J26" s="2012"/>
      <c r="K26" s="1252" t="e">
        <f ca="1">"大写金额：人民币"&amp;NUMBERSTRING(INT(O38*10000),2)&amp;"元整"</f>
        <v>#REF!</v>
      </c>
      <c r="L26" s="1246"/>
      <c r="M26" s="1246"/>
      <c r="N26" s="1246"/>
      <c r="O26" s="1245"/>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2" t="e">
        <f ca="1">"单位面积地价："&amp;M38&amp;"元/平方米"</f>
        <v>#REF!</v>
      </c>
      <c r="L27" s="1246"/>
      <c r="M27" s="1246"/>
      <c r="N27" s="1246"/>
      <c r="O27" s="1245"/>
      <c r="P27" s="2012"/>
      <c r="Q27" s="2012"/>
      <c r="R27" s="2012"/>
      <c r="S27" s="2012"/>
      <c r="T27" s="2012"/>
      <c r="U27" s="2012"/>
      <c r="V27" s="2012"/>
    </row>
    <row r="28" spans="1:26" ht="18.75" customHeight="1">
      <c r="A28" s="293"/>
      <c r="B28" s="294"/>
      <c r="C28" s="294"/>
      <c r="D28" s="295"/>
      <c r="E28" s="311"/>
      <c r="F28" s="311"/>
      <c r="G28" s="311"/>
      <c r="H28" s="311"/>
      <c r="I28" s="311"/>
      <c r="J28" s="2012"/>
      <c r="K28" s="1252" t="e">
        <f ca="1">"楼面地价："&amp;N38&amp;"元/平方米"</f>
        <v>#REF!</v>
      </c>
      <c r="L28" s="1246"/>
      <c r="M28" s="1246"/>
      <c r="N28" s="1246"/>
      <c r="O28" s="1245"/>
      <c r="P28" s="2012"/>
      <c r="V28" s="2012"/>
    </row>
    <row r="29" spans="1:26" ht="18">
      <c r="A29" s="293"/>
      <c r="B29" s="294"/>
      <c r="C29" s="294"/>
      <c r="D29" s="295"/>
      <c r="E29" s="311"/>
      <c r="F29" s="311"/>
      <c r="G29" s="311"/>
      <c r="H29" s="311"/>
      <c r="I29" s="311"/>
      <c r="J29" s="2012"/>
      <c r="K29" s="1252" t="str">
        <f>IF(OR(项目基本情况!E8="抵押价格",项目基本情况!E8="已注销及未注销"),"抵押价格："&amp;O39&amp;"万元","——")</f>
        <v>——</v>
      </c>
      <c r="L29" s="1246"/>
      <c r="M29" s="1246"/>
      <c r="N29" s="1246"/>
      <c r="O29" s="1245"/>
      <c r="P29" s="2012"/>
      <c r="V29" s="2012"/>
    </row>
    <row r="30" spans="1:26" ht="18.75" thickBot="1">
      <c r="A30" s="3074" t="s">
        <v>336</v>
      </c>
      <c r="B30" s="309"/>
      <c r="C30" s="309"/>
      <c r="D30" s="310"/>
      <c r="E30" s="3075" t="s">
        <v>2961</v>
      </c>
      <c r="F30" s="311"/>
      <c r="G30" s="311"/>
      <c r="H30" s="311"/>
      <c r="I30" s="311"/>
      <c r="J30" s="2012"/>
      <c r="K30" s="1252" t="str">
        <f>IF(K29="——","——","大写金额：人民币"&amp;NUMBERSTRING(INT(O39*10000),2)&amp;"元整")</f>
        <v>——</v>
      </c>
      <c r="L30" s="1246"/>
      <c r="M30" s="1246"/>
      <c r="N30" s="1246"/>
      <c r="O30" s="1245"/>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75" thickBot="1">
      <c r="A32" s="268" t="s">
        <v>337</v>
      </c>
      <c r="B32" s="1376" t="s">
        <v>1686</v>
      </c>
      <c r="C32" s="1377" t="e">
        <f ca="1">G19-C24</f>
        <v>#REF!</v>
      </c>
      <c r="D32" s="1378" t="s">
        <v>1687</v>
      </c>
      <c r="E32" s="311"/>
      <c r="F32" s="311"/>
      <c r="G32" s="311"/>
      <c r="H32" s="311"/>
      <c r="I32" s="311"/>
      <c r="J32" s="2012"/>
      <c r="K32" s="2426" t="e">
        <f>IF(K31="——","——","大写金额：人民币"&amp;NUMBERSTRING(INT(O40*10000),2)&amp;"元整")</f>
        <v>#VALUE!</v>
      </c>
      <c r="L32" s="2429"/>
      <c r="M32" s="2429"/>
      <c r="N32" s="2429"/>
      <c r="O32" s="2430"/>
      <c r="P32" s="2012"/>
      <c r="V32" s="2012"/>
    </row>
    <row r="33" spans="1:26" ht="18.75" thickBot="1">
      <c r="A33" s="298" t="s">
        <v>340</v>
      </c>
      <c r="B33" s="1379" t="s">
        <v>1688</v>
      </c>
      <c r="C33" s="264" t="e">
        <f ca="1">ROUND(C32*10000/'数据-汇总表'!E3,0)</f>
        <v>#REF!</v>
      </c>
      <c r="D33" s="1380" t="s">
        <v>1689</v>
      </c>
      <c r="E33" s="3338" t="s">
        <v>338</v>
      </c>
      <c r="F33" s="296" t="s">
        <v>339</v>
      </c>
      <c r="G33" s="297"/>
      <c r="H33" s="978"/>
      <c r="I33" s="1253"/>
      <c r="J33" s="2012"/>
      <c r="K33" s="1252" t="str">
        <f>IF(项目基本情况!E9="——","——","抵押净值："&amp;C46&amp;"万元")</f>
        <v>抵押净值：——万元</v>
      </c>
      <c r="L33" s="1246"/>
      <c r="M33" s="1246"/>
      <c r="N33" s="1246"/>
      <c r="O33" s="1245"/>
      <c r="P33" s="2012"/>
      <c r="V33" s="2012"/>
    </row>
    <row r="34" spans="1:26" s="1248" customFormat="1" ht="18.75" thickBot="1">
      <c r="A34" s="300"/>
      <c r="B34" s="1381" t="s">
        <v>1690</v>
      </c>
      <c r="C34" s="264" t="e">
        <f ca="1">ROUND(C32*10000/'数据-汇总表'!D3,0)</f>
        <v>#REF!</v>
      </c>
      <c r="D34" s="1382" t="s">
        <v>1689</v>
      </c>
      <c r="E34" s="3379"/>
      <c r="F34" s="127" t="s">
        <v>341</v>
      </c>
      <c r="G34" s="299"/>
      <c r="H34" s="105"/>
      <c r="I34" s="311"/>
      <c r="J34" s="2012"/>
      <c r="K34" s="1255" t="e">
        <f>IF(K33="——","——","大写金额：人民币"&amp;NUMBERSTRING(INT(O41*10000),2)&amp;"元整")</f>
        <v>#VALUE!</v>
      </c>
      <c r="L34" s="1256"/>
      <c r="M34" s="1256"/>
      <c r="N34" s="1256"/>
      <c r="O34" s="1257"/>
      <c r="P34" s="2012"/>
      <c r="Q34" s="292"/>
      <c r="R34" s="292"/>
      <c r="S34" s="292"/>
      <c r="T34" s="292"/>
      <c r="U34" s="292"/>
      <c r="V34" s="2012"/>
      <c r="W34" s="292"/>
      <c r="X34" s="292"/>
      <c r="Y34" s="292"/>
      <c r="Z34" s="292"/>
    </row>
    <row r="35" spans="1:26" ht="15.75" thickBot="1">
      <c r="A35" s="284"/>
      <c r="B35" s="1383"/>
      <c r="C35" s="1384" t="e">
        <f ca="1">ROUND(C32/('数据-汇总表'!D3/666.67),0)</f>
        <v>#REF!</v>
      </c>
      <c r="D35" s="1385" t="s">
        <v>1691</v>
      </c>
      <c r="E35" s="3380"/>
      <c r="F35" s="301" t="s">
        <v>342</v>
      </c>
      <c r="G35" s="980"/>
      <c r="H35" s="979" t="s">
        <v>343</v>
      </c>
      <c r="I35" s="311"/>
      <c r="J35" s="2012"/>
      <c r="K35" s="3356" t="s">
        <v>350</v>
      </c>
      <c r="L35" s="3356" t="s">
        <v>351</v>
      </c>
      <c r="M35" s="1258" t="s">
        <v>352</v>
      </c>
      <c r="N35" s="3356" t="s">
        <v>353</v>
      </c>
      <c r="O35" s="3356" t="s">
        <v>354</v>
      </c>
      <c r="P35" s="2012"/>
      <c r="V35" s="2012"/>
    </row>
    <row r="36" spans="1:26" ht="16.5" customHeight="1">
      <c r="A36" s="303" t="s">
        <v>344</v>
      </c>
      <c r="B36" s="304" t="s">
        <v>333</v>
      </c>
      <c r="C36" s="305" t="s">
        <v>345</v>
      </c>
      <c r="D36" s="305" t="s">
        <v>346</v>
      </c>
      <c r="E36" s="306" t="s">
        <v>347</v>
      </c>
      <c r="F36" s="311"/>
      <c r="G36" s="311"/>
      <c r="H36" s="311"/>
      <c r="I36" s="311"/>
      <c r="J36" s="2014"/>
      <c r="K36" s="3357"/>
      <c r="L36" s="3357"/>
      <c r="M36" s="1260" t="s">
        <v>355</v>
      </c>
      <c r="N36" s="3357"/>
      <c r="O36" s="3357"/>
      <c r="P36" s="2012"/>
      <c r="V36" s="2012"/>
    </row>
    <row r="37" spans="1:26" ht="16.5" customHeight="1" thickBot="1">
      <c r="A37" s="1254" t="s">
        <v>348</v>
      </c>
      <c r="B37" s="307"/>
      <c r="C37" s="294"/>
      <c r="D37" s="294"/>
      <c r="E37" s="295"/>
      <c r="F37" s="311"/>
      <c r="G37" s="311"/>
      <c r="H37" s="311"/>
      <c r="I37" s="311"/>
      <c r="J37" s="2014"/>
      <c r="K37" s="3358"/>
      <c r="L37" s="3358"/>
      <c r="M37" s="1261"/>
      <c r="N37" s="3358"/>
      <c r="O37" s="3358"/>
      <c r="P37" s="2012"/>
      <c r="V37" s="2012"/>
    </row>
    <row r="38" spans="1:26" ht="16.5" customHeight="1" thickBot="1">
      <c r="A38" s="1254" t="s">
        <v>349</v>
      </c>
      <c r="B38" s="307"/>
      <c r="C38" s="294"/>
      <c r="D38" s="294"/>
      <c r="E38" s="295"/>
      <c r="F38" s="311"/>
      <c r="G38" s="311"/>
      <c r="H38" s="311"/>
      <c r="I38" s="311"/>
      <c r="J38" s="2014"/>
      <c r="K38" s="1262">
        <f>'数据-汇总表'!D3</f>
        <v>96343.56</v>
      </c>
      <c r="L38" s="1263">
        <f>'数据-汇总表'!E3</f>
        <v>96343.56</v>
      </c>
      <c r="M38" s="1263" t="e">
        <f ca="1">C34</f>
        <v>#REF!</v>
      </c>
      <c r="N38" s="1263" t="e">
        <f ca="1">C33</f>
        <v>#REF!</v>
      </c>
      <c r="O38" s="1264" t="e">
        <f ca="1">C32</f>
        <v>#REF!</v>
      </c>
      <c r="P38" s="2012"/>
      <c r="V38" s="2012"/>
    </row>
    <row r="39" spans="1:26" ht="16.5" customHeight="1" thickBot="1">
      <c r="A39" s="1259"/>
      <c r="B39" s="308"/>
      <c r="C39" s="309"/>
      <c r="D39" s="309"/>
      <c r="E39" s="310"/>
      <c r="F39" s="311"/>
      <c r="G39" s="311"/>
      <c r="H39" s="311"/>
      <c r="I39" s="311"/>
      <c r="J39" s="2014"/>
      <c r="K39" s="3393" t="str">
        <f>MID(A44,3,LEN(A44)-2)</f>
        <v/>
      </c>
      <c r="L39" s="3394"/>
      <c r="M39" s="3394"/>
      <c r="N39" s="3395"/>
      <c r="O39" s="1387" t="str">
        <f>C44</f>
        <v>——</v>
      </c>
      <c r="P39" s="2012"/>
      <c r="V39" s="2012"/>
    </row>
    <row r="40" spans="1:26" ht="19.5" thickBot="1">
      <c r="A40" s="104" t="s">
        <v>871</v>
      </c>
      <c r="B40" s="311"/>
      <c r="C40" s="311"/>
      <c r="D40" s="311"/>
      <c r="E40" s="311"/>
      <c r="F40" s="311"/>
      <c r="G40" s="311"/>
      <c r="H40" s="311"/>
      <c r="I40" s="311"/>
      <c r="J40" s="2014"/>
      <c r="K40" s="3393" t="str">
        <f t="shared" ref="K40:K41" si="0">MID(A45,3,LEN(A45)-2)</f>
        <v/>
      </c>
      <c r="L40" s="3394"/>
      <c r="M40" s="3394"/>
      <c r="N40" s="3395"/>
      <c r="O40" s="1387" t="str">
        <f>C45</f>
        <v>——</v>
      </c>
      <c r="P40" s="2012"/>
      <c r="V40" s="2012"/>
    </row>
    <row r="41" spans="1:26" ht="16.5" thickBot="1">
      <c r="A41" s="312" t="s">
        <v>356</v>
      </c>
      <c r="B41" s="313"/>
      <c r="C41" s="314" t="s">
        <v>357</v>
      </c>
      <c r="D41" s="315" t="s">
        <v>358</v>
      </c>
      <c r="E41" s="315" t="s">
        <v>359</v>
      </c>
      <c r="F41" s="316" t="s">
        <v>360</v>
      </c>
      <c r="G41" s="311"/>
      <c r="H41" s="311"/>
      <c r="I41" s="311"/>
      <c r="J41" s="2014"/>
      <c r="K41" s="3393" t="str">
        <f t="shared" si="0"/>
        <v/>
      </c>
      <c r="L41" s="3394"/>
      <c r="M41" s="3394"/>
      <c r="N41" s="3395"/>
      <c r="O41" s="1387" t="str">
        <f>C46</f>
        <v>——</v>
      </c>
      <c r="P41" s="2012"/>
      <c r="V41" s="2012"/>
    </row>
    <row r="42" spans="1:26" ht="29.25">
      <c r="A42" s="3340" t="s">
        <v>2063</v>
      </c>
      <c r="B42" s="3341"/>
      <c r="C42" s="264" t="e">
        <f ca="1">C32</f>
        <v>#REF!</v>
      </c>
      <c r="D42" s="317" t="e">
        <f ca="1">C33</f>
        <v>#REF!</v>
      </c>
      <c r="E42" s="317" t="e">
        <f ca="1">C34</f>
        <v>#REF!</v>
      </c>
      <c r="F42" s="318" t="e">
        <f ca="1">C35</f>
        <v>#REF!</v>
      </c>
      <c r="G42" s="311"/>
      <c r="H42" s="311"/>
      <c r="I42" s="319"/>
      <c r="J42" s="2014"/>
      <c r="K42" s="1265" t="s">
        <v>361</v>
      </c>
      <c r="L42" s="2031" t="s">
        <v>362</v>
      </c>
      <c r="M42" s="1266" t="s">
        <v>363</v>
      </c>
      <c r="N42" s="2032" t="s">
        <v>364</v>
      </c>
      <c r="O42" s="2033" t="s">
        <v>365</v>
      </c>
      <c r="P42" s="2012"/>
      <c r="V42" s="2012"/>
    </row>
    <row r="43" spans="1:26" ht="18">
      <c r="A43" s="3351" t="s">
        <v>2724</v>
      </c>
      <c r="B43" s="3352"/>
      <c r="C43" s="264">
        <f>IF(H33="正常操作",G33+G34+G35,G34+G35)</f>
        <v>0</v>
      </c>
      <c r="D43" s="317" t="s">
        <v>43</v>
      </c>
      <c r="E43" s="317" t="s">
        <v>44</v>
      </c>
      <c r="F43" s="318" t="s">
        <v>44</v>
      </c>
      <c r="G43" s="2820" t="s">
        <v>950</v>
      </c>
      <c r="H43" s="311"/>
      <c r="I43" s="319"/>
      <c r="J43" s="2014"/>
      <c r="K43" s="1267">
        <f>C4</f>
        <v>0</v>
      </c>
      <c r="L43" s="1268" t="e">
        <f ca="1">IF(L42="估价结果/万元",C19,C20)</f>
        <v>#REF!</v>
      </c>
      <c r="M43" s="1269" t="e">
        <f>C18</f>
        <v>#DIV/0!</v>
      </c>
      <c r="N43" s="1270" t="e">
        <f ca="1">IF(N42="测算结果/万元",G19,G20)</f>
        <v>#REF!</v>
      </c>
      <c r="O43" s="1271" t="e">
        <f ca="1">IF(O42="最终结果/万元",C32,C33)</f>
        <v>#REF!</v>
      </c>
      <c r="P43" s="2012"/>
      <c r="V43" s="2012"/>
    </row>
    <row r="44" spans="1:26" ht="18.75" thickBot="1">
      <c r="A44" s="3340" t="str">
        <f>IF(OR(项目基本情况!E8="抵押价格",项目基本情况!E8="已注销及未注销"),"3.抵押价格","——")</f>
        <v>——</v>
      </c>
      <c r="B44" s="3341"/>
      <c r="C44" s="264" t="str">
        <f>IF(A44="——","——",C42-C43)</f>
        <v>——</v>
      </c>
      <c r="D44" s="317" t="e">
        <f>ROUND(C44*10000/'数据-汇总表'!E3,0)</f>
        <v>#VALUE!</v>
      </c>
      <c r="E44" s="317" t="e">
        <f>ROUND(C44*10000/'数据-汇总表'!D3,0)</f>
        <v>#VALUE!</v>
      </c>
      <c r="F44" s="318" t="e">
        <f>ROUND(C44/('数据-汇总表'!D3/666.67),0)</f>
        <v>#VALUE!</v>
      </c>
      <c r="G44" s="311"/>
      <c r="H44" s="311"/>
      <c r="I44" s="319"/>
      <c r="J44" s="2014"/>
      <c r="K44" s="1272">
        <f>D4</f>
        <v>0</v>
      </c>
      <c r="L44" s="1273" t="e">
        <f ca="1">IF(L42="估价结果/万元",D19,D20)</f>
        <v>#REF!</v>
      </c>
      <c r="M44" s="1274" t="e">
        <f>D18</f>
        <v>#DIV/0!</v>
      </c>
      <c r="N44" s="1275"/>
      <c r="O44" s="1276"/>
      <c r="P44" s="2012"/>
      <c r="V44" s="2012"/>
    </row>
    <row r="45" spans="1:26" ht="15">
      <c r="A45" s="3346" t="str">
        <f>IF(项目基本情况!E8="已注销及未注销","4.抵押担保权已注销时的抵押价格",IF(项目基本情况!E8="已注销","3.抵押担保权已注销时的抵押价格","——"))</f>
        <v>——</v>
      </c>
      <c r="B45" s="3347"/>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42" t="str">
        <f>IF(项目基本情况!E9="抵押净值",IF(A45="——","4.抵押净值","5.抵押净值"),"——")</f>
        <v>——</v>
      </c>
      <c r="B46" s="3343"/>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7"/>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87" t="s">
        <v>374</v>
      </c>
      <c r="B63" s="3388"/>
      <c r="C63" s="3389"/>
      <c r="D63" s="341" t="e">
        <f ca="1">ROUND(C42*F63,0)</f>
        <v>#REF!</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48" t="s">
        <v>378</v>
      </c>
      <c r="B64" s="3349"/>
      <c r="C64" s="3349"/>
      <c r="D64" s="3349"/>
      <c r="E64" s="3349"/>
      <c r="F64" s="3349"/>
      <c r="G64" s="3350"/>
      <c r="H64" s="1282"/>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2"/>
      <c r="I65" s="947"/>
      <c r="J65" s="1974"/>
      <c r="K65" s="1283"/>
      <c r="L65" s="1284"/>
      <c r="M65" s="1284"/>
      <c r="N65" s="1316" t="s">
        <v>379</v>
      </c>
      <c r="O65" s="1317"/>
      <c r="P65" s="1318"/>
      <c r="Q65" s="2012"/>
      <c r="R65" s="2012"/>
      <c r="S65" s="2012"/>
      <c r="T65" s="2012"/>
      <c r="U65" s="2012"/>
      <c r="V65" s="2012"/>
    </row>
    <row r="66" spans="1:22" ht="25.5">
      <c r="A66" s="3344" t="s">
        <v>386</v>
      </c>
      <c r="B66" s="3345"/>
      <c r="C66" s="3345"/>
      <c r="D66" s="261" t="e">
        <f ca="1">IF(H66="情况1",0,IF(H66="情况2",D70,IF(H66="情况3",D71,IF(H66="情况4",D72))))</f>
        <v>#REF!</v>
      </c>
      <c r="E66" s="991" t="str">
        <f>IF(H66="情况4","(销售额-原购置价)×税（费）率","销售额×税（费）率")</f>
        <v>销售额×税（费）率</v>
      </c>
      <c r="F66" s="350">
        <f>IF(H66="情况1","免征",'数据-取费表'!B41)</f>
        <v>5.5000000000000007E-2</v>
      </c>
      <c r="G66" s="351" t="s">
        <v>387</v>
      </c>
      <c r="H66" s="191" t="s">
        <v>388</v>
      </c>
      <c r="I66" s="1282"/>
      <c r="J66" s="2018"/>
      <c r="K66" s="1285">
        <v>1</v>
      </c>
      <c r="L66" s="3402" t="s">
        <v>385</v>
      </c>
      <c r="M66" s="3403"/>
      <c r="N66" s="2421"/>
      <c r="O66" s="2422"/>
      <c r="P66" s="2423"/>
      <c r="Q66" s="2012"/>
      <c r="R66" s="2012"/>
      <c r="S66" s="2012"/>
      <c r="T66" s="2012"/>
      <c r="U66" s="2012"/>
      <c r="V66" s="2012"/>
    </row>
    <row r="67" spans="1:22" ht="25.5" customHeight="1">
      <c r="A67" s="352" t="s">
        <v>390</v>
      </c>
      <c r="B67" s="3335" t="s">
        <v>391</v>
      </c>
      <c r="C67" s="3335"/>
      <c r="D67" s="353">
        <v>0</v>
      </c>
      <c r="E67" s="41" t="s">
        <v>392</v>
      </c>
      <c r="F67" s="62" t="s">
        <v>21</v>
      </c>
      <c r="G67" s="3390"/>
      <c r="H67" s="311"/>
      <c r="I67" s="1286"/>
      <c r="J67" s="2019"/>
      <c r="K67" s="1960">
        <v>2</v>
      </c>
      <c r="L67" s="3396" t="s">
        <v>389</v>
      </c>
      <c r="M67" s="3396"/>
      <c r="N67" s="1319">
        <f>'数据-取费表'!B2</f>
        <v>44001</v>
      </c>
      <c r="O67" s="1319"/>
      <c r="P67" s="1319"/>
      <c r="Q67" s="2012"/>
      <c r="R67" s="2012"/>
      <c r="S67" s="2012"/>
      <c r="T67" s="2012"/>
      <c r="U67" s="2012"/>
      <c r="V67" s="2012"/>
    </row>
    <row r="68" spans="1:22" ht="25.5" customHeight="1">
      <c r="A68" s="354"/>
      <c r="B68" s="3335" t="s">
        <v>394</v>
      </c>
      <c r="C68" s="3335"/>
      <c r="D68" s="355"/>
      <c r="E68" s="77"/>
      <c r="F68" s="356"/>
      <c r="G68" s="3391"/>
      <c r="H68" s="311"/>
      <c r="I68" s="1286"/>
      <c r="J68" s="2019"/>
      <c r="K68" s="1960">
        <v>3</v>
      </c>
      <c r="L68" s="3396" t="s">
        <v>393</v>
      </c>
      <c r="M68" s="3396"/>
      <c r="N68" s="1287" t="e">
        <f ca="1">C42</f>
        <v>#REF!</v>
      </c>
      <c r="O68" s="1287"/>
      <c r="P68" s="1287"/>
      <c r="Q68" s="2012"/>
      <c r="R68" s="2012"/>
      <c r="S68" s="2012"/>
      <c r="T68" s="2012"/>
      <c r="U68" s="2012"/>
      <c r="V68" s="2012"/>
    </row>
    <row r="69" spans="1:22" ht="12" customHeight="1">
      <c r="A69" s="357"/>
      <c r="B69" s="3335" t="s">
        <v>395</v>
      </c>
      <c r="C69" s="3335"/>
      <c r="D69" s="358"/>
      <c r="E69" s="73"/>
      <c r="F69" s="356"/>
      <c r="G69" s="3392"/>
      <c r="H69" s="311"/>
      <c r="I69" s="1286"/>
      <c r="J69" s="2019"/>
      <c r="K69" s="1288">
        <v>4</v>
      </c>
      <c r="L69" s="3406" t="s">
        <v>2875</v>
      </c>
      <c r="M69" s="3407"/>
      <c r="N69" s="1289" t="str">
        <f>C44</f>
        <v>——</v>
      </c>
      <c r="O69" s="1289"/>
      <c r="P69" s="1289"/>
      <c r="Q69" s="2012"/>
      <c r="R69" s="2012"/>
      <c r="S69" s="2012"/>
      <c r="T69" s="2012"/>
      <c r="U69" s="2012"/>
      <c r="V69" s="2012"/>
    </row>
    <row r="70" spans="1:22" ht="24" customHeight="1">
      <c r="A70" s="359" t="s">
        <v>396</v>
      </c>
      <c r="B70" s="3335" t="s">
        <v>397</v>
      </c>
      <c r="C70" s="3335"/>
      <c r="D70" s="358" t="e">
        <f ca="1">ROUND(D63*'数据-取费表'!B41/(1+'数据-取费表'!C42),0)</f>
        <v>#REF!</v>
      </c>
      <c r="E70" s="17" t="s">
        <v>398</v>
      </c>
      <c r="F70" s="360">
        <f>'数据-取费表'!B41</f>
        <v>5.5000000000000007E-2</v>
      </c>
      <c r="G70" s="361"/>
      <c r="H70" s="311"/>
      <c r="I70" s="1286"/>
      <c r="J70" s="2019"/>
      <c r="K70" s="3006"/>
      <c r="L70" s="3007"/>
      <c r="M70" s="3007"/>
      <c r="N70" s="3008" t="s">
        <v>2880</v>
      </c>
      <c r="O70" s="3007"/>
      <c r="P70" s="3009"/>
      <c r="Q70" s="2012"/>
      <c r="R70" s="2012"/>
      <c r="S70" s="2012"/>
      <c r="T70" s="2012"/>
      <c r="U70" s="2012"/>
      <c r="V70" s="2012"/>
    </row>
    <row r="71" spans="1:22" ht="12" customHeight="1">
      <c r="A71" s="359" t="s">
        <v>404</v>
      </c>
      <c r="B71" s="3336" t="s">
        <v>405</v>
      </c>
      <c r="C71" s="3337"/>
      <c r="D71" s="358" t="e">
        <f ca="1">ROUND(D63*'数据-取费表'!B41/(1+'数据-取费表'!C42),0)</f>
        <v>#REF!</v>
      </c>
      <c r="E71" s="17" t="s">
        <v>398</v>
      </c>
      <c r="F71" s="360">
        <f>'数据-取费表'!B41</f>
        <v>5.5000000000000007E-2</v>
      </c>
      <c r="G71" s="361"/>
      <c r="H71" s="311"/>
      <c r="I71" s="1286"/>
      <c r="J71" s="2019"/>
      <c r="K71" s="3005" t="s">
        <v>399</v>
      </c>
      <c r="L71" s="3408" t="s">
        <v>400</v>
      </c>
      <c r="M71" s="3408"/>
      <c r="N71" s="3005" t="s">
        <v>401</v>
      </c>
      <c r="O71" s="3005" t="s">
        <v>402</v>
      </c>
      <c r="P71" s="3005" t="s">
        <v>403</v>
      </c>
      <c r="Q71" s="2012"/>
      <c r="R71" s="2012"/>
      <c r="S71" s="2012"/>
      <c r="T71" s="2012"/>
      <c r="U71" s="2012"/>
      <c r="V71" s="2012"/>
    </row>
    <row r="72" spans="1:22" ht="12" customHeight="1">
      <c r="A72" s="359" t="s">
        <v>407</v>
      </c>
      <c r="B72" s="3336" t="s">
        <v>408</v>
      </c>
      <c r="C72" s="3337"/>
      <c r="D72" s="358" t="e">
        <f ca="1">C86</f>
        <v>#REF!</v>
      </c>
      <c r="E72" s="73" t="s">
        <v>409</v>
      </c>
      <c r="F72" s="360">
        <f>'数据-取费表'!B41</f>
        <v>5.5000000000000007E-2</v>
      </c>
      <c r="G72" s="361"/>
      <c r="H72" s="1292"/>
      <c r="I72" s="1286"/>
      <c r="J72" s="2019"/>
      <c r="K72" s="1960">
        <v>1</v>
      </c>
      <c r="L72" s="3383" t="s">
        <v>406</v>
      </c>
      <c r="M72" s="3383"/>
      <c r="N72" s="1290" t="e">
        <f ca="1">D66</f>
        <v>#REF!</v>
      </c>
      <c r="O72" s="1843" t="str">
        <f>E66</f>
        <v>销售额×税（费）率</v>
      </c>
      <c r="P72" s="1291">
        <f>F66</f>
        <v>5.5000000000000007E-2</v>
      </c>
      <c r="Q72" s="2012"/>
      <c r="R72" s="2012"/>
      <c r="S72" s="2012"/>
      <c r="T72" s="2012"/>
      <c r="U72" s="2012"/>
      <c r="V72" s="2012"/>
    </row>
    <row r="73" spans="1:22" ht="24" customHeight="1">
      <c r="A73" s="3378" t="s">
        <v>411</v>
      </c>
      <c r="B73" s="3345"/>
      <c r="C73" s="3345"/>
      <c r="D73" s="362">
        <f>IF(H73="个人住宅",0,ROUND(D63*I73,0))</f>
        <v>0</v>
      </c>
      <c r="E73" s="17" t="s">
        <v>412</v>
      </c>
      <c r="F73" s="360" t="str">
        <f>IF(H73="正常",I73,"免征")</f>
        <v>免征</v>
      </c>
      <c r="G73" s="361"/>
      <c r="H73" s="191" t="s">
        <v>2450</v>
      </c>
      <c r="I73" s="360">
        <f>'数据-取费表'!B49</f>
        <v>5.0000000000000001E-4</v>
      </c>
      <c r="J73" s="2019"/>
      <c r="K73" s="1960">
        <v>2</v>
      </c>
      <c r="L73" s="3383" t="s">
        <v>410</v>
      </c>
      <c r="M73" s="3383"/>
      <c r="N73" s="1290">
        <f t="shared" ref="N73:P74" si="1">D73</f>
        <v>0</v>
      </c>
      <c r="O73" s="1843" t="str">
        <f t="shared" si="1"/>
        <v>销售额×税（费）率</v>
      </c>
      <c r="P73" s="1291" t="str">
        <f t="shared" si="1"/>
        <v>免征</v>
      </c>
      <c r="Q73" s="2012"/>
      <c r="R73" s="2012"/>
      <c r="S73" s="2012"/>
      <c r="T73" s="2012"/>
      <c r="U73" s="2012"/>
      <c r="V73" s="2012"/>
    </row>
    <row r="74" spans="1:22" ht="24.75">
      <c r="A74" s="3378" t="s">
        <v>415</v>
      </c>
      <c r="B74" s="3345"/>
      <c r="C74" s="3345"/>
      <c r="D74" s="362" t="e">
        <f ca="1">IF(H74="个人住宅",D75,D76)</f>
        <v>#REF!</v>
      </c>
      <c r="E74" s="17" t="s">
        <v>416</v>
      </c>
      <c r="F74" s="360" t="str">
        <f>IF(H74="正常",F76,"免征")</f>
        <v>——</v>
      </c>
      <c r="G74" s="981" t="s">
        <v>417</v>
      </c>
      <c r="H74" s="363" t="s">
        <v>413</v>
      </c>
      <c r="I74" s="42"/>
      <c r="J74" s="2019"/>
      <c r="K74" s="1960">
        <v>3</v>
      </c>
      <c r="L74" s="3383" t="s">
        <v>414</v>
      </c>
      <c r="M74" s="3383"/>
      <c r="N74" s="1290" t="e">
        <f t="shared" ca="1" si="1"/>
        <v>#REF!</v>
      </c>
      <c r="O74" s="1843" t="str">
        <f t="shared" si="1"/>
        <v>增值额×税（费）率</v>
      </c>
      <c r="P74" s="1293" t="str">
        <f t="shared" si="1"/>
        <v>——</v>
      </c>
      <c r="Q74" s="2012"/>
      <c r="R74" s="2012"/>
      <c r="S74" s="2012"/>
      <c r="T74" s="2012"/>
      <c r="U74" s="2012"/>
      <c r="V74" s="2012"/>
    </row>
    <row r="75" spans="1:22" ht="24">
      <c r="A75" s="359" t="s">
        <v>418</v>
      </c>
      <c r="B75" s="3333" t="s">
        <v>419</v>
      </c>
      <c r="C75" s="3366"/>
      <c r="D75" s="364">
        <v>0</v>
      </c>
      <c r="E75" s="41" t="s">
        <v>420</v>
      </c>
      <c r="F75" s="365"/>
      <c r="G75" s="361"/>
      <c r="H75" s="42"/>
      <c r="I75" s="42"/>
      <c r="J75" s="2019"/>
      <c r="K75" s="2998">
        <f>IF(H77="非个人房产","",4)</f>
        <v>4</v>
      </c>
      <c r="L75" s="3383" t="str">
        <f>IF(H77="非个人房产","——","个人所得税")</f>
        <v>个人所得税</v>
      </c>
      <c r="M75" s="3383"/>
      <c r="N75" s="1294" t="e">
        <f ca="1">D77</f>
        <v>#REF!</v>
      </c>
      <c r="O75" s="1856" t="str">
        <f>E77</f>
        <v>销售额×税（费）率</v>
      </c>
      <c r="P75" s="1295">
        <f>F77</f>
        <v>0.01</v>
      </c>
      <c r="Q75" s="2012"/>
      <c r="R75" s="2012"/>
      <c r="S75" s="2012"/>
      <c r="T75" s="2012"/>
      <c r="U75" s="2012"/>
      <c r="V75" s="2012"/>
    </row>
    <row r="76" spans="1:22" ht="24.75">
      <c r="A76" s="359" t="s">
        <v>396</v>
      </c>
      <c r="B76" s="3333" t="s">
        <v>422</v>
      </c>
      <c r="C76" s="3334"/>
      <c r="D76" s="362" t="e">
        <f ca="1">IF(H76="转让取得",C99,C115)</f>
        <v>#REF!</v>
      </c>
      <c r="E76" s="17" t="s">
        <v>423</v>
      </c>
      <c r="F76" s="53" t="s">
        <v>21</v>
      </c>
      <c r="G76" s="361"/>
      <c r="H76" s="363" t="s">
        <v>424</v>
      </c>
      <c r="I76" s="42"/>
      <c r="J76" s="2019"/>
      <c r="K76" s="2998" t="str">
        <f>IF(项目基本情况!K6="上海银行",IF(K75="",4,K75+1),"")</f>
        <v/>
      </c>
      <c r="L76" s="3398" t="str">
        <f>IF(项目基本情况!K6="上海银行","其他处置费用","")</f>
        <v/>
      </c>
      <c r="M76" s="3399"/>
      <c r="N76" s="1290" t="str">
        <f>IF(项目基本情况!K6="上海银行",N89,"")</f>
        <v/>
      </c>
      <c r="O76" s="3400" t="str">
        <f>IF(项目基本情况!K6="上海银行","包含处置中涉及的律师、诉讼、拍卖、评估等费用","")</f>
        <v/>
      </c>
      <c r="P76" s="3401"/>
      <c r="Q76" s="2012"/>
      <c r="R76" s="2012"/>
      <c r="S76" s="2012"/>
      <c r="T76" s="2012"/>
      <c r="U76" s="2012"/>
      <c r="V76" s="2012"/>
    </row>
    <row r="77" spans="1:22" ht="26.25" thickBot="1">
      <c r="A77" s="3385" t="s">
        <v>426</v>
      </c>
      <c r="B77" s="3386"/>
      <c r="C77" s="3386"/>
      <c r="D77" s="366" t="e">
        <f ca="1">IF(H77="非个人房产","——",IF(H77="个人住宅",0,ROUND(D63*I77,0)))</f>
        <v>#REF!</v>
      </c>
      <c r="E77" s="367" t="str">
        <f>IF(H77="非个人房产","——","销售额×税（费）率")</f>
        <v>销售额×税（费）率</v>
      </c>
      <c r="F77" s="368">
        <f>IF(H77="非个人房产","——",IF(H77="个人住宅","免征",I77))</f>
        <v>0.01</v>
      </c>
      <c r="G77" s="982" t="s">
        <v>417</v>
      </c>
      <c r="H77" s="363" t="s">
        <v>2876</v>
      </c>
      <c r="I77" s="369">
        <v>0.01</v>
      </c>
      <c r="J77" s="2019"/>
      <c r="K77" s="3384">
        <f>IF(AND(K75="",K76=""),4,IF(项目基本情况!K6="上海银行",K76+1,K75+1))</f>
        <v>5</v>
      </c>
      <c r="L77" s="3383" t="s">
        <v>2877</v>
      </c>
      <c r="M77" s="3004" t="s">
        <v>421</v>
      </c>
      <c r="N77" s="1296"/>
      <c r="O77" s="1297">
        <f ca="1">SUMIF(N72:N76,"&lt;9e307")</f>
        <v>0</v>
      </c>
      <c r="P77" s="1298"/>
      <c r="Q77" s="3002" t="e">
        <f ca="1">O77/N69</f>
        <v>#VALUE!</v>
      </c>
      <c r="R77" s="2012"/>
      <c r="S77" s="2012"/>
      <c r="T77" s="2012"/>
      <c r="U77" s="2012"/>
      <c r="V77" s="2012"/>
    </row>
    <row r="78" spans="1:22" ht="12" customHeight="1">
      <c r="A78" s="1299"/>
      <c r="B78" s="311"/>
      <c r="C78" s="311"/>
      <c r="D78" s="311"/>
      <c r="E78" s="42"/>
      <c r="F78" s="42"/>
      <c r="G78" s="42"/>
      <c r="H78" s="1001"/>
      <c r="I78" s="311"/>
      <c r="J78" s="2019"/>
      <c r="K78" s="3384"/>
      <c r="L78" s="3383"/>
      <c r="M78" s="3004" t="s">
        <v>425</v>
      </c>
      <c r="N78" s="1296"/>
      <c r="O78" s="1297" t="str">
        <f ca="1">NUMBERSTRING(INT(O77*10000),2)&amp;"元整"</f>
        <v>零元整</v>
      </c>
      <c r="P78" s="1298"/>
      <c r="Q78" s="2012"/>
      <c r="R78" s="2012"/>
      <c r="S78" s="2012"/>
      <c r="T78" s="2012"/>
      <c r="U78" s="2012"/>
      <c r="V78" s="2012"/>
    </row>
    <row r="79" spans="1:22" ht="13.5" thickBot="1">
      <c r="A79" s="3353" t="s">
        <v>427</v>
      </c>
      <c r="B79" s="3353"/>
      <c r="C79" s="3353"/>
      <c r="D79" s="3353"/>
      <c r="E79" s="3353"/>
      <c r="F79" s="42"/>
      <c r="G79" s="42"/>
      <c r="H79" s="1001"/>
      <c r="I79" s="311"/>
      <c r="J79" s="2019"/>
      <c r="K79" s="3404">
        <f>K77+1</f>
        <v>6</v>
      </c>
      <c r="L79" s="3383" t="s">
        <v>2878</v>
      </c>
      <c r="M79" s="3004" t="s">
        <v>421</v>
      </c>
      <c r="N79" s="1296"/>
      <c r="O79" s="1297" t="e">
        <f ca="1">N69-O77</f>
        <v>#VALUE!</v>
      </c>
      <c r="P79" s="1298"/>
      <c r="Q79" s="2012"/>
      <c r="R79" s="2012"/>
      <c r="S79" s="2012"/>
      <c r="T79" s="2012"/>
      <c r="U79" s="2012"/>
      <c r="V79" s="2012"/>
    </row>
    <row r="80" spans="1:22" ht="12.75">
      <c r="A80" s="3354" t="s">
        <v>428</v>
      </c>
      <c r="B80" s="3355"/>
      <c r="C80" s="992"/>
      <c r="D80" s="992" t="s">
        <v>429</v>
      </c>
      <c r="E80" s="370" t="s">
        <v>430</v>
      </c>
      <c r="F80" s="42"/>
      <c r="G80" s="42"/>
      <c r="H80" s="1001"/>
      <c r="I80" s="311"/>
      <c r="J80" s="2012"/>
      <c r="K80" s="3405"/>
      <c r="L80" s="3383"/>
      <c r="M80" s="3004" t="s">
        <v>425</v>
      </c>
      <c r="N80" s="1296"/>
      <c r="O80" s="1297" t="e">
        <f ca="1">NUMBERSTRING(INT(O79*10000),2)&amp;"元整"</f>
        <v>#VALUE!</v>
      </c>
      <c r="P80" s="1298"/>
      <c r="Q80" s="2012"/>
      <c r="R80" s="2012"/>
      <c r="S80" s="2012"/>
      <c r="T80" s="2012"/>
      <c r="U80" s="2012"/>
      <c r="V80" s="2012"/>
    </row>
    <row r="81" spans="1:26" ht="13.5" thickBot="1">
      <c r="A81" s="381" t="s">
        <v>1821</v>
      </c>
      <c r="B81" s="371" t="s">
        <v>431</v>
      </c>
      <c r="C81" s="372" t="e">
        <f ca="1">ROUND((C82+C83)/(1+'数据-取费表'!C42),0)</f>
        <v>#REF!</v>
      </c>
      <c r="D81" s="373"/>
      <c r="E81" s="374"/>
      <c r="F81" s="42"/>
      <c r="G81" s="42"/>
      <c r="H81" s="1001"/>
      <c r="I81" s="311"/>
      <c r="J81" s="2012"/>
      <c r="K81" s="2998">
        <f>K79+1</f>
        <v>7</v>
      </c>
      <c r="L81" s="3381" t="s">
        <v>2879</v>
      </c>
      <c r="M81" s="3382"/>
      <c r="N81" s="1300"/>
      <c r="O81" s="1301" t="e">
        <f ca="1">ROUND(O79*10000/'数据-汇总表'!E3,0)</f>
        <v>#VALUE!</v>
      </c>
      <c r="P81" s="1302"/>
      <c r="Q81" s="2012"/>
      <c r="R81" s="2012"/>
      <c r="S81" s="2012"/>
      <c r="T81" s="2012"/>
      <c r="U81" s="2012"/>
      <c r="V81" s="2012"/>
    </row>
    <row r="82" spans="1:26" ht="13.5" thickTop="1">
      <c r="A82" s="375" t="s">
        <v>1822</v>
      </c>
      <c r="B82" s="376" t="s">
        <v>432</v>
      </c>
      <c r="C82" s="377" t="e">
        <f ca="1">D63</f>
        <v>#REF!</v>
      </c>
      <c r="D82" s="378" t="s">
        <v>19</v>
      </c>
      <c r="E82" s="379"/>
      <c r="F82" s="42"/>
      <c r="G82" s="42"/>
      <c r="H82" s="1001"/>
      <c r="I82" s="311"/>
      <c r="J82" s="2012"/>
      <c r="K82" s="2012"/>
      <c r="L82" s="2012"/>
      <c r="M82" s="2012"/>
      <c r="N82" s="2012"/>
      <c r="O82" s="2012"/>
      <c r="P82" s="2012"/>
      <c r="Q82" s="2012"/>
      <c r="R82" s="2012"/>
      <c r="S82" s="2012"/>
      <c r="T82" s="2012"/>
      <c r="U82" s="2012"/>
      <c r="V82" s="2012"/>
    </row>
    <row r="83" spans="1:26" ht="12.75">
      <c r="A83" s="375" t="s">
        <v>1823</v>
      </c>
      <c r="B83" s="376" t="s">
        <v>433</v>
      </c>
      <c r="C83" s="380">
        <v>0</v>
      </c>
      <c r="D83" s="378"/>
      <c r="E83" s="379"/>
      <c r="F83" s="42"/>
      <c r="G83" s="42"/>
      <c r="H83" s="1001"/>
      <c r="I83" s="311"/>
      <c r="J83" s="2012"/>
      <c r="K83" s="3397" t="s">
        <v>2866</v>
      </c>
      <c r="L83" s="3010" t="s">
        <v>2867</v>
      </c>
      <c r="M83" s="3000" t="e">
        <f>IF(N69&gt;10000,N69*0.5%,IF(AND(N69&gt;1000,N69&lt;=10000),N69*1%,IF(AND(N69&gt;100,N69&lt;=1000),N69*3%,IF(AND(N69&gt;10,N69&lt;=100),N69*5%,N69*8%))))</f>
        <v>#VALUE!</v>
      </c>
      <c r="N83" s="53" t="e">
        <f>ROUND(M83,1)</f>
        <v>#VALUE!</v>
      </c>
      <c r="O83" s="3003"/>
      <c r="P83" s="2012"/>
      <c r="Q83" s="2012"/>
      <c r="R83" s="2012"/>
      <c r="S83" s="2012"/>
      <c r="T83" s="2012"/>
      <c r="U83" s="2012"/>
      <c r="V83" s="2012"/>
    </row>
    <row r="84" spans="1:26" ht="12.75">
      <c r="A84" s="381" t="s">
        <v>1824</v>
      </c>
      <c r="B84" s="382" t="s">
        <v>434</v>
      </c>
      <c r="C84" s="383">
        <v>2000</v>
      </c>
      <c r="D84" s="384" t="s">
        <v>19</v>
      </c>
      <c r="E84" s="3045" t="s">
        <v>2934</v>
      </c>
      <c r="F84" s="42"/>
      <c r="G84" s="42"/>
      <c r="H84" s="1001"/>
      <c r="I84" s="311"/>
      <c r="J84" s="2012"/>
      <c r="K84" s="3397"/>
      <c r="L84" s="3010" t="s">
        <v>2868</v>
      </c>
      <c r="M84" s="300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2" t="s">
        <v>2869</v>
      </c>
      <c r="P84" s="2012"/>
      <c r="Q84" s="2012"/>
      <c r="R84" s="2012"/>
      <c r="S84" s="2012"/>
      <c r="T84" s="2012"/>
      <c r="U84" s="2012"/>
      <c r="V84" s="2012"/>
    </row>
    <row r="85" spans="1:26" ht="12.75">
      <c r="A85" s="381" t="s">
        <v>1825</v>
      </c>
      <c r="B85" s="382" t="s">
        <v>435</v>
      </c>
      <c r="C85" s="385" t="e">
        <f ca="1">C81-C84</f>
        <v>#REF!</v>
      </c>
      <c r="D85" s="378" t="s">
        <v>19</v>
      </c>
      <c r="E85" s="379"/>
      <c r="F85" s="42"/>
      <c r="G85" s="42"/>
      <c r="H85" s="1001"/>
      <c r="I85" s="311"/>
      <c r="J85" s="2012"/>
      <c r="K85" s="3397"/>
      <c r="L85" s="3010" t="s">
        <v>2870</v>
      </c>
      <c r="M85" s="3000" t="e">
        <f>IF(N69&gt;1000,N69*0.1%,IF(AND(N69&gt;500,N69&lt;=1000),N69*0.5%,IF(AND(N69&gt;50,N69&lt;=500),N69*1%,IF(AND(N69&gt;1,N69&lt;=50),N69*1.5%))))</f>
        <v>#VALUE!</v>
      </c>
      <c r="N85" s="53" t="e">
        <f t="shared" si="2"/>
        <v>#VALUE!</v>
      </c>
      <c r="O85" s="2012" t="s">
        <v>2869</v>
      </c>
      <c r="P85" s="2012"/>
      <c r="Q85" s="2012"/>
      <c r="R85" s="2012"/>
      <c r="S85" s="2012"/>
      <c r="T85" s="2012"/>
      <c r="U85" s="2012"/>
      <c r="V85" s="2012"/>
    </row>
    <row r="86" spans="1:26" ht="13.5" thickBot="1">
      <c r="A86" s="386" t="s">
        <v>1826</v>
      </c>
      <c r="B86" s="387" t="s">
        <v>436</v>
      </c>
      <c r="C86" s="388" t="e">
        <f ca="1">IF(C85&lt;=0,0,ROUND(C85*D86,0))</f>
        <v>#REF!</v>
      </c>
      <c r="D86" s="389">
        <f>'数据-取费表'!B41</f>
        <v>5.5000000000000007E-2</v>
      </c>
      <c r="E86" s="390"/>
      <c r="F86" s="42"/>
      <c r="G86" s="42"/>
      <c r="H86" s="1001"/>
      <c r="I86" s="311"/>
      <c r="J86" s="2012"/>
      <c r="K86" s="3397"/>
      <c r="L86" s="3010" t="s">
        <v>2871</v>
      </c>
      <c r="M86" s="3000" t="e">
        <f>N69*0.5%</f>
        <v>#VALUE!</v>
      </c>
      <c r="N86" s="53" t="e">
        <f>IF(M86&gt;0.5,0.5,ROUND(M86,0))</f>
        <v>#VALUE!</v>
      </c>
      <c r="O86" s="2012" t="s">
        <v>2872</v>
      </c>
      <c r="P86" s="2012"/>
      <c r="Q86" s="2012"/>
      <c r="R86" s="2012"/>
      <c r="S86" s="2012"/>
      <c r="T86" s="2012"/>
      <c r="U86" s="2012"/>
      <c r="V86" s="2012"/>
    </row>
    <row r="87" spans="1:26" s="1248" customFormat="1" ht="14.25" customHeight="1">
      <c r="A87" s="1303"/>
      <c r="B87" s="1304"/>
      <c r="C87" s="1305"/>
      <c r="D87" s="1306"/>
      <c r="E87" s="1307"/>
      <c r="F87" s="42"/>
      <c r="G87" s="42"/>
      <c r="H87" s="1001"/>
      <c r="I87" s="311"/>
      <c r="J87" s="2012"/>
      <c r="K87" s="3397"/>
      <c r="L87" s="3010" t="s">
        <v>2873</v>
      </c>
      <c r="M87" s="300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3"/>
      <c r="P87" s="311"/>
      <c r="Q87" s="2012"/>
      <c r="R87" s="2012"/>
      <c r="S87" s="2012"/>
      <c r="T87" s="2012"/>
      <c r="U87" s="2012"/>
      <c r="V87" s="2012"/>
      <c r="W87" s="292"/>
      <c r="X87" s="292"/>
      <c r="Y87" s="292"/>
      <c r="Z87" s="292"/>
    </row>
    <row r="88" spans="1:26" s="1308" customFormat="1" ht="15" thickBot="1">
      <c r="A88" s="3376" t="s">
        <v>437</v>
      </c>
      <c r="B88" s="3377"/>
      <c r="C88" s="3377"/>
      <c r="D88" s="3377"/>
      <c r="E88" s="3377"/>
      <c r="F88" s="3377"/>
      <c r="G88" s="3377"/>
      <c r="H88" s="3377"/>
      <c r="I88" s="1309"/>
      <c r="J88" s="2020"/>
      <c r="K88" s="3397"/>
      <c r="L88" s="3010" t="s">
        <v>2874</v>
      </c>
      <c r="M88" s="3000" t="e">
        <f>IF(N69&gt;10000,N69*0.5%,IF(AND(N69&gt;5000,N69&lt;=10000),N69*1%,IF(AND(N69&gt;1000,N69&lt;=5000),N69*2%,IF(AND(N69&gt;200,N69&lt;=1000),N69*3%,N69*5%))))</f>
        <v>#VALUE!</v>
      </c>
      <c r="N88" s="53" t="e">
        <f>ROUND(M88,1)</f>
        <v>#VALUE!</v>
      </c>
      <c r="O88" s="3003"/>
      <c r="P88" s="11"/>
      <c r="Q88" s="2017"/>
      <c r="R88" s="2017"/>
      <c r="S88" s="2017"/>
      <c r="T88" s="2017"/>
      <c r="U88" s="2017"/>
      <c r="V88" s="2017"/>
      <c r="W88" s="2021"/>
      <c r="X88" s="2021"/>
      <c r="Y88" s="2021"/>
      <c r="Z88" s="2021"/>
    </row>
    <row r="89" spans="1:26" s="1308" customFormat="1" ht="14.25">
      <c r="A89" s="3354" t="s">
        <v>428</v>
      </c>
      <c r="B89" s="3355"/>
      <c r="C89" s="992"/>
      <c r="D89" s="992" t="s">
        <v>429</v>
      </c>
      <c r="E89" s="391" t="s">
        <v>438</v>
      </c>
      <c r="F89" s="392"/>
      <c r="G89" s="392"/>
      <c r="H89" s="393"/>
      <c r="I89" s="1310"/>
      <c r="J89" s="2022"/>
      <c r="K89" s="3397"/>
      <c r="L89" s="3010" t="s">
        <v>27</v>
      </c>
      <c r="M89" s="3001"/>
      <c r="N89" s="53" t="e">
        <f>ROUND(SUM(N83:N88),0)</f>
        <v>#VALUE!</v>
      </c>
      <c r="O89" s="3011" t="e">
        <f>N89/N69</f>
        <v>#VALUE!</v>
      </c>
      <c r="P89" s="2017"/>
      <c r="Q89" s="2017"/>
      <c r="R89" s="2017"/>
      <c r="S89" s="2017"/>
      <c r="T89" s="2017"/>
      <c r="U89" s="2017"/>
      <c r="V89" s="2017"/>
      <c r="W89" s="2021"/>
      <c r="X89" s="2021"/>
      <c r="Y89" s="2021"/>
      <c r="Z89" s="2021"/>
    </row>
    <row r="90" spans="1:26" s="1308" customFormat="1" ht="14.25">
      <c r="A90" s="381" t="s">
        <v>1821</v>
      </c>
      <c r="B90" s="382" t="s">
        <v>439</v>
      </c>
      <c r="C90" s="385" t="e">
        <f ca="1">ROUND(D63/(1+'数据-取费表'!C42),0)</f>
        <v>#REF!</v>
      </c>
      <c r="D90" s="378" t="s">
        <v>19</v>
      </c>
      <c r="E90" s="989"/>
      <c r="F90" s="988"/>
      <c r="G90" s="988"/>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1" t="s">
        <v>1827</v>
      </c>
      <c r="B91" s="348" t="s">
        <v>440</v>
      </c>
      <c r="C91" s="385" t="e">
        <f ca="1">C92+C96</f>
        <v>#REF!</v>
      </c>
      <c r="D91" s="378" t="s">
        <v>19</v>
      </c>
      <c r="E91" s="989"/>
      <c r="F91" s="988"/>
      <c r="G91" s="988"/>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1828</v>
      </c>
      <c r="B92" s="376" t="s">
        <v>441</v>
      </c>
      <c r="C92" s="378">
        <f>ROUND(IF(G95="2016年5月1日后购买",C93/(1+'数据-取费表'!C30)+C94+C95,C93+C94+C95),0)</f>
        <v>2561</v>
      </c>
      <c r="D92" s="378" t="s">
        <v>19</v>
      </c>
      <c r="E92" s="989"/>
      <c r="F92" s="988"/>
      <c r="G92" s="988"/>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5" t="s">
        <v>1829</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1830</v>
      </c>
      <c r="B94" s="400" t="s">
        <v>446</v>
      </c>
      <c r="C94" s="378">
        <f>IF(F93="购房发票",ROUND(C93*H93*5%,0),0)</f>
        <v>500</v>
      </c>
      <c r="D94" s="401">
        <v>0.05</v>
      </c>
      <c r="E94" s="3336" t="s">
        <v>447</v>
      </c>
      <c r="F94" s="3335"/>
      <c r="G94" s="3335"/>
      <c r="H94" s="3375"/>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1832</v>
      </c>
      <c r="B96" s="376" t="s">
        <v>450</v>
      </c>
      <c r="C96" s="405" t="e">
        <f ca="1">ROUND(D63*D96/(1+'数据-取费表'!C42),0)</f>
        <v>#REF!</v>
      </c>
      <c r="D96" s="406">
        <f>'数据-取费表'!B43</f>
        <v>5.000000000000001E-3</v>
      </c>
      <c r="E96" s="3367" t="s">
        <v>2423</v>
      </c>
      <c r="F96" s="3368"/>
      <c r="G96" s="3368"/>
      <c r="H96" s="3369"/>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1833</v>
      </c>
      <c r="B97" s="382" t="s">
        <v>451</v>
      </c>
      <c r="C97" s="385" t="e">
        <f ca="1">C90-C91</f>
        <v>#REF!</v>
      </c>
      <c r="D97" s="378" t="s">
        <v>19</v>
      </c>
      <c r="E97" s="989"/>
      <c r="F97" s="988"/>
      <c r="G97" s="988"/>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1834</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88"/>
      <c r="G98" s="988"/>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1835</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76" t="s">
        <v>454</v>
      </c>
      <c r="B101" s="3377"/>
      <c r="C101" s="3377"/>
      <c r="D101" s="3377"/>
      <c r="E101" s="3377"/>
      <c r="F101" s="3377"/>
      <c r="G101" s="3377"/>
      <c r="H101" s="3377"/>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54" t="s">
        <v>428</v>
      </c>
      <c r="B102" s="3355"/>
      <c r="C102" s="992"/>
      <c r="D102" s="992"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1" t="s">
        <v>1821</v>
      </c>
      <c r="B103" s="382" t="s">
        <v>439</v>
      </c>
      <c r="C103" s="385" t="e">
        <f ca="1">ROUND(D63/(1+'数据-取费表'!C42),0)</f>
        <v>#REF!</v>
      </c>
      <c r="D103" s="378" t="s">
        <v>19</v>
      </c>
      <c r="E103" s="989"/>
      <c r="F103" s="988"/>
      <c r="G103" s="988"/>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1" t="s">
        <v>1827</v>
      </c>
      <c r="B104" s="348" t="s">
        <v>440</v>
      </c>
      <c r="C104" s="385" t="e">
        <f ca="1">IF(H106="仅含出让金",C105+C108+C109+C110+C111+C112,C105+C109+C110+C111+C112)</f>
        <v>#REF!</v>
      </c>
      <c r="D104" s="415"/>
      <c r="E104" s="989"/>
      <c r="F104" s="988"/>
      <c r="G104" s="988"/>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5" t="s">
        <v>1828</v>
      </c>
      <c r="B105" s="376" t="s">
        <v>455</v>
      </c>
      <c r="C105" s="405">
        <f>C106+C107</f>
        <v>572</v>
      </c>
      <c r="D105" s="406"/>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5" t="s">
        <v>1829</v>
      </c>
      <c r="B106" s="376" t="s">
        <v>456</v>
      </c>
      <c r="C106" s="416">
        <v>555</v>
      </c>
      <c r="D106" s="406"/>
      <c r="E106" s="417" t="s">
        <v>457</v>
      </c>
      <c r="F106" s="984"/>
      <c r="G106" s="418" t="s">
        <v>458</v>
      </c>
      <c r="H106" s="419" t="s">
        <v>2434</v>
      </c>
      <c r="I106" s="11" t="s">
        <v>2992</v>
      </c>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5" t="s">
        <v>1830</v>
      </c>
      <c r="B107" s="376" t="s">
        <v>448</v>
      </c>
      <c r="C107" s="405">
        <f>ROUND(C106*D107,0)</f>
        <v>17</v>
      </c>
      <c r="D107" s="406">
        <f>'数据-取费表'!B48+'数据-取费表'!B49</f>
        <v>3.0499999999999999E-2</v>
      </c>
      <c r="E107" s="417"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5" t="s">
        <v>1832</v>
      </c>
      <c r="B108" s="376" t="s">
        <v>460</v>
      </c>
      <c r="C108" s="416"/>
      <c r="D108" s="406"/>
      <c r="E108" s="417" t="str">
        <f>IF(H106="-","土地取得成本中已包含该笔费用"," ")</f>
        <v xml:space="preserve"> </v>
      </c>
      <c r="F108" s="984"/>
      <c r="G108" s="3330" t="s">
        <v>2994</v>
      </c>
      <c r="H108" s="3331"/>
      <c r="I108" s="3185" t="s">
        <v>2993</v>
      </c>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1836</v>
      </c>
      <c r="B109" s="376" t="s">
        <v>461</v>
      </c>
      <c r="C109" s="405">
        <f>IF(H109="——",IF(F1="现房",'剩余法-现房'!C18,0),I109)</f>
        <v>0</v>
      </c>
      <c r="D109" s="406"/>
      <c r="E109" s="3370" t="s">
        <v>462</v>
      </c>
      <c r="F109" s="3368"/>
      <c r="G109" s="3368"/>
      <c r="H109" s="1925" t="s">
        <v>950</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1837</v>
      </c>
      <c r="B110" s="376" t="s">
        <v>463</v>
      </c>
      <c r="C110" s="405">
        <f>ROUND((C105+C108+C109)*D110,0)</f>
        <v>57</v>
      </c>
      <c r="D110" s="406">
        <v>0.1</v>
      </c>
      <c r="E110" s="3370" t="s">
        <v>464</v>
      </c>
      <c r="F110" s="3368"/>
      <c r="G110" s="3368"/>
      <c r="H110" s="3369"/>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1838</v>
      </c>
      <c r="B111" s="376" t="s">
        <v>450</v>
      </c>
      <c r="C111" s="405" t="e">
        <f ca="1">ROUND(D63*D111/(1+'数据-取费表'!C42),0)</f>
        <v>#REF!</v>
      </c>
      <c r="D111" s="406">
        <f>'数据-取费表'!B43</f>
        <v>5.000000000000001E-3</v>
      </c>
      <c r="E111" s="3367" t="s">
        <v>2423</v>
      </c>
      <c r="F111" s="3368"/>
      <c r="G111" s="3368"/>
      <c r="H111" s="3369"/>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1839</v>
      </c>
      <c r="B112" s="376" t="s">
        <v>465</v>
      </c>
      <c r="C112" s="405">
        <f>ROUND(C108*D112,0)</f>
        <v>0</v>
      </c>
      <c r="D112" s="406">
        <v>0.2</v>
      </c>
      <c r="E112" s="3370" t="s">
        <v>2448</v>
      </c>
      <c r="F112" s="3368"/>
      <c r="G112" s="3368"/>
      <c r="H112" s="3369"/>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1833</v>
      </c>
      <c r="B113" s="382" t="s">
        <v>451</v>
      </c>
      <c r="C113" s="385" t="e">
        <f ca="1">ROUND(C103-C104,0)</f>
        <v>#REF!</v>
      </c>
      <c r="D113" s="378" t="s">
        <v>19</v>
      </c>
      <c r="E113" s="989"/>
      <c r="F113" s="988"/>
      <c r="G113" s="988"/>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1834</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88"/>
      <c r="G114" s="988"/>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1835</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K14"/>
  <sheetViews>
    <sheetView workbookViewId="0">
      <selection activeCell="I20" sqref="I20"/>
    </sheetView>
  </sheetViews>
  <sheetFormatPr defaultRowHeight="13.5"/>
  <cols>
    <col min="4" max="4" width="0" hidden="1" customWidth="1"/>
    <col min="6" max="6" width="0" hidden="1" customWidth="1"/>
    <col min="7" max="7" width="27.125" customWidth="1"/>
  </cols>
  <sheetData>
    <row r="5" spans="3:11">
      <c r="C5" s="3239" t="s">
        <v>3175</v>
      </c>
      <c r="D5" s="3240"/>
      <c r="E5" s="3239" t="s">
        <v>3176</v>
      </c>
      <c r="F5" s="3240"/>
      <c r="G5" s="3239" t="s">
        <v>3180</v>
      </c>
      <c r="H5" s="3239" t="s">
        <v>3178</v>
      </c>
      <c r="I5" s="3240"/>
      <c r="J5" s="3240"/>
      <c r="K5" s="3240"/>
    </row>
    <row r="6" spans="3:11">
      <c r="C6" s="3240">
        <f ca="1">基准地价!C29</f>
        <v>2250</v>
      </c>
      <c r="D6" s="3240"/>
      <c r="E6" s="3240">
        <f ca="1">'剩余法-现房'!B3</f>
        <v>4050</v>
      </c>
      <c r="F6" s="3240"/>
      <c r="G6" s="3240">
        <f ca="1">ROUND((C6+E6)/2*(1-0.15),0)</f>
        <v>2678</v>
      </c>
      <c r="H6" s="3240">
        <v>0.4</v>
      </c>
      <c r="I6" s="3240"/>
      <c r="J6" s="3239" t="s">
        <v>3183</v>
      </c>
      <c r="K6" s="3239" t="s">
        <v>3179</v>
      </c>
    </row>
    <row r="7" spans="3:11">
      <c r="C7" s="3240"/>
      <c r="D7" s="3240"/>
      <c r="E7" s="3240"/>
      <c r="F7" s="3240"/>
      <c r="G7" s="3239" t="s">
        <v>3177</v>
      </c>
      <c r="H7" s="3240"/>
      <c r="I7" s="3240"/>
      <c r="J7" s="3240">
        <f ca="1">ROUND(G6*H6+G8*H8,0)</f>
        <v>3924</v>
      </c>
      <c r="K7" s="3241">
        <f ca="1">J7*667/10000</f>
        <v>261.73079999999999</v>
      </c>
    </row>
    <row r="8" spans="3:11">
      <c r="C8" s="3240"/>
      <c r="D8" s="3240"/>
      <c r="E8" s="3240"/>
      <c r="F8" s="3240"/>
      <c r="G8" s="3240">
        <f ca="1">成本逼近法!B3</f>
        <v>4755</v>
      </c>
      <c r="H8" s="3240">
        <v>0.6</v>
      </c>
      <c r="I8" s="3240"/>
      <c r="J8" s="3240"/>
      <c r="K8" s="3240"/>
    </row>
    <row r="11" spans="3:11">
      <c r="G11" s="3238" t="s">
        <v>3181</v>
      </c>
      <c r="J11">
        <f ca="1">ROUND(G12*H6+G8*H8,0)</f>
        <v>3874</v>
      </c>
      <c r="K11">
        <f ca="1">J11*667</f>
        <v>2583958</v>
      </c>
    </row>
    <row r="12" spans="3:11">
      <c r="G12">
        <f ca="1">ROUND((C6+E6)/2*(1-0.19),0)</f>
        <v>2552</v>
      </c>
      <c r="H12">
        <v>0.4</v>
      </c>
    </row>
    <row r="13" spans="3:11">
      <c r="G13" s="3238" t="s">
        <v>3182</v>
      </c>
    </row>
    <row r="14" spans="3:11">
      <c r="G14">
        <f ca="1">G8</f>
        <v>4755</v>
      </c>
      <c r="H14">
        <f>H8</f>
        <v>0.6</v>
      </c>
    </row>
  </sheetData>
  <phoneticPr fontId="22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B3" sqref="B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45816</v>
      </c>
      <c r="C2" s="2092"/>
      <c r="D2" s="2092"/>
      <c r="E2" s="2092"/>
      <c r="F2" s="2092"/>
      <c r="G2" s="2092"/>
    </row>
    <row r="3" spans="1:25" s="2043" customFormat="1" ht="18" customHeight="1">
      <c r="A3" s="1374" t="s">
        <v>1683</v>
      </c>
      <c r="B3" s="425">
        <f ca="1">ROUND(B2*10000/'数据-汇总表'!E3,0)</f>
        <v>4755</v>
      </c>
      <c r="C3" s="2092"/>
      <c r="D3" s="2092"/>
      <c r="E3" s="2092"/>
      <c r="F3" s="2092"/>
      <c r="G3" s="2092"/>
    </row>
    <row r="4" spans="1:25" s="2043" customFormat="1" ht="18" customHeight="1">
      <c r="A4" s="426" t="s">
        <v>468</v>
      </c>
      <c r="B4" s="427">
        <f ca="1">ROUND(B2*10000/'数据-汇总表'!D3,0)</f>
        <v>4755</v>
      </c>
      <c r="C4" s="2045"/>
      <c r="D4" s="2092"/>
      <c r="E4" s="2092"/>
      <c r="F4" s="2092"/>
      <c r="G4" s="2092"/>
    </row>
    <row r="5" spans="1:25" s="2043" customFormat="1" ht="18" customHeight="1" thickBot="1">
      <c r="A5" s="429"/>
      <c r="B5" s="430">
        <f ca="1">ROUND(B2/('数据-汇总表'!D3/666.67),0)</f>
        <v>317</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38176.532520877845</v>
      </c>
      <c r="D7" s="749"/>
      <c r="E7" s="750"/>
      <c r="F7" s="750"/>
      <c r="G7" s="2442" t="s">
        <v>3002</v>
      </c>
    </row>
    <row r="8" spans="1:25" s="2167" customFormat="1" ht="13.5" customHeight="1">
      <c r="A8" s="2432" t="s">
        <v>2435</v>
      </c>
      <c r="B8" s="2435" t="s">
        <v>2437</v>
      </c>
      <c r="C8" s="2436">
        <f>土地案例!P15*'数据-汇总表'!D3/10000</f>
        <v>38176.532520877845</v>
      </c>
      <c r="D8" s="749"/>
      <c r="E8" s="750"/>
      <c r="F8" s="750"/>
      <c r="G8" s="751"/>
    </row>
    <row r="9" spans="1:25" s="2167" customFormat="1" ht="13.5" customHeight="1">
      <c r="A9" s="2432" t="s">
        <v>2436</v>
      </c>
      <c r="B9" s="2435" t="s">
        <v>2438</v>
      </c>
      <c r="C9" s="2436"/>
      <c r="D9" s="749"/>
      <c r="E9" s="750"/>
      <c r="F9" s="750"/>
      <c r="G9" s="751"/>
    </row>
    <row r="10" spans="1:25" s="2167" customFormat="1" ht="36">
      <c r="A10" s="2432">
        <v>2</v>
      </c>
      <c r="B10" s="748" t="s">
        <v>613</v>
      </c>
      <c r="C10" s="749">
        <f>C11+C14+C15</f>
        <v>1926.8712</v>
      </c>
      <c r="D10" s="760">
        <f>'数据-汇总表'!E3</f>
        <v>96343.56</v>
      </c>
      <c r="E10" s="749">
        <f>'数据-取费表'!B31</f>
        <v>200</v>
      </c>
      <c r="F10" s="761"/>
      <c r="G10" s="759" t="s">
        <v>614</v>
      </c>
    </row>
    <row r="11" spans="1:25" s="2167" customFormat="1" ht="13.5" customHeight="1">
      <c r="A11" s="2432" t="s">
        <v>2435</v>
      </c>
      <c r="B11" s="752" t="s">
        <v>610</v>
      </c>
      <c r="C11" s="753">
        <f>'数据-取费表'!B29</f>
        <v>0</v>
      </c>
      <c r="D11" s="754"/>
      <c r="E11" s="753"/>
      <c r="F11" s="755"/>
      <c r="G11" s="2441" t="s">
        <v>2446</v>
      </c>
    </row>
    <row r="12" spans="1:25" s="2167" customFormat="1" ht="13.5" customHeight="1">
      <c r="A12" s="2439" t="s">
        <v>2443</v>
      </c>
      <c r="B12" s="756" t="s">
        <v>611</v>
      </c>
      <c r="C12" s="757">
        <f>ROUND(D12*E12/10000,0)</f>
        <v>0</v>
      </c>
      <c r="D12" s="758">
        <f>'数据-汇总表'!E5</f>
        <v>0</v>
      </c>
      <c r="E12" s="757">
        <f>'数据-取费表'!B27</f>
        <v>160</v>
      </c>
      <c r="F12" s="755"/>
      <c r="G12" s="759"/>
    </row>
    <row r="13" spans="1:25" s="2167" customFormat="1" ht="13.5" customHeight="1">
      <c r="A13" s="2439" t="s">
        <v>2442</v>
      </c>
      <c r="B13" s="756" t="s">
        <v>612</v>
      </c>
      <c r="C13" s="757">
        <f>ROUND(D13*E13/10000,0)</f>
        <v>1927</v>
      </c>
      <c r="D13" s="758">
        <f>'数据-汇总表'!E6</f>
        <v>96343.56</v>
      </c>
      <c r="E13" s="757">
        <f>'数据-取费表'!B28</f>
        <v>200</v>
      </c>
      <c r="F13" s="755"/>
      <c r="G13" s="759"/>
    </row>
    <row r="14" spans="1:25" s="2167" customFormat="1" ht="13.5" customHeight="1">
      <c r="A14" s="2432" t="s">
        <v>2436</v>
      </c>
      <c r="B14" s="2438" t="s">
        <v>2439</v>
      </c>
      <c r="C14" s="2436"/>
      <c r="D14" s="758"/>
      <c r="E14" s="757"/>
      <c r="F14" s="2437"/>
      <c r="G14" s="2440" t="s">
        <v>2444</v>
      </c>
    </row>
    <row r="15" spans="1:25" s="2167" customFormat="1" ht="13.5" customHeight="1">
      <c r="A15" s="2432" t="s">
        <v>2441</v>
      </c>
      <c r="B15" s="2438" t="s">
        <v>2440</v>
      </c>
      <c r="C15" s="2436">
        <f>D10*200/10000</f>
        <v>1926.8712</v>
      </c>
      <c r="D15" s="758"/>
      <c r="E15" s="757"/>
      <c r="F15" s="2437"/>
      <c r="G15" s="2440" t="s">
        <v>2445</v>
      </c>
    </row>
    <row r="16" spans="1:25" s="2168" customFormat="1" ht="48">
      <c r="A16" s="2432">
        <v>3</v>
      </c>
      <c r="B16" s="748" t="s">
        <v>615</v>
      </c>
      <c r="C16" s="2436"/>
      <c r="D16" s="760"/>
      <c r="E16" s="749"/>
      <c r="F16" s="761"/>
      <c r="G16" s="759" t="s">
        <v>2447</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1703</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4010</v>
      </c>
      <c r="D18" s="762"/>
      <c r="E18" s="763"/>
      <c r="F18" s="761">
        <f>'数据-取费表'!Q16</f>
        <v>0.1</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45816.403720877846</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3">
        <v>0</v>
      </c>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45816.403720877846</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45816</v>
      </c>
      <c r="D22" s="760"/>
      <c r="E22" s="749"/>
      <c r="F22" s="3188">
        <v>1</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45816</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1899</v>
      </c>
      <c r="B36" s="1638" t="s">
        <v>1900</v>
      </c>
    </row>
    <row r="37" spans="1:9" ht="28.5" customHeight="1">
      <c r="A37" s="1638"/>
      <c r="B37" s="3242" t="str">
        <f>项目基本情况!B1</f>
        <v>北京市出让国有建设用地使用权市场价格预评估</v>
      </c>
      <c r="C37" s="3242"/>
      <c r="D37" s="3242"/>
      <c r="E37" s="3242"/>
      <c r="F37" s="3242"/>
      <c r="G37" s="3242"/>
      <c r="H37" s="3242"/>
      <c r="I37" s="3242"/>
    </row>
    <row r="38" spans="1:9">
      <c r="A38" s="1640"/>
      <c r="B38" s="1640"/>
    </row>
    <row r="39" spans="1:9">
      <c r="A39" s="1638" t="s">
        <v>1899</v>
      </c>
      <c r="B39" s="1638" t="s">
        <v>2042</v>
      </c>
    </row>
    <row r="40" spans="1:9">
      <c r="A40" s="1638"/>
      <c r="B40" s="1638">
        <f>项目基本情况!B5</f>
        <v>0</v>
      </c>
    </row>
    <row r="41" spans="1:9">
      <c r="A41" s="1638"/>
      <c r="B41" s="1638"/>
    </row>
    <row r="42" spans="1:9">
      <c r="A42" s="1638" t="s">
        <v>1899</v>
      </c>
      <c r="B42" s="1638" t="s">
        <v>2043</v>
      </c>
    </row>
    <row r="43" spans="1:9">
      <c r="A43" s="1638"/>
      <c r="B43" s="1638" t="s">
        <v>1901</v>
      </c>
    </row>
    <row r="44" spans="1:9">
      <c r="A44" s="1638"/>
      <c r="B44" s="1638"/>
    </row>
    <row r="45" spans="1:9">
      <c r="A45" s="1638" t="s">
        <v>1899</v>
      </c>
      <c r="B45" s="1638" t="s">
        <v>2041</v>
      </c>
    </row>
    <row r="46" spans="1:9" s="1638" customFormat="1" ht="12.75">
      <c r="B46" s="1638" t="str">
        <f>项目基本情况!K4</f>
        <v>土地估价师、土地估价师</v>
      </c>
    </row>
    <row r="47" spans="1:9">
      <c r="A47" s="1638"/>
      <c r="B47" s="1638"/>
    </row>
    <row r="48" spans="1:9">
      <c r="A48" s="1638" t="s">
        <v>1899</v>
      </c>
      <c r="B48" s="1638" t="s">
        <v>2044</v>
      </c>
    </row>
    <row r="49" spans="2:2">
      <c r="B49" s="1638"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7</v>
      </c>
    </row>
    <row r="2" spans="1:31" s="2025" customFormat="1" ht="18" customHeight="1">
      <c r="A2" s="2085" t="s">
        <v>467</v>
      </c>
      <c r="B2" s="2089">
        <f ca="1">C36</f>
        <v>-3820</v>
      </c>
      <c r="C2" s="2088"/>
      <c r="D2" s="2088"/>
      <c r="E2" s="2088"/>
      <c r="F2" s="2088"/>
      <c r="G2" s="2088"/>
      <c r="H2" s="2088"/>
      <c r="I2" s="2088"/>
      <c r="J2" s="2088"/>
      <c r="K2" s="2088"/>
    </row>
    <row r="3" spans="1:31" s="2025" customFormat="1" ht="18" customHeight="1">
      <c r="A3" s="2090" t="s">
        <v>1682</v>
      </c>
      <c r="B3" s="2091">
        <f ca="1">ROUND(B2*10000/IF(B1="",'数据-汇总表'!E3,INDIRECT("'数据-取费表'!K"&amp;$K$1)),0)</f>
        <v>-396</v>
      </c>
      <c r="C3" s="2088"/>
      <c r="D3" s="2088"/>
      <c r="E3" s="2088"/>
      <c r="F3" s="2088"/>
      <c r="G3" s="2088"/>
      <c r="H3" s="2088"/>
      <c r="I3" s="2088"/>
      <c r="J3" s="2088"/>
      <c r="K3" s="2088"/>
    </row>
    <row r="4" spans="1:31" s="2025" customFormat="1" ht="18" customHeight="1">
      <c r="A4" s="426" t="s">
        <v>468</v>
      </c>
      <c r="B4" s="427">
        <f ca="1">ROUND(B2*10000/IF(B1="",'数据-汇总表'!D3,INDIRECT("'数据-取费表'!R"&amp;$K$1)),0)</f>
        <v>-396</v>
      </c>
      <c r="C4" s="428"/>
      <c r="D4" s="422"/>
      <c r="E4" s="422"/>
      <c r="F4" s="422"/>
      <c r="G4" s="422"/>
      <c r="H4" s="422"/>
      <c r="I4" s="422"/>
      <c r="J4" s="422"/>
      <c r="K4" s="422"/>
    </row>
    <row r="5" spans="1:31" s="2025" customFormat="1" ht="18" customHeight="1" thickBot="1">
      <c r="A5" s="429"/>
      <c r="B5" s="430">
        <f ca="1">ROUND(B2/(IF(B1="",'数据-汇总表'!D3,INDIRECT("'数据-取费表'!R"&amp;$K$1))/666.67),0)</f>
        <v>-26</v>
      </c>
      <c r="C5" s="431" t="s">
        <v>469</v>
      </c>
      <c r="D5" s="422"/>
      <c r="E5" s="422"/>
      <c r="F5" s="422"/>
      <c r="G5" s="422"/>
      <c r="H5" s="422"/>
      <c r="I5" s="422"/>
      <c r="J5" s="422"/>
      <c r="K5" s="422"/>
    </row>
    <row r="6" spans="1:31" s="2095" customFormat="1" ht="16.5" customHeight="1">
      <c r="A6" s="2782" t="s">
        <v>1840</v>
      </c>
      <c r="B6" s="2783"/>
      <c r="C6" s="2784">
        <f>SUM(C10:K10)</f>
        <v>0</v>
      </c>
      <c r="D6" s="2783"/>
      <c r="E6" s="2783"/>
      <c r="F6" s="2783"/>
      <c r="G6" s="2783"/>
      <c r="H6" s="2783"/>
      <c r="I6" s="2783"/>
      <c r="J6" s="2783"/>
      <c r="K6" s="2785"/>
    </row>
    <row r="7" spans="1:31" s="2097" customFormat="1" ht="15">
      <c r="A7" s="2786" t="s">
        <v>470</v>
      </c>
      <c r="B7" s="2787"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1843</v>
      </c>
      <c r="B8" s="261" t="s">
        <v>472</v>
      </c>
      <c r="C8" s="2788"/>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1844</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1845</v>
      </c>
      <c r="B10" s="2776" t="s">
        <v>474</v>
      </c>
      <c r="C10" s="2980"/>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1841</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1846</v>
      </c>
      <c r="B13" s="2797" t="s">
        <v>479</v>
      </c>
      <c r="C13" s="450">
        <f ca="1">IF(B1="",'数据-取费表'!P16,INDIRECT("'数据-取费表'!p"&amp;$K$1)+INDIRECT("'数据-取费表'!t"&amp;$K$1))</f>
        <v>0</v>
      </c>
      <c r="D13" s="2798"/>
      <c r="E13" s="2799"/>
      <c r="F13" s="2800"/>
      <c r="G13" s="2766"/>
      <c r="H13" s="2767"/>
      <c r="I13" s="2767"/>
      <c r="J13" s="2767"/>
      <c r="K13" s="2768"/>
    </row>
    <row r="14" spans="1:31" s="2100" customFormat="1" ht="13.5" customHeight="1">
      <c r="A14" s="2796" t="s">
        <v>1847</v>
      </c>
      <c r="B14" s="2797" t="s">
        <v>480</v>
      </c>
      <c r="C14" s="53">
        <f ca="1">ROUND(C13*F14,0)</f>
        <v>0</v>
      </c>
      <c r="D14" s="2798"/>
      <c r="E14" s="2799"/>
      <c r="F14" s="2801">
        <f>'数据-取费表'!B33</f>
        <v>0.03</v>
      </c>
      <c r="G14" s="2766" t="s">
        <v>481</v>
      </c>
      <c r="H14" s="2767"/>
      <c r="I14" s="2767"/>
      <c r="J14" s="2767"/>
      <c r="K14" s="2768"/>
    </row>
    <row r="15" spans="1:31" s="2100" customFormat="1" ht="13.5" customHeight="1">
      <c r="A15" s="2796" t="s">
        <v>1848</v>
      </c>
      <c r="B15" s="2797" t="s">
        <v>482</v>
      </c>
      <c r="C15" s="53">
        <f ca="1">ROUND(IF(B1="",SUMIF('数据-取费表'!C:C,"住宅",'数据-取费表'!P:P)*F15,IF(INDIRECT("'数据-取费表'!c"&amp;$K$1)="住宅",INDIRECT("'数据-取费表'!P"&amp;$K$1)*F15,0)),0)</f>
        <v>0</v>
      </c>
      <c r="D15" s="2798"/>
      <c r="E15" s="2799"/>
      <c r="F15" s="2801">
        <f>'数据-取费表'!B34</f>
        <v>0.05</v>
      </c>
      <c r="G15" s="2766" t="s">
        <v>483</v>
      </c>
      <c r="H15" s="2767"/>
      <c r="I15" s="2767"/>
      <c r="J15" s="2767"/>
      <c r="K15" s="2768"/>
    </row>
    <row r="16" spans="1:31" s="2101" customFormat="1" ht="13.5" customHeight="1">
      <c r="A16" s="2796" t="s">
        <v>1849</v>
      </c>
      <c r="B16" s="2797" t="s">
        <v>484</v>
      </c>
      <c r="C16" s="53">
        <f ca="1">ROUND(D16*E16/10000,0)</f>
        <v>1927</v>
      </c>
      <c r="D16" s="2798">
        <f ca="1">IF(B1="",'数据-汇总表'!E3,INDIRECT("'数据-取费表'!K"&amp;$K$1)+INDIRECT("'数据-取费表'!S"&amp;$K$1))</f>
        <v>96343.56</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1850</v>
      </c>
      <c r="B17" s="2797" t="s">
        <v>485</v>
      </c>
      <c r="C17" s="2802">
        <f ca="1">ROUND(C13*F17,0)</f>
        <v>0</v>
      </c>
      <c r="D17" s="475"/>
      <c r="E17" s="2802"/>
      <c r="F17" s="2803">
        <f>'数据-取费表'!B36</f>
        <v>1.4999999999999999E-2</v>
      </c>
      <c r="G17" s="261" t="s">
        <v>486</v>
      </c>
      <c r="H17" s="2769"/>
      <c r="I17" s="2769"/>
      <c r="J17" s="2769"/>
      <c r="K17" s="279"/>
    </row>
    <row r="18" spans="1:14" s="2100" customFormat="1" ht="13.5" customHeight="1">
      <c r="A18" s="2804" t="s">
        <v>1851</v>
      </c>
      <c r="B18" s="2805" t="s">
        <v>487</v>
      </c>
      <c r="C18" s="2806">
        <f ca="1">SUM(C13:C17)</f>
        <v>1927</v>
      </c>
      <c r="D18" s="2807"/>
      <c r="E18" s="468"/>
      <c r="F18" s="468"/>
      <c r="G18" s="2770" t="s">
        <v>2425</v>
      </c>
      <c r="H18" s="2771"/>
      <c r="I18" s="2771"/>
      <c r="J18" s="2771"/>
      <c r="K18" s="2772"/>
    </row>
    <row r="19" spans="1:14" s="2100" customFormat="1" ht="13.5" customHeight="1">
      <c r="A19" s="2804" t="s">
        <v>1852</v>
      </c>
      <c r="B19" s="2805" t="s">
        <v>488</v>
      </c>
      <c r="C19" s="2762">
        <f ca="1">ROUND(D19*E19/10000,0)</f>
        <v>0</v>
      </c>
      <c r="D19" s="2808">
        <f ca="1">D16</f>
        <v>96343.56</v>
      </c>
      <c r="E19" s="2762">
        <f>'数据-取费表'!B32</f>
        <v>0</v>
      </c>
      <c r="F19" s="468"/>
      <c r="G19" s="2766" t="s">
        <v>489</v>
      </c>
      <c r="H19" s="2767"/>
      <c r="I19" s="2771"/>
      <c r="J19" s="2771"/>
      <c r="K19" s="2772"/>
    </row>
    <row r="20" spans="1:14" s="2100" customFormat="1" ht="13.5" customHeight="1">
      <c r="A20" s="2804" t="s">
        <v>1853</v>
      </c>
      <c r="B20" s="2805" t="s">
        <v>490</v>
      </c>
      <c r="C20" s="2762">
        <f ca="1">C21+C22-IF(B1="",'数据-取费表'!B29,IF(G20="已全部缴纳",C21+C22,H20))</f>
        <v>1927</v>
      </c>
      <c r="D20" s="2808"/>
      <c r="E20" s="2762"/>
      <c r="F20" s="2809"/>
      <c r="G20" s="3033"/>
      <c r="H20" s="2764"/>
      <c r="I20" s="2765" t="s">
        <v>2645</v>
      </c>
      <c r="J20" s="2771"/>
      <c r="K20" s="2772"/>
    </row>
    <row r="21" spans="1:14" s="2100" customFormat="1" ht="13.5" customHeight="1">
      <c r="A21" s="2796" t="s">
        <v>1854</v>
      </c>
      <c r="B21" s="2797" t="s">
        <v>491</v>
      </c>
      <c r="C21" s="53">
        <f ca="1">ROUND(D21*E21/10000,0)</f>
        <v>0</v>
      </c>
      <c r="D21" s="2798">
        <f ca="1">IF(B1="",'数据-汇总表'!E5,IF(INDIRECT("'数据-取费表'!c"&amp;$K$1)="住宅",INDIRECT("'数据-取费表'!k"&amp;$K$1),0))</f>
        <v>0</v>
      </c>
      <c r="E21" s="53">
        <f>'数据-取费表'!B27</f>
        <v>160</v>
      </c>
      <c r="F21" s="2801"/>
      <c r="G21" s="26"/>
      <c r="H21" s="51"/>
      <c r="I21" s="51"/>
      <c r="J21" s="51"/>
      <c r="K21" s="2773"/>
    </row>
    <row r="22" spans="1:14" s="2100" customFormat="1" ht="13.5" customHeight="1">
      <c r="A22" s="2796" t="s">
        <v>1855</v>
      </c>
      <c r="B22" s="2797" t="s">
        <v>492</v>
      </c>
      <c r="C22" s="53">
        <f ca="1">ROUND(D22*E22/10000,0)</f>
        <v>1927</v>
      </c>
      <c r="D22" s="2798">
        <f ca="1">IF(B1="",'数据-汇总表'!E6,IF(INDIRECT("'数据-取费表'!c"&amp;$K$1)="住宅",INDIRECT("'数据-取费表'!s"&amp;$K$1),INDIRECT("'数据-取费表'!k"&amp;$K$1)+INDIRECT("'数据-取费表'!s"&amp;$K$1)))</f>
        <v>96343.56</v>
      </c>
      <c r="E22" s="53">
        <f>'数据-取费表'!B28</f>
        <v>200</v>
      </c>
      <c r="F22" s="2801"/>
      <c r="G22" s="26"/>
      <c r="H22" s="51"/>
      <c r="I22" s="51"/>
      <c r="J22" s="51"/>
      <c r="K22" s="2773"/>
    </row>
    <row r="23" spans="1:14" s="2100" customFormat="1" ht="13.5" customHeight="1">
      <c r="A23" s="2804" t="s">
        <v>1856</v>
      </c>
      <c r="B23" s="2986" t="s">
        <v>2826</v>
      </c>
      <c r="C23" s="2806">
        <f ca="1">ROUND((C18+C19+C20)*F23,0)</f>
        <v>77</v>
      </c>
      <c r="D23" s="468"/>
      <c r="E23" s="468"/>
      <c r="F23" s="2810">
        <f>'数据-取费表'!B37</f>
        <v>0.02</v>
      </c>
      <c r="G23" s="2766" t="s">
        <v>2426</v>
      </c>
      <c r="H23" s="2767"/>
      <c r="I23" s="2767"/>
      <c r="J23" s="2767"/>
      <c r="K23" s="2768"/>
      <c r="L23" s="2102"/>
      <c r="M23" s="2102"/>
      <c r="N23" s="2102"/>
    </row>
    <row r="24" spans="1:14" s="2100" customFormat="1" ht="13.5" customHeight="1">
      <c r="A24" s="2804" t="s">
        <v>1857</v>
      </c>
      <c r="B24" s="2986" t="s">
        <v>2829</v>
      </c>
      <c r="C24" s="2806">
        <f>ROUND(C6*F24,0)</f>
        <v>0</v>
      </c>
      <c r="D24" s="475"/>
      <c r="E24" s="473"/>
      <c r="F24" s="2810">
        <f>'数据-取费表'!B38</f>
        <v>0.02</v>
      </c>
      <c r="G24" s="2775" t="s">
        <v>499</v>
      </c>
      <c r="H24" s="2769"/>
      <c r="I24" s="2769"/>
      <c r="J24" s="2769"/>
      <c r="K24" s="279"/>
      <c r="L24" s="2102"/>
      <c r="M24" s="2102"/>
      <c r="N24" s="2102"/>
    </row>
    <row r="25" spans="1:14" s="2103" customFormat="1" ht="13.5" customHeight="1">
      <c r="A25" s="2804" t="s">
        <v>1858</v>
      </c>
      <c r="B25" s="2986" t="s">
        <v>2827</v>
      </c>
      <c r="C25" s="467">
        <f>ROUND(F25/(1+'数据-取费表'!C42),4)</f>
        <v>2.9000000000000001E-2</v>
      </c>
      <c r="D25" s="462" t="s">
        <v>2821</v>
      </c>
      <c r="E25" s="469"/>
      <c r="F25" s="2810">
        <f>IF(项目基本情况!B8="出让",0,'数据-取费表'!B48+'数据-取费表'!B49)</f>
        <v>3.0499999999999999E-2</v>
      </c>
      <c r="G25" s="2774" t="s">
        <v>2284</v>
      </c>
      <c r="H25" s="2767"/>
      <c r="I25" s="2767"/>
      <c r="J25" s="2767"/>
      <c r="K25" s="2768"/>
    </row>
    <row r="26" spans="1:14" s="2102" customFormat="1" ht="13.5" customHeight="1">
      <c r="A26" s="2804" t="s">
        <v>1859</v>
      </c>
      <c r="B26" s="2987" t="s">
        <v>2828</v>
      </c>
      <c r="C26" s="2811">
        <f ca="1">C28</f>
        <v>0</v>
      </c>
      <c r="D26" s="467">
        <f ca="1">C27</f>
        <v>0</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1854</v>
      </c>
      <c r="B27" s="2812" t="s">
        <v>496</v>
      </c>
      <c r="C27" s="2813">
        <f ca="1">ROUND(IF('数据-取费表'!B22&lt;=1,(1+C25)*F26*'数据-取费表'!B24,(1+C25)*(POWER((1+F26),'数据-取费表'!B24)-1)),4)</f>
        <v>0</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2" t="s">
        <v>1855</v>
      </c>
      <c r="B28" s="2812" t="s">
        <v>2830</v>
      </c>
      <c r="C28" s="2814">
        <f ca="1">ROUND(IF('数据-取费表'!B22&lt;=1,(C18+C19+C20+C23+C24)*F26*'数据-取费表'!B24/2,(C18+C19+C20+C23+C24)*(POWER((1+F26),'数据-取费表'!B24/2)-1)),0)</f>
        <v>0</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1860</v>
      </c>
      <c r="B29" s="2805" t="s">
        <v>497</v>
      </c>
      <c r="C29" s="2806">
        <f>ROUND(C6*F29/(1+'数据-取费表'!C42),0)</f>
        <v>0</v>
      </c>
      <c r="D29" s="468"/>
      <c r="E29" s="468"/>
      <c r="F29" s="2988">
        <f>'数据-取费表'!B41</f>
        <v>5.5000000000000007E-2</v>
      </c>
      <c r="G29" s="2775" t="s">
        <v>498</v>
      </c>
      <c r="H29" s="2767"/>
      <c r="I29" s="2767"/>
      <c r="J29" s="2767"/>
      <c r="K29" s="2768"/>
    </row>
    <row r="30" spans="1:14" s="2105" customFormat="1" ht="13.5" customHeight="1">
      <c r="A30" s="1619" t="s">
        <v>1861</v>
      </c>
      <c r="B30" s="2816" t="s">
        <v>500</v>
      </c>
      <c r="C30" s="2811">
        <f ca="1">C31</f>
        <v>3931</v>
      </c>
      <c r="D30" s="477">
        <f ca="1">C32</f>
        <v>2.9000000000000001E-2</v>
      </c>
      <c r="E30" s="469" t="s">
        <v>495</v>
      </c>
      <c r="F30" s="471"/>
      <c r="G30" s="2774" t="s">
        <v>2965</v>
      </c>
      <c r="H30" s="2767"/>
      <c r="I30" s="2767"/>
      <c r="J30" s="2767"/>
      <c r="K30" s="2768"/>
    </row>
    <row r="31" spans="1:14" s="2104" customFormat="1" ht="13.5" customHeight="1">
      <c r="A31" s="802" t="s">
        <v>1854</v>
      </c>
      <c r="B31" s="2812"/>
      <c r="C31" s="450">
        <f ca="1">C18+C19+C20+C23+C24+C26+C29</f>
        <v>3931</v>
      </c>
      <c r="D31" s="472"/>
      <c r="E31" s="473"/>
      <c r="F31" s="474"/>
      <c r="G31" s="261"/>
      <c r="H31" s="2769"/>
      <c r="I31" s="2769"/>
      <c r="J31" s="2769"/>
      <c r="K31" s="279"/>
    </row>
    <row r="32" spans="1:14" s="2104" customFormat="1" ht="13.5" customHeight="1">
      <c r="A32" s="802" t="s">
        <v>1855</v>
      </c>
      <c r="B32" s="2812"/>
      <c r="C32" s="53">
        <f ca="1">ROUND(C25+D26,4)</f>
        <v>2.9000000000000001E-2</v>
      </c>
      <c r="D32" s="472"/>
      <c r="E32" s="473"/>
      <c r="F32" s="474"/>
      <c r="G32" s="261"/>
      <c r="H32" s="2769"/>
      <c r="I32" s="2769"/>
      <c r="J32" s="2769"/>
      <c r="K32" s="279"/>
    </row>
    <row r="33" spans="1:11" s="2106" customFormat="1" ht="13.5" customHeight="1">
      <c r="A33" s="2985" t="s">
        <v>2825</v>
      </c>
      <c r="B33" s="2983" t="s">
        <v>2823</v>
      </c>
      <c r="C33" s="478">
        <f ca="1">C35</f>
        <v>393</v>
      </c>
      <c r="D33" s="467">
        <f ca="1">C34</f>
        <v>0.10290000000000001</v>
      </c>
      <c r="E33" s="469" t="s">
        <v>495</v>
      </c>
      <c r="F33" s="479">
        <f ca="1">IF(B1="",'数据-取费表'!Q16,INDIRECT("'数据-取费表'!q"&amp;$K$1))</f>
        <v>0.1</v>
      </c>
      <c r="G33" s="2770"/>
      <c r="H33" s="2771"/>
      <c r="I33" s="2771"/>
      <c r="J33" s="2771"/>
      <c r="K33" s="2772"/>
    </row>
    <row r="34" spans="1:11" s="2107" customFormat="1" ht="13.5" customHeight="1">
      <c r="A34" s="375" t="s">
        <v>1854</v>
      </c>
      <c r="B34" s="2817" t="s">
        <v>501</v>
      </c>
      <c r="C34" s="472">
        <f ca="1">ROUND((1+C25)*F33,4)</f>
        <v>0.10290000000000001</v>
      </c>
      <c r="D34" s="472"/>
      <c r="E34" s="473"/>
      <c r="F34" s="480"/>
      <c r="G34" s="261" t="s">
        <v>2285</v>
      </c>
      <c r="H34" s="2769"/>
      <c r="I34" s="2769"/>
      <c r="J34" s="2769"/>
      <c r="K34" s="279"/>
    </row>
    <row r="35" spans="1:11" s="2107" customFormat="1" ht="13.5" customHeight="1" thickBot="1">
      <c r="A35" s="1620" t="s">
        <v>1855</v>
      </c>
      <c r="B35" s="2984" t="s">
        <v>2831</v>
      </c>
      <c r="C35" s="1612">
        <f ca="1">ROUND((C18+C19+C20+C23+C24)*F33,0)</f>
        <v>393</v>
      </c>
      <c r="D35" s="1613"/>
      <c r="E35" s="2818"/>
      <c r="F35" s="1614"/>
      <c r="G35" s="2776"/>
      <c r="H35" s="2777"/>
      <c r="I35" s="2777"/>
      <c r="J35" s="2777"/>
      <c r="K35" s="2778"/>
    </row>
    <row r="36" spans="1:11" s="2069" customFormat="1" ht="13.5" customHeight="1" thickBot="1">
      <c r="A36" s="284" t="s">
        <v>1842</v>
      </c>
      <c r="B36" s="2780"/>
      <c r="C36" s="2819">
        <f ca="1">ROUND((C6-C30-C33)/(1+D30+D33),0)</f>
        <v>-3820</v>
      </c>
      <c r="D36" s="2780"/>
      <c r="E36" s="2780"/>
      <c r="F36" s="2780"/>
      <c r="G36" s="2779" t="s">
        <v>2832</v>
      </c>
      <c r="H36" s="2780"/>
      <c r="I36" s="2780"/>
      <c r="J36" s="2780"/>
      <c r="K36" s="2781"/>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P62"/>
  <sheetViews>
    <sheetView zoomScale="80" zoomScaleNormal="80" workbookViewId="0">
      <pane xSplit="6" ySplit="3" topLeftCell="K4" activePane="bottomRight" state="frozen"/>
      <selection pane="topRight" activeCell="H1" sqref="H1"/>
      <selection pane="bottomLeft" activeCell="A4" sqref="A4"/>
      <selection pane="bottomRight" activeCell="P15" sqref="P15"/>
    </sheetView>
  </sheetViews>
  <sheetFormatPr defaultRowHeight="11.25"/>
  <cols>
    <col min="1" max="1" width="5.5" style="3236" customWidth="1"/>
    <col min="2" max="2" width="7.25" style="3236" hidden="1" customWidth="1"/>
    <col min="3" max="3" width="4.875" style="3236" bestFit="1" customWidth="1"/>
    <col min="4" max="4" width="7.125" style="3189" customWidth="1"/>
    <col min="5" max="5" width="8.25" style="3189" hidden="1" customWidth="1"/>
    <col min="6" max="6" width="18.125" style="3189" customWidth="1"/>
    <col min="7" max="7" width="13.75" style="3189" hidden="1" customWidth="1"/>
    <col min="8" max="8" width="8" style="3189" hidden="1" customWidth="1"/>
    <col min="9" max="9" width="13.375" style="3189" hidden="1" customWidth="1"/>
    <col min="10" max="10" width="36.625" style="3189" hidden="1" customWidth="1"/>
    <col min="11" max="11" width="14.375" style="3189" customWidth="1"/>
    <col min="12" max="13" width="17.75" style="3236" customWidth="1"/>
    <col min="14" max="16384" width="9" style="3189"/>
  </cols>
  <sheetData>
    <row r="1" spans="1:16" ht="39.75" customHeight="1">
      <c r="A1" s="3413" t="s">
        <v>3003</v>
      </c>
      <c r="B1" s="3414"/>
      <c r="C1" s="3414"/>
      <c r="D1" s="3414"/>
      <c r="E1" s="3414"/>
      <c r="F1" s="3414"/>
      <c r="G1" s="3414"/>
      <c r="H1" s="3414"/>
      <c r="I1" s="3414"/>
      <c r="J1" s="3414"/>
      <c r="K1" s="3414"/>
      <c r="L1" s="3414"/>
      <c r="M1" s="3414"/>
    </row>
    <row r="2" spans="1:16" ht="23.25" customHeight="1">
      <c r="A2" s="3409" t="s">
        <v>3004</v>
      </c>
      <c r="B2" s="3409" t="s">
        <v>3005</v>
      </c>
      <c r="C2" s="3409" t="s">
        <v>3006</v>
      </c>
      <c r="D2" s="3415" t="s">
        <v>3007</v>
      </c>
      <c r="E2" s="3415" t="s">
        <v>3008</v>
      </c>
      <c r="F2" s="3409" t="s">
        <v>3009</v>
      </c>
      <c r="G2" s="3409" t="s">
        <v>3010</v>
      </c>
      <c r="H2" s="3409" t="s">
        <v>3011</v>
      </c>
      <c r="I2" s="3409" t="s">
        <v>3012</v>
      </c>
      <c r="J2" s="3409" t="s">
        <v>3013</v>
      </c>
      <c r="K2" s="3411" t="s">
        <v>3014</v>
      </c>
      <c r="L2" s="3412" t="s">
        <v>3015</v>
      </c>
      <c r="M2" s="3412"/>
    </row>
    <row r="3" spans="1:16" s="3191" customFormat="1" ht="23.25" customHeight="1">
      <c r="A3" s="3410"/>
      <c r="B3" s="3410"/>
      <c r="C3" s="3410"/>
      <c r="D3" s="3416"/>
      <c r="E3" s="3416"/>
      <c r="F3" s="3410"/>
      <c r="G3" s="3410"/>
      <c r="H3" s="3410"/>
      <c r="I3" s="3410"/>
      <c r="J3" s="3410"/>
      <c r="K3" s="3411"/>
      <c r="L3" s="3190" t="s">
        <v>3016</v>
      </c>
      <c r="M3" s="3190" t="s">
        <v>3017</v>
      </c>
    </row>
    <row r="4" spans="1:16" s="3198" customFormat="1" ht="95.25" hidden="1" customHeight="1">
      <c r="A4" s="3192">
        <v>2016</v>
      </c>
      <c r="B4" s="3193" t="s">
        <v>3018</v>
      </c>
      <c r="C4" s="3193" t="s">
        <v>3019</v>
      </c>
      <c r="D4" s="3194" t="s">
        <v>3020</v>
      </c>
      <c r="E4" s="3194" t="s">
        <v>3021</v>
      </c>
      <c r="F4" s="3195" t="s">
        <v>3022</v>
      </c>
      <c r="G4" s="3194" t="s">
        <v>3023</v>
      </c>
      <c r="H4" s="3194" t="s">
        <v>3024</v>
      </c>
      <c r="I4" s="3194" t="s">
        <v>3025</v>
      </c>
      <c r="J4" s="3194" t="s">
        <v>3026</v>
      </c>
      <c r="K4" s="3196">
        <v>16.73</v>
      </c>
      <c r="L4" s="3194">
        <v>15586.51</v>
      </c>
      <c r="M4" s="3194">
        <v>24154.36</v>
      </c>
      <c r="N4" s="3197">
        <f t="shared" ref="N4:N9" si="0">(L4+M4)/K4</f>
        <v>2375.4255827854154</v>
      </c>
    </row>
    <row r="5" spans="1:16" s="3198" customFormat="1" ht="95.25" hidden="1" customHeight="1">
      <c r="A5" s="3192">
        <v>2016</v>
      </c>
      <c r="B5" s="3193" t="s">
        <v>3018</v>
      </c>
      <c r="C5" s="3193" t="s">
        <v>3019</v>
      </c>
      <c r="D5" s="3194" t="s">
        <v>3020</v>
      </c>
      <c r="E5" s="3194" t="s">
        <v>3021</v>
      </c>
      <c r="F5" s="3195" t="s">
        <v>3027</v>
      </c>
      <c r="G5" s="3194" t="s">
        <v>3023</v>
      </c>
      <c r="H5" s="3194" t="s">
        <v>3024</v>
      </c>
      <c r="I5" s="3194" t="s">
        <v>3028</v>
      </c>
      <c r="J5" s="3194" t="s">
        <v>3026</v>
      </c>
      <c r="K5" s="3199">
        <v>39.770000000000003</v>
      </c>
      <c r="L5" s="3194">
        <v>17716.41</v>
      </c>
      <c r="M5" s="3194">
        <v>2390.64</v>
      </c>
      <c r="N5" s="3197">
        <f t="shared" si="0"/>
        <v>505.58335428715105</v>
      </c>
    </row>
    <row r="6" spans="1:16" s="3198" customFormat="1" ht="95.25" hidden="1" customHeight="1">
      <c r="A6" s="3192">
        <v>2016</v>
      </c>
      <c r="B6" s="3193" t="s">
        <v>3018</v>
      </c>
      <c r="C6" s="3193" t="s">
        <v>3019</v>
      </c>
      <c r="D6" s="3194" t="s">
        <v>3020</v>
      </c>
      <c r="E6" s="3200" t="s">
        <v>3029</v>
      </c>
      <c r="F6" s="3195" t="s">
        <v>3030</v>
      </c>
      <c r="G6" s="3200" t="s">
        <v>3031</v>
      </c>
      <c r="H6" s="3200" t="s">
        <v>3024</v>
      </c>
      <c r="I6" s="3200" t="s">
        <v>3032</v>
      </c>
      <c r="J6" s="3194" t="s">
        <v>3033</v>
      </c>
      <c r="K6" s="3199">
        <v>663.6</v>
      </c>
      <c r="L6" s="3194">
        <v>191909.86</v>
      </c>
      <c r="M6" s="3194">
        <v>204137.8</v>
      </c>
      <c r="N6" s="3197">
        <f t="shared" si="0"/>
        <v>596.81684749849296</v>
      </c>
    </row>
    <row r="7" spans="1:16" s="3198" customFormat="1" ht="95.25" hidden="1" customHeight="1">
      <c r="A7" s="3192">
        <v>2016</v>
      </c>
      <c r="B7" s="3193" t="s">
        <v>3034</v>
      </c>
      <c r="C7" s="3193" t="s">
        <v>3035</v>
      </c>
      <c r="D7" s="3201" t="s">
        <v>3020</v>
      </c>
      <c r="E7" s="3201" t="s">
        <v>3029</v>
      </c>
      <c r="F7" s="3195" t="s">
        <v>3036</v>
      </c>
      <c r="G7" s="3202" t="s">
        <v>3037</v>
      </c>
      <c r="H7" s="3201" t="s">
        <v>3038</v>
      </c>
      <c r="I7" s="3201" t="s">
        <v>3039</v>
      </c>
      <c r="J7" s="3201" t="s">
        <v>3040</v>
      </c>
      <c r="K7" s="3199">
        <v>129.57</v>
      </c>
      <c r="L7" s="3194">
        <v>122822.85</v>
      </c>
      <c r="M7" s="3194">
        <v>403475</v>
      </c>
      <c r="N7" s="3197">
        <f t="shared" si="0"/>
        <v>4061.8804507216178</v>
      </c>
    </row>
    <row r="8" spans="1:16" s="3197" customFormat="1" ht="95.25" hidden="1" customHeight="1">
      <c r="A8" s="3192">
        <v>2017</v>
      </c>
      <c r="B8" s="3203" t="s">
        <v>3041</v>
      </c>
      <c r="C8" s="3203" t="s">
        <v>3042</v>
      </c>
      <c r="D8" s="3201" t="s">
        <v>3020</v>
      </c>
      <c r="E8" s="3204" t="s">
        <v>3029</v>
      </c>
      <c r="F8" s="3195" t="s">
        <v>3043</v>
      </c>
      <c r="G8" s="3202" t="s">
        <v>3037</v>
      </c>
      <c r="H8" s="3204" t="s">
        <v>3038</v>
      </c>
      <c r="I8" s="3204" t="s">
        <v>3044</v>
      </c>
      <c r="J8" s="3205" t="s">
        <v>3045</v>
      </c>
      <c r="K8" s="3199">
        <v>34.26</v>
      </c>
      <c r="L8" s="3194">
        <v>38931.19</v>
      </c>
      <c r="M8" s="3194">
        <v>64775.53</v>
      </c>
      <c r="N8" s="3197">
        <f t="shared" si="0"/>
        <v>3027.0496205487452</v>
      </c>
    </row>
    <row r="9" spans="1:16" s="3197" customFormat="1" ht="95.25" hidden="1" customHeight="1">
      <c r="A9" s="3192">
        <v>2017</v>
      </c>
      <c r="B9" s="3203" t="s">
        <v>3041</v>
      </c>
      <c r="C9" s="3203" t="s">
        <v>3042</v>
      </c>
      <c r="D9" s="3201" t="s">
        <v>3020</v>
      </c>
      <c r="E9" s="3201" t="s">
        <v>3029</v>
      </c>
      <c r="F9" s="3195" t="s">
        <v>3046</v>
      </c>
      <c r="G9" s="3201" t="s">
        <v>3037</v>
      </c>
      <c r="H9" s="3201" t="s">
        <v>3038</v>
      </c>
      <c r="I9" s="3201" t="s">
        <v>3025</v>
      </c>
      <c r="J9" s="3201" t="s">
        <v>3047</v>
      </c>
      <c r="K9" s="3199">
        <v>51.07</v>
      </c>
      <c r="L9" s="3194">
        <v>33012.44</v>
      </c>
      <c r="M9" s="3194">
        <v>46402.36</v>
      </c>
      <c r="N9" s="3197">
        <f t="shared" si="0"/>
        <v>1555.0186019189348</v>
      </c>
    </row>
    <row r="10" spans="1:16" s="3197" customFormat="1" ht="67.5" hidden="1" customHeight="1">
      <c r="A10" s="3192">
        <v>2017</v>
      </c>
      <c r="B10" s="3203" t="s">
        <v>3041</v>
      </c>
      <c r="C10" s="3203" t="s">
        <v>3042</v>
      </c>
      <c r="D10" s="3202" t="s">
        <v>3048</v>
      </c>
      <c r="E10" s="3202" t="s">
        <v>3029</v>
      </c>
      <c r="F10" s="3195" t="s">
        <v>3049</v>
      </c>
      <c r="G10" s="3202" t="s">
        <v>3050</v>
      </c>
      <c r="H10" s="3202" t="s">
        <v>3024</v>
      </c>
      <c r="I10" s="3206" t="s">
        <v>3051</v>
      </c>
      <c r="J10" s="3206" t="s">
        <v>3052</v>
      </c>
      <c r="K10" s="3194">
        <v>96.99</v>
      </c>
      <c r="L10" s="3194">
        <v>51676.39</v>
      </c>
      <c r="M10" s="3194">
        <v>172115.08</v>
      </c>
      <c r="N10" s="3197">
        <f>(L10+M10)/K10</f>
        <v>2307.3664295288172</v>
      </c>
    </row>
    <row r="11" spans="1:16" s="3197" customFormat="1" ht="95.25" hidden="1" customHeight="1">
      <c r="A11" s="3192">
        <v>2017</v>
      </c>
      <c r="B11" s="3203" t="s">
        <v>3041</v>
      </c>
      <c r="C11" s="3203" t="s">
        <v>3042</v>
      </c>
      <c r="D11" s="3202" t="s">
        <v>3048</v>
      </c>
      <c r="E11" s="3202" t="s">
        <v>3029</v>
      </c>
      <c r="F11" s="3195" t="s">
        <v>3053</v>
      </c>
      <c r="G11" s="3202" t="s">
        <v>3054</v>
      </c>
      <c r="H11" s="3202" t="s">
        <v>3024</v>
      </c>
      <c r="I11" s="3206" t="s">
        <v>3055</v>
      </c>
      <c r="J11" s="3207" t="s">
        <v>3056</v>
      </c>
      <c r="K11" s="3208">
        <v>49.52</v>
      </c>
      <c r="L11" s="3194">
        <v>25737.439999999999</v>
      </c>
      <c r="M11" s="3194">
        <v>180122.23999999999</v>
      </c>
      <c r="N11" s="3197">
        <f t="shared" ref="N11:N32" si="1">(L11+M11)/K11</f>
        <v>4157.1017770597737</v>
      </c>
    </row>
    <row r="12" spans="1:16" s="3197" customFormat="1" ht="45.75" hidden="1" customHeight="1">
      <c r="A12" s="3192">
        <v>2017</v>
      </c>
      <c r="B12" s="3203" t="s">
        <v>3041</v>
      </c>
      <c r="C12" s="3203" t="s">
        <v>3042</v>
      </c>
      <c r="D12" s="3202" t="s">
        <v>3057</v>
      </c>
      <c r="E12" s="3202" t="s">
        <v>3029</v>
      </c>
      <c r="F12" s="3195" t="s">
        <v>3058</v>
      </c>
      <c r="G12" s="3202" t="s">
        <v>3059</v>
      </c>
      <c r="H12" s="3204" t="s">
        <v>3038</v>
      </c>
      <c r="I12" s="3206" t="s">
        <v>3060</v>
      </c>
      <c r="J12" s="3194" t="s">
        <v>3061</v>
      </c>
      <c r="K12" s="3199">
        <v>116.6</v>
      </c>
      <c r="L12" s="3194">
        <v>138739.75</v>
      </c>
      <c r="M12" s="3194">
        <v>441601.69</v>
      </c>
      <c r="N12" s="3209">
        <f t="shared" si="1"/>
        <v>4977.1993138936532</v>
      </c>
    </row>
    <row r="13" spans="1:16" s="3210" customFormat="1" ht="96" hidden="1">
      <c r="A13" s="3192">
        <v>2017</v>
      </c>
      <c r="B13" s="3204" t="s">
        <v>3062</v>
      </c>
      <c r="C13" s="3204" t="s">
        <v>3063</v>
      </c>
      <c r="D13" s="3204" t="s">
        <v>3064</v>
      </c>
      <c r="E13" s="3204" t="s">
        <v>3065</v>
      </c>
      <c r="F13" s="3202" t="s">
        <v>3066</v>
      </c>
      <c r="G13" s="3202" t="s">
        <v>3067</v>
      </c>
      <c r="H13" s="3202" t="s">
        <v>3068</v>
      </c>
      <c r="I13" s="3206" t="s">
        <v>3069</v>
      </c>
      <c r="J13" s="3207" t="s">
        <v>3070</v>
      </c>
      <c r="K13" s="3196">
        <v>33.36</v>
      </c>
      <c r="L13" s="3194">
        <v>16588.11</v>
      </c>
      <c r="M13" s="3194">
        <v>13953.2</v>
      </c>
      <c r="N13" s="3197">
        <f t="shared" si="1"/>
        <v>915.50689448441256</v>
      </c>
    </row>
    <row r="14" spans="1:16" s="3212" customFormat="1" ht="48" hidden="1" customHeight="1">
      <c r="A14" s="3192">
        <v>2017</v>
      </c>
      <c r="B14" s="3211" t="s">
        <v>3071</v>
      </c>
      <c r="C14" s="3211" t="s">
        <v>3072</v>
      </c>
      <c r="D14" s="3202" t="s">
        <v>3073</v>
      </c>
      <c r="E14" s="3202" t="s">
        <v>3029</v>
      </c>
      <c r="F14" s="3204" t="s">
        <v>3074</v>
      </c>
      <c r="G14" s="3202" t="s">
        <v>3075</v>
      </c>
      <c r="H14" s="3202" t="s">
        <v>3068</v>
      </c>
      <c r="I14" s="3206" t="s">
        <v>3076</v>
      </c>
      <c r="J14" s="3206" t="s">
        <v>3077</v>
      </c>
      <c r="K14" s="3194">
        <v>19.994820000000001</v>
      </c>
      <c r="L14" s="3194">
        <v>4110.28</v>
      </c>
      <c r="M14" s="3194">
        <v>1634.87</v>
      </c>
      <c r="N14" s="3197">
        <f t="shared" si="1"/>
        <v>287.33191896701243</v>
      </c>
    </row>
    <row r="15" spans="1:16" s="3210" customFormat="1" ht="95.25" customHeight="1">
      <c r="A15" s="3192">
        <v>2017</v>
      </c>
      <c r="B15" s="3203" t="s">
        <v>3078</v>
      </c>
      <c r="C15" s="3203" t="s">
        <v>3079</v>
      </c>
      <c r="D15" s="3202" t="s">
        <v>3080</v>
      </c>
      <c r="E15" s="3202" t="s">
        <v>3029</v>
      </c>
      <c r="F15" s="3202" t="s">
        <v>3081</v>
      </c>
      <c r="G15" s="3202" t="s">
        <v>3082</v>
      </c>
      <c r="H15" s="3202" t="s">
        <v>3038</v>
      </c>
      <c r="I15" s="3206" t="s">
        <v>3083</v>
      </c>
      <c r="J15" s="3207" t="s">
        <v>3084</v>
      </c>
      <c r="K15" s="3213">
        <v>72.180000000000007</v>
      </c>
      <c r="L15" s="3194">
        <v>20148.59</v>
      </c>
      <c r="M15" s="3194">
        <v>195592.13</v>
      </c>
      <c r="N15" s="3197">
        <f t="shared" si="1"/>
        <v>2988.9265724577444</v>
      </c>
      <c r="P15" s="3210">
        <f>(N24+N20+N22+N30+N16+N15)/6</f>
        <v>3962.5411932959341</v>
      </c>
    </row>
    <row r="16" spans="1:16" s="3210" customFormat="1" ht="95.25" customHeight="1">
      <c r="A16" s="3192">
        <v>2017</v>
      </c>
      <c r="B16" s="3203" t="s">
        <v>3078</v>
      </c>
      <c r="C16" s="3203" t="s">
        <v>3079</v>
      </c>
      <c r="D16" s="3202" t="s">
        <v>3080</v>
      </c>
      <c r="E16" s="3202" t="s">
        <v>3029</v>
      </c>
      <c r="F16" s="3202" t="s">
        <v>3085</v>
      </c>
      <c r="G16" s="3202" t="s">
        <v>3086</v>
      </c>
      <c r="H16" s="3202" t="s">
        <v>3038</v>
      </c>
      <c r="I16" s="3206" t="s">
        <v>3087</v>
      </c>
      <c r="J16" s="3214" t="s">
        <v>3088</v>
      </c>
      <c r="K16" s="3199">
        <v>148.19999999999999</v>
      </c>
      <c r="L16" s="3194">
        <v>46469.07</v>
      </c>
      <c r="M16" s="3194">
        <v>462882.97</v>
      </c>
      <c r="N16" s="3197">
        <f t="shared" si="1"/>
        <v>3436.9233468286102</v>
      </c>
    </row>
    <row r="17" spans="1:14" s="3215" customFormat="1" ht="95.25" hidden="1" customHeight="1">
      <c r="A17" s="3192">
        <v>2017</v>
      </c>
      <c r="B17" s="3211" t="s">
        <v>3089</v>
      </c>
      <c r="C17" s="3211" t="s">
        <v>3090</v>
      </c>
      <c r="D17" s="3202" t="s">
        <v>3091</v>
      </c>
      <c r="E17" s="3202" t="s">
        <v>3029</v>
      </c>
      <c r="F17" s="3202" t="s">
        <v>3092</v>
      </c>
      <c r="G17" s="3202" t="s">
        <v>3093</v>
      </c>
      <c r="H17" s="3202" t="s">
        <v>3038</v>
      </c>
      <c r="I17" s="3206" t="s">
        <v>3094</v>
      </c>
      <c r="J17" s="3206" t="s">
        <v>3095</v>
      </c>
      <c r="K17" s="3199">
        <v>89.78</v>
      </c>
      <c r="L17" s="3194">
        <v>52725.51</v>
      </c>
      <c r="M17" s="3194">
        <v>150160.9</v>
      </c>
      <c r="N17" s="3197">
        <f t="shared" si="1"/>
        <v>2259.8174426375585</v>
      </c>
    </row>
    <row r="18" spans="1:14" s="3210" customFormat="1" ht="95.25" hidden="1" customHeight="1">
      <c r="A18" s="3192">
        <v>2017</v>
      </c>
      <c r="B18" s="3211" t="s">
        <v>3089</v>
      </c>
      <c r="C18" s="3211" t="s">
        <v>3090</v>
      </c>
      <c r="D18" s="3202" t="s">
        <v>3091</v>
      </c>
      <c r="E18" s="3202" t="s">
        <v>3029</v>
      </c>
      <c r="F18" s="3202" t="s">
        <v>3096</v>
      </c>
      <c r="G18" s="3202" t="s">
        <v>3097</v>
      </c>
      <c r="H18" s="3202" t="s">
        <v>3038</v>
      </c>
      <c r="I18" s="3206" t="s">
        <v>3098</v>
      </c>
      <c r="J18" s="3216" t="s">
        <v>3099</v>
      </c>
      <c r="K18" s="3199">
        <v>146.24</v>
      </c>
      <c r="L18" s="3194">
        <v>73331.179999999993</v>
      </c>
      <c r="M18" s="3194">
        <v>459399.64</v>
      </c>
      <c r="N18" s="3197">
        <f t="shared" si="1"/>
        <v>3642.8529814004378</v>
      </c>
    </row>
    <row r="19" spans="1:14" s="3210" customFormat="1" ht="51" hidden="1" customHeight="1">
      <c r="A19" s="3192">
        <v>2017</v>
      </c>
      <c r="B19" s="3211" t="s">
        <v>3100</v>
      </c>
      <c r="C19" s="3211" t="s">
        <v>3090</v>
      </c>
      <c r="D19" s="3202" t="s">
        <v>3073</v>
      </c>
      <c r="E19" s="3202" t="s">
        <v>3029</v>
      </c>
      <c r="F19" s="3202" t="s">
        <v>3101</v>
      </c>
      <c r="G19" s="3202" t="s">
        <v>3102</v>
      </c>
      <c r="H19" s="3202" t="s">
        <v>3068</v>
      </c>
      <c r="I19" s="3206" t="s">
        <v>3103</v>
      </c>
      <c r="J19" s="3206" t="s">
        <v>3104</v>
      </c>
      <c r="K19" s="3194">
        <v>132.25</v>
      </c>
      <c r="L19" s="3194">
        <v>24298.5</v>
      </c>
      <c r="M19" s="3194">
        <v>107594.55</v>
      </c>
      <c r="N19" s="3197">
        <f t="shared" si="1"/>
        <v>997.30094517958401</v>
      </c>
    </row>
    <row r="20" spans="1:14" s="3221" customFormat="1" ht="95.25" customHeight="1">
      <c r="A20" s="3192">
        <v>2017</v>
      </c>
      <c r="B20" s="3211" t="s">
        <v>3100</v>
      </c>
      <c r="C20" s="3217" t="s">
        <v>3090</v>
      </c>
      <c r="D20" s="3218" t="s">
        <v>3105</v>
      </c>
      <c r="E20" s="3202" t="s">
        <v>3065</v>
      </c>
      <c r="F20" s="3219" t="s">
        <v>3106</v>
      </c>
      <c r="G20" s="3202" t="s">
        <v>3082</v>
      </c>
      <c r="H20" s="3202" t="s">
        <v>3038</v>
      </c>
      <c r="I20" s="3220" t="s">
        <v>3107</v>
      </c>
      <c r="J20" s="3220" t="s">
        <v>3108</v>
      </c>
      <c r="K20" s="3199">
        <v>217.58</v>
      </c>
      <c r="L20" s="3194">
        <v>106922.18</v>
      </c>
      <c r="M20" s="3194">
        <v>1002860.16</v>
      </c>
      <c r="N20" s="3197">
        <f t="shared" si="1"/>
        <v>5100.5714679658058</v>
      </c>
    </row>
    <row r="21" spans="1:14" s="3198" customFormat="1" ht="95.25" hidden="1" customHeight="1">
      <c r="A21" s="3222">
        <v>2018</v>
      </c>
      <c r="B21" s="3211" t="s">
        <v>3109</v>
      </c>
      <c r="C21" s="3211" t="s">
        <v>3072</v>
      </c>
      <c r="D21" s="3223" t="s">
        <v>3064</v>
      </c>
      <c r="E21" s="3223" t="s">
        <v>3065</v>
      </c>
      <c r="F21" s="3223" t="s">
        <v>3110</v>
      </c>
      <c r="G21" s="3223" t="s">
        <v>3111</v>
      </c>
      <c r="H21" s="3223" t="s">
        <v>3068</v>
      </c>
      <c r="I21" s="3224" t="s">
        <v>3112</v>
      </c>
      <c r="J21" s="3225" t="s">
        <v>3113</v>
      </c>
      <c r="K21" s="3226">
        <v>726.3</v>
      </c>
      <c r="L21" s="3194">
        <v>281939.06</v>
      </c>
      <c r="M21" s="3194">
        <v>704305.38</v>
      </c>
      <c r="N21" s="3197">
        <f t="shared" si="1"/>
        <v>1357.9022993253477</v>
      </c>
    </row>
    <row r="22" spans="1:14" s="3228" customFormat="1" ht="95.25" customHeight="1">
      <c r="A22" s="3223">
        <v>2018</v>
      </c>
      <c r="B22" s="3211" t="s">
        <v>3114</v>
      </c>
      <c r="C22" s="3227" t="s">
        <v>3115</v>
      </c>
      <c r="D22" s="3204" t="s">
        <v>3105</v>
      </c>
      <c r="E22" s="3204" t="s">
        <v>3029</v>
      </c>
      <c r="F22" s="3204" t="s">
        <v>3116</v>
      </c>
      <c r="G22" s="3204" t="s">
        <v>3082</v>
      </c>
      <c r="H22" s="3204" t="s">
        <v>3038</v>
      </c>
      <c r="I22" s="3224" t="s">
        <v>3117</v>
      </c>
      <c r="J22" s="3225" t="s">
        <v>3118</v>
      </c>
      <c r="K22" s="3199">
        <v>193.55</v>
      </c>
      <c r="L22" s="3194">
        <v>230654.05</v>
      </c>
      <c r="M22" s="3194">
        <v>598903.21</v>
      </c>
      <c r="N22" s="3197">
        <f t="shared" si="1"/>
        <v>4286.0101265822786</v>
      </c>
    </row>
    <row r="23" spans="1:14" s="3228" customFormat="1" ht="95.25" customHeight="1">
      <c r="A23" s="3223">
        <v>2018</v>
      </c>
      <c r="B23" s="3211" t="s">
        <v>3114</v>
      </c>
      <c r="C23" s="3227" t="s">
        <v>3115</v>
      </c>
      <c r="D23" s="3204" t="s">
        <v>3105</v>
      </c>
      <c r="E23" s="3204" t="s">
        <v>3029</v>
      </c>
      <c r="F23" s="3204" t="s">
        <v>3119</v>
      </c>
      <c r="G23" s="3204" t="s">
        <v>3120</v>
      </c>
      <c r="H23" s="3204" t="s">
        <v>3038</v>
      </c>
      <c r="I23" s="3224" t="s">
        <v>3121</v>
      </c>
      <c r="J23" s="3225" t="s">
        <v>3122</v>
      </c>
      <c r="K23" s="3229">
        <v>210.43</v>
      </c>
      <c r="L23" s="3194">
        <v>23862.83</v>
      </c>
      <c r="M23" s="3194">
        <v>602931.53</v>
      </c>
      <c r="N23" s="3197">
        <f t="shared" si="1"/>
        <v>2978.6359359406929</v>
      </c>
    </row>
    <row r="24" spans="1:14" s="3228" customFormat="1" ht="95.25" customHeight="1">
      <c r="A24" s="3223">
        <v>2018</v>
      </c>
      <c r="B24" s="3211" t="s">
        <v>3114</v>
      </c>
      <c r="C24" s="3227" t="s">
        <v>3115</v>
      </c>
      <c r="D24" s="3204" t="s">
        <v>3105</v>
      </c>
      <c r="E24" s="3204" t="s">
        <v>3029</v>
      </c>
      <c r="F24" s="3204" t="s">
        <v>3123</v>
      </c>
      <c r="G24" s="3204" t="s">
        <v>3082</v>
      </c>
      <c r="H24" s="3204" t="s">
        <v>3038</v>
      </c>
      <c r="I24" s="3224" t="s">
        <v>3124</v>
      </c>
      <c r="J24" s="3225" t="s">
        <v>3125</v>
      </c>
      <c r="K24" s="3229">
        <v>74.25</v>
      </c>
      <c r="L24" s="3194">
        <v>13520.67</v>
      </c>
      <c r="M24" s="3194">
        <v>291651.92</v>
      </c>
      <c r="N24" s="3197">
        <f t="shared" si="1"/>
        <v>4110.0685521885516</v>
      </c>
    </row>
    <row r="25" spans="1:14" s="3228" customFormat="1" ht="95.25" hidden="1" customHeight="1">
      <c r="A25" s="3223">
        <v>2018</v>
      </c>
      <c r="B25" s="3211" t="s">
        <v>3114</v>
      </c>
      <c r="C25" s="3227" t="s">
        <v>3115</v>
      </c>
      <c r="D25" s="3204" t="s">
        <v>3126</v>
      </c>
      <c r="E25" s="3204" t="s">
        <v>3029</v>
      </c>
      <c r="F25" s="3204" t="s">
        <v>3127</v>
      </c>
      <c r="G25" s="3204" t="s">
        <v>3128</v>
      </c>
      <c r="H25" s="3204" t="s">
        <v>3038</v>
      </c>
      <c r="I25" s="3224" t="s">
        <v>3129</v>
      </c>
      <c r="J25" s="3195" t="s">
        <v>3130</v>
      </c>
      <c r="K25" s="3229">
        <v>29.09</v>
      </c>
      <c r="L25" s="3194">
        <v>12773.36</v>
      </c>
      <c r="M25" s="3194">
        <v>231746.85</v>
      </c>
      <c r="N25" s="3197">
        <f t="shared" si="1"/>
        <v>8405.6448951529746</v>
      </c>
    </row>
    <row r="26" spans="1:14" s="3228" customFormat="1" ht="95.25" customHeight="1">
      <c r="A26" s="3223">
        <v>2018</v>
      </c>
      <c r="B26" s="3211" t="s">
        <v>3131</v>
      </c>
      <c r="C26" s="3230" t="s">
        <v>3132</v>
      </c>
      <c r="D26" s="3229" t="s">
        <v>3105</v>
      </c>
      <c r="E26" s="3229" t="s">
        <v>3029</v>
      </c>
      <c r="F26" s="3229" t="s">
        <v>3133</v>
      </c>
      <c r="G26" s="3229" t="s">
        <v>3082</v>
      </c>
      <c r="H26" s="3229" t="s">
        <v>3038</v>
      </c>
      <c r="I26" s="3229" t="s">
        <v>3134</v>
      </c>
      <c r="J26" s="3229" t="s">
        <v>3135</v>
      </c>
      <c r="K26" s="3229">
        <v>165.53</v>
      </c>
      <c r="L26" s="3194">
        <v>55495.91</v>
      </c>
      <c r="M26" s="3194">
        <v>418159.92</v>
      </c>
      <c r="N26" s="3197">
        <f t="shared" si="1"/>
        <v>2861.4500694738113</v>
      </c>
    </row>
    <row r="27" spans="1:14" s="3228" customFormat="1" ht="72">
      <c r="A27" s="3223">
        <v>2018</v>
      </c>
      <c r="B27" s="3211" t="s">
        <v>3136</v>
      </c>
      <c r="C27" s="3230" t="s">
        <v>3132</v>
      </c>
      <c r="D27" s="3229" t="s">
        <v>3105</v>
      </c>
      <c r="E27" s="3229" t="s">
        <v>3029</v>
      </c>
      <c r="F27" s="3229" t="s">
        <v>3137</v>
      </c>
      <c r="G27" s="3229" t="s">
        <v>3138</v>
      </c>
      <c r="H27" s="3229" t="s">
        <v>3038</v>
      </c>
      <c r="I27" s="3229" t="s">
        <v>3139</v>
      </c>
      <c r="J27" s="3229" t="s">
        <v>3140</v>
      </c>
      <c r="K27" s="3231">
        <v>175.57</v>
      </c>
      <c r="L27" s="3194">
        <v>157294.39999999999</v>
      </c>
      <c r="M27" s="3194">
        <v>394653.43</v>
      </c>
      <c r="N27" s="3197">
        <f t="shared" si="1"/>
        <v>3143.7479637751321</v>
      </c>
    </row>
    <row r="28" spans="1:14" s="3198" customFormat="1" ht="63.75" hidden="1" customHeight="1">
      <c r="A28" s="3223">
        <v>2018</v>
      </c>
      <c r="B28" s="3211" t="s">
        <v>3141</v>
      </c>
      <c r="C28" s="3232" t="s">
        <v>3142</v>
      </c>
      <c r="D28" s="3233" t="s">
        <v>3057</v>
      </c>
      <c r="E28" s="3233" t="s">
        <v>3029</v>
      </c>
      <c r="F28" s="3233" t="s">
        <v>3143</v>
      </c>
      <c r="G28" s="3233" t="s">
        <v>3144</v>
      </c>
      <c r="H28" s="3233" t="s">
        <v>3038</v>
      </c>
      <c r="I28" s="3233" t="s">
        <v>3145</v>
      </c>
      <c r="J28" s="3233" t="s">
        <v>3146</v>
      </c>
      <c r="K28" s="3229">
        <v>49.58</v>
      </c>
      <c r="L28" s="3194">
        <v>61873.95</v>
      </c>
      <c r="M28" s="3194">
        <v>240341.82</v>
      </c>
      <c r="N28" s="3209">
        <f t="shared" si="1"/>
        <v>6095.5177490923761</v>
      </c>
    </row>
    <row r="29" spans="1:14" s="3198" customFormat="1" ht="95.25" hidden="1" customHeight="1">
      <c r="A29" s="3223">
        <v>2018</v>
      </c>
      <c r="B29" s="3211" t="s">
        <v>3141</v>
      </c>
      <c r="C29" s="3232" t="s">
        <v>3142</v>
      </c>
      <c r="D29" s="3233" t="s">
        <v>3147</v>
      </c>
      <c r="E29" s="3233" t="s">
        <v>3029</v>
      </c>
      <c r="F29" s="3233" t="s">
        <v>3148</v>
      </c>
      <c r="G29" s="3233" t="s">
        <v>3149</v>
      </c>
      <c r="H29" s="3233" t="s">
        <v>3038</v>
      </c>
      <c r="I29" s="3233" t="s">
        <v>3150</v>
      </c>
      <c r="J29" s="3233" t="s">
        <v>3151</v>
      </c>
      <c r="K29" s="3234">
        <v>113.32</v>
      </c>
      <c r="L29" s="3194">
        <v>84598.35</v>
      </c>
      <c r="M29" s="3194">
        <v>378467.53</v>
      </c>
      <c r="N29" s="3197">
        <f t="shared" si="1"/>
        <v>4086.3561595481824</v>
      </c>
    </row>
    <row r="30" spans="1:14" s="3198" customFormat="1" ht="95.25" customHeight="1">
      <c r="A30" s="3223">
        <v>2018</v>
      </c>
      <c r="B30" s="3211" t="s">
        <v>3141</v>
      </c>
      <c r="C30" s="3199">
        <v>12</v>
      </c>
      <c r="D30" s="3233" t="s">
        <v>3105</v>
      </c>
      <c r="E30" s="3233" t="s">
        <v>3029</v>
      </c>
      <c r="F30" s="3233" t="s">
        <v>3152</v>
      </c>
      <c r="G30" s="3233" t="s">
        <v>3082</v>
      </c>
      <c r="H30" s="3233" t="s">
        <v>3038</v>
      </c>
      <c r="I30" s="3233" t="s">
        <v>3153</v>
      </c>
      <c r="J30" s="3233" t="s">
        <v>3154</v>
      </c>
      <c r="K30" s="3229">
        <v>239.14</v>
      </c>
      <c r="L30" s="3194">
        <v>61695.44</v>
      </c>
      <c r="M30" s="3194">
        <v>859650.5</v>
      </c>
      <c r="N30" s="3197">
        <f t="shared" si="1"/>
        <v>3852.7470937526136</v>
      </c>
    </row>
    <row r="31" spans="1:14" s="3198" customFormat="1" ht="120" hidden="1" customHeight="1">
      <c r="A31" s="3223">
        <v>2018</v>
      </c>
      <c r="B31" s="3211" t="s">
        <v>3141</v>
      </c>
      <c r="C31" s="3199" t="s">
        <v>3142</v>
      </c>
      <c r="D31" s="3233" t="s">
        <v>3091</v>
      </c>
      <c r="E31" s="3233" t="s">
        <v>3029</v>
      </c>
      <c r="F31" s="3233" t="s">
        <v>3155</v>
      </c>
      <c r="G31" s="3233" t="s">
        <v>3156</v>
      </c>
      <c r="H31" s="3233" t="s">
        <v>3038</v>
      </c>
      <c r="I31" s="3233" t="s">
        <v>3157</v>
      </c>
      <c r="J31" s="3233" t="s">
        <v>3158</v>
      </c>
      <c r="K31" s="3229">
        <v>129.57</v>
      </c>
      <c r="L31" s="3194">
        <v>164075.88</v>
      </c>
      <c r="M31" s="3194">
        <v>363152.48</v>
      </c>
      <c r="N31" s="3197">
        <f t="shared" si="1"/>
        <v>4069.061974222428</v>
      </c>
    </row>
    <row r="32" spans="1:14" s="3198" customFormat="1" ht="72">
      <c r="A32" s="3223">
        <v>2018</v>
      </c>
      <c r="B32" s="3211" t="s">
        <v>3136</v>
      </c>
      <c r="C32" s="3199" t="s">
        <v>3142</v>
      </c>
      <c r="D32" s="3233" t="s">
        <v>3105</v>
      </c>
      <c r="E32" s="3233" t="s">
        <v>3029</v>
      </c>
      <c r="F32" s="3233" t="s">
        <v>3159</v>
      </c>
      <c r="G32" s="3233" t="s">
        <v>3082</v>
      </c>
      <c r="H32" s="3233" t="s">
        <v>3038</v>
      </c>
      <c r="I32" s="3233" t="s">
        <v>3160</v>
      </c>
      <c r="J32" s="3233" t="s">
        <v>3161</v>
      </c>
      <c r="K32" s="3229">
        <v>55.01</v>
      </c>
      <c r="L32" s="3194">
        <v>61454.45</v>
      </c>
      <c r="M32" s="3194">
        <v>558371.41</v>
      </c>
      <c r="N32" s="3197">
        <f t="shared" si="1"/>
        <v>11267.512452281404</v>
      </c>
    </row>
    <row r="33" spans="11:14">
      <c r="K33" s="3235">
        <f>SUBTOTAL(9,K10:K32)</f>
        <v>1551.4399999999998</v>
      </c>
      <c r="L33" s="3236">
        <f>SUBTOTAL(9,L10:L32)</f>
        <v>777517.59000000008</v>
      </c>
      <c r="M33" s="3236">
        <f>SUBTOTAL(9,M10:M32)</f>
        <v>5385657.1799999997</v>
      </c>
      <c r="N33" s="3189">
        <f>(L33+M33)/K33</f>
        <v>3972.5511589233229</v>
      </c>
    </row>
    <row r="34" spans="11:14">
      <c r="K34" s="3235"/>
      <c r="M34" s="3237"/>
    </row>
    <row r="35" spans="11:14">
      <c r="K35" s="3235"/>
    </row>
    <row r="36" spans="11:14">
      <c r="K36" s="3235"/>
    </row>
    <row r="37" spans="11:14">
      <c r="K37" s="3235"/>
    </row>
    <row r="38" spans="11:14">
      <c r="K38" s="3235"/>
    </row>
    <row r="39" spans="11:14">
      <c r="K39" s="3235"/>
    </row>
    <row r="40" spans="11:14">
      <c r="K40" s="3235"/>
    </row>
    <row r="41" spans="11:14">
      <c r="K41" s="3235"/>
    </row>
    <row r="42" spans="11:14">
      <c r="K42" s="3235"/>
    </row>
    <row r="43" spans="11:14">
      <c r="K43" s="3235"/>
    </row>
    <row r="44" spans="11:14">
      <c r="K44" s="3235"/>
    </row>
    <row r="45" spans="11:14">
      <c r="K45" s="3235"/>
    </row>
    <row r="46" spans="11:14">
      <c r="K46" s="3235"/>
    </row>
    <row r="47" spans="11:14">
      <c r="K47" s="3235"/>
    </row>
    <row r="48" spans="11:14">
      <c r="K48" s="3235"/>
    </row>
    <row r="49" spans="11:11">
      <c r="K49" s="3235"/>
    </row>
    <row r="50" spans="11:11">
      <c r="K50" s="3235"/>
    </row>
    <row r="51" spans="11:11">
      <c r="K51" s="3235"/>
    </row>
    <row r="52" spans="11:11">
      <c r="K52" s="3235"/>
    </row>
    <row r="53" spans="11:11">
      <c r="K53" s="3235"/>
    </row>
    <row r="54" spans="11:11">
      <c r="K54" s="3235"/>
    </row>
    <row r="55" spans="11:11">
      <c r="K55" s="3235"/>
    </row>
    <row r="56" spans="11:11">
      <c r="K56" s="3235"/>
    </row>
    <row r="57" spans="11:11">
      <c r="K57" s="3235"/>
    </row>
    <row r="58" spans="11:11">
      <c r="K58" s="3235"/>
    </row>
    <row r="59" spans="11:11">
      <c r="K59" s="3235"/>
    </row>
    <row r="60" spans="11:11">
      <c r="K60" s="3235"/>
    </row>
    <row r="61" spans="11:11">
      <c r="K61" s="3235"/>
    </row>
    <row r="62" spans="11:11">
      <c r="K62" s="3235"/>
    </row>
  </sheetData>
  <autoFilter ref="A3:K32">
    <filterColumn colId="3">
      <filters>
        <filter val="大兴"/>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{FF8EEF09-D66F-4293-AB77-C0883487ADBD}</x14:id>
        </ext>
      </extLst>
    </cfRule>
  </conditionalFormatting>
  <conditionalFormatting sqref="B27">
    <cfRule type="dataBar" priority="6">
      <dataBar>
        <cfvo type="min"/>
        <cfvo type="max"/>
        <color rgb="FF638EC6"/>
      </dataBar>
      <extLst>
        <ext xmlns:x14="http://schemas.microsoft.com/office/spreadsheetml/2009/9/main" uri="{B025F937-C7B1-47D3-B67F-A62EFF666E3E}">
          <x14:id>{11D82167-E67D-4054-BB41-CBFFEA6EF75B}</x14:id>
        </ext>
      </extLst>
    </cfRule>
  </conditionalFormatting>
  <conditionalFormatting sqref="B28">
    <cfRule type="dataBar" priority="5">
      <dataBar>
        <cfvo type="min"/>
        <cfvo type="max"/>
        <color rgb="FF638EC6"/>
      </dataBar>
      <extLst>
        <ext xmlns:x14="http://schemas.microsoft.com/office/spreadsheetml/2009/9/main" uri="{B025F937-C7B1-47D3-B67F-A62EFF666E3E}">
          <x14:id>{D9705166-23BB-45F6-8279-980405BE7C33}</x14:id>
        </ext>
      </extLst>
    </cfRule>
  </conditionalFormatting>
  <conditionalFormatting sqref="B29">
    <cfRule type="dataBar" priority="4">
      <dataBar>
        <cfvo type="min"/>
        <cfvo type="max"/>
        <color rgb="FF638EC6"/>
      </dataBar>
      <extLst>
        <ext xmlns:x14="http://schemas.microsoft.com/office/spreadsheetml/2009/9/main" uri="{B025F937-C7B1-47D3-B67F-A62EFF666E3E}">
          <x14:id>{CD901CD4-89FA-49E8-99FD-C78E02C995E0}</x14:id>
        </ext>
      </extLst>
    </cfRule>
  </conditionalFormatting>
  <conditionalFormatting sqref="B30">
    <cfRule type="dataBar" priority="3">
      <dataBar>
        <cfvo type="min"/>
        <cfvo type="max"/>
        <color rgb="FF638EC6"/>
      </dataBar>
      <extLst>
        <ext xmlns:x14="http://schemas.microsoft.com/office/spreadsheetml/2009/9/main" uri="{B025F937-C7B1-47D3-B67F-A62EFF666E3E}">
          <x14:id>{8928D904-F72A-4FEB-B5EF-CCF69C563100}</x14:id>
        </ext>
      </extLst>
    </cfRule>
  </conditionalFormatting>
  <conditionalFormatting sqref="B31">
    <cfRule type="dataBar" priority="2">
      <dataBar>
        <cfvo type="min"/>
        <cfvo type="max"/>
        <color rgb="FF638EC6"/>
      </dataBar>
      <extLst>
        <ext xmlns:x14="http://schemas.microsoft.com/office/spreadsheetml/2009/9/main" uri="{B025F937-C7B1-47D3-B67F-A62EFF666E3E}">
          <x14:id>{ED169205-1775-48DF-A494-6FCF1E18C4E1}</x14:id>
        </ext>
      </extLst>
    </cfRule>
  </conditionalFormatting>
  <conditionalFormatting sqref="B32">
    <cfRule type="dataBar" priority="1">
      <dataBar>
        <cfvo type="min"/>
        <cfvo type="max"/>
        <color rgb="FF638EC6"/>
      </dataBar>
      <extLst>
        <ext xmlns:x14="http://schemas.microsoft.com/office/spreadsheetml/2009/9/main" uri="{B025F937-C7B1-47D3-B67F-A62EFF666E3E}">
          <x14:id>{8BA20D35-8FC9-420A-9ADE-CA8299E04051}</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FF8EEF09-D66F-4293-AB77-C0883487ADBD}">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11D82167-E67D-4054-BB41-CBFFEA6EF75B}">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D9705166-23BB-45F6-8279-980405BE7C33}">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CD901CD4-89FA-49E8-99FD-C78E02C995E0}">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8928D904-F72A-4FEB-B5EF-CCF69C563100}">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ED169205-1775-48DF-A494-6FCF1E18C4E1}">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8BA20D35-8FC9-420A-9ADE-CA8299E04051}">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zoomScale="80" zoomScaleNormal="80" workbookViewId="0">
      <selection activeCell="E19" sqref="E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1692</v>
      </c>
      <c r="B1" s="1395"/>
      <c r="C1" s="1401" t="s">
        <v>2421</v>
      </c>
      <c r="D1" s="1507">
        <f>SUM(D29:D30,D33:D39)</f>
        <v>96343.56</v>
      </c>
      <c r="E1" s="1401" t="s">
        <v>2422</v>
      </c>
      <c r="F1" s="2415">
        <f>'数据-汇总表'!D3</f>
        <v>96343.56</v>
      </c>
      <c r="G1" s="1396"/>
      <c r="H1" s="1396"/>
      <c r="I1" s="1396"/>
      <c r="J1" s="1396"/>
      <c r="K1" s="1396"/>
      <c r="L1" s="1866" t="s">
        <v>2234</v>
      </c>
      <c r="M1" s="1867">
        <f>SUMPRODUCT((区片价!B5:B9=I2)*(区片价!C3:F3=E2)*(区片价!C5:F9))</f>
        <v>0</v>
      </c>
      <c r="N1" s="1868">
        <f>SUMPRODUCT((因素修正幅度!B5:B9=I2)*(因素修正幅度!C3:F3=E2)*(因素修正幅度!C5:F9))</f>
        <v>0</v>
      </c>
      <c r="O1" s="1396"/>
      <c r="P1" s="1396"/>
      <c r="Q1" s="2173"/>
      <c r="R1" s="2890" t="s">
        <v>2755</v>
      </c>
      <c r="S1" s="2890" t="s">
        <v>2756</v>
      </c>
      <c r="T1" s="2890" t="s">
        <v>2777</v>
      </c>
      <c r="U1" s="2890" t="s">
        <v>2778</v>
      </c>
      <c r="V1" s="2890" t="s">
        <v>2779</v>
      </c>
      <c r="W1" s="2173"/>
      <c r="X1" s="2173"/>
      <c r="Y1" s="2173"/>
      <c r="Z1" s="2173"/>
      <c r="AA1" s="2173"/>
      <c r="AB1" s="2173"/>
      <c r="AC1" s="2174"/>
    </row>
    <row r="2" spans="1:39" ht="15.75">
      <c r="A2" s="1401" t="s">
        <v>918</v>
      </c>
      <c r="B2" s="1036">
        <f ca="1">C26</f>
        <v>21677</v>
      </c>
      <c r="C2" s="1402" t="s">
        <v>919</v>
      </c>
      <c r="D2" s="1403" t="s">
        <v>920</v>
      </c>
      <c r="E2" s="1404" t="s">
        <v>979</v>
      </c>
      <c r="F2" s="1403" t="s">
        <v>922</v>
      </c>
      <c r="G2" s="1636" t="str">
        <f>IF(E2="商业",项目基本情况!B43,IF(E2="办公",项目基本情况!C43,IF(E2="住宅",项目基本情况!D43,项目基本情况!E43)))</f>
        <v>七级</v>
      </c>
      <c r="H2" s="1403" t="s">
        <v>924</v>
      </c>
      <c r="I2" s="1637" t="str">
        <f>IF(E2="商业",项目基本情况!B44,IF(E2="办公",项目基本情况!C44,IF(E2="住宅",项目基本情况!D44,项目基本情况!E44)))</f>
        <v>Ⅶ-兴1</v>
      </c>
      <c r="J2" s="1405"/>
      <c r="K2" s="1405"/>
      <c r="L2" s="1869" t="s">
        <v>2235</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1.8629</v>
      </c>
      <c r="T2" s="2891">
        <f ca="1">ROUND($C$5*$C$18*$C$19*$C$20*S2*$C$24,0)</f>
        <v>3771</v>
      </c>
      <c r="U2" s="2880"/>
      <c r="V2" s="2891">
        <f ca="1">ROUND(T2*U2/10000,0)</f>
        <v>0</v>
      </c>
      <c r="W2" s="2173"/>
      <c r="X2" s="2173"/>
      <c r="Y2" s="2173"/>
      <c r="Z2" s="2173"/>
      <c r="AA2" s="2173"/>
      <c r="AB2" s="2173"/>
      <c r="AC2" s="2174"/>
    </row>
    <row r="3" spans="1:39" ht="15.75">
      <c r="A3" s="1406" t="s">
        <v>1685</v>
      </c>
      <c r="B3" s="1036">
        <f ca="1">ROUND(B2*10000/D1,0)</f>
        <v>2250</v>
      </c>
      <c r="C3" s="1402" t="s">
        <v>925</v>
      </c>
      <c r="D3" s="1403" t="s">
        <v>926</v>
      </c>
      <c r="E3" s="1407" t="s">
        <v>3162</v>
      </c>
      <c r="F3" s="1408" t="s">
        <v>3163</v>
      </c>
      <c r="G3" s="1037">
        <f>IF(F3="宗地容积率",'数据-汇总表'!I4,IF(F3="估价对象容积率",'数据-汇总表'!I6,'数据-汇总表'!I7))</f>
        <v>1</v>
      </c>
      <c r="H3" s="1409" t="s">
        <v>927</v>
      </c>
      <c r="I3" s="1038">
        <v>8</v>
      </c>
      <c r="J3" s="1405" t="s">
        <v>928</v>
      </c>
      <c r="K3" s="1405"/>
      <c r="L3" s="1869" t="s">
        <v>2236</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1.3371999999999999</v>
      </c>
      <c r="T3" s="2891">
        <f t="shared" ref="T3:T16" ca="1" si="0">ROUND($C$5*$C$18*$C$19*$C$20*S3*$C$24,0)</f>
        <v>2707</v>
      </c>
      <c r="U3" s="2880"/>
      <c r="V3" s="2891">
        <f t="shared" ref="V3:V16" ca="1" si="1">ROUND(T3*U3/10000,0)</f>
        <v>0</v>
      </c>
      <c r="W3" s="2173"/>
      <c r="X3" s="2173"/>
      <c r="Y3" s="2173"/>
      <c r="Z3" s="2173"/>
      <c r="AA3" s="2173"/>
      <c r="AB3" s="2173"/>
      <c r="AC3" s="2174"/>
    </row>
    <row r="4" spans="1:39" ht="28.5">
      <c r="A4" s="1875" t="s">
        <v>2275</v>
      </c>
      <c r="B4" s="2416">
        <f ca="1">ROUND(B2*10000/F1,0)</f>
        <v>2250</v>
      </c>
      <c r="C4" s="1878" t="s">
        <v>2250</v>
      </c>
      <c r="D4" s="1878">
        <f ca="1">ROUND(B2/(F1/666.67),0)</f>
        <v>150</v>
      </c>
      <c r="E4" s="1878" t="s">
        <v>2251</v>
      </c>
      <c r="F4" s="1876"/>
      <c r="G4" s="1876"/>
      <c r="H4" s="1876"/>
      <c r="I4" s="1876"/>
      <c r="J4" s="1877"/>
      <c r="K4" s="3141"/>
      <c r="L4" s="1869" t="s">
        <v>2237</v>
      </c>
      <c r="M4" s="1870">
        <f>SUMPRODUCT((区片价!B49:B75=I2)*(区片价!C3:F3=E2)*(区片价!C49:F75))</f>
        <v>0</v>
      </c>
      <c r="N4" s="1871">
        <f>SUMPRODUCT((因素修正幅度!B49:B75=I2)*(因素修正幅度!C3:F3=E2)*(因素修正幅度!C49:F75))</f>
        <v>0</v>
      </c>
      <c r="O4" s="3141"/>
      <c r="P4" s="1396"/>
      <c r="Q4" s="2173"/>
      <c r="R4" s="2891">
        <v>3</v>
      </c>
      <c r="S4" s="2891">
        <f>ROUND(IF(G3&gt;1,IF(R4&lt;7,SUMPRODUCT((B93:B98=R4)*(C92:N92=G2)*(C93:N98)),SUMIF(C92:N92,G2,C100:N100)),IF(R4&lt;7,SUMPRODUCT((B102:B107=R4)*(C92:N92=G2)*(C102:N107)),SUMIF(C92:N92,G2,C109:N109))),4)</f>
        <v>1.0788</v>
      </c>
      <c r="T4" s="2891">
        <f t="shared" ca="1" si="0"/>
        <v>2184</v>
      </c>
      <c r="U4" s="2880"/>
      <c r="V4" s="2891">
        <f t="shared" ca="1" si="1"/>
        <v>0</v>
      </c>
      <c r="W4" s="2173"/>
      <c r="X4" s="2173"/>
      <c r="Y4" s="2173"/>
      <c r="Z4" s="2173"/>
      <c r="AA4" s="2173"/>
      <c r="AB4" s="2173"/>
      <c r="AC4" s="2174"/>
    </row>
    <row r="5" spans="1:39" s="1416" customFormat="1" ht="15.75" thickBot="1">
      <c r="A5" s="1622" t="s">
        <v>1821</v>
      </c>
      <c r="B5" s="1410" t="s">
        <v>929</v>
      </c>
      <c r="C5" s="1039">
        <f>ROUND(IF(E2="商业",C6*C7+C16,(IF(E2="住宅",C6*C12+C16,C6+C16))),0)</f>
        <v>1465</v>
      </c>
      <c r="D5" s="3065">
        <f>ROUND(C6+C16,0)</f>
        <v>1465</v>
      </c>
      <c r="E5" s="3065"/>
      <c r="F5" s="1411"/>
      <c r="G5" s="1412"/>
      <c r="H5" s="1412"/>
      <c r="I5" s="1412"/>
      <c r="J5" s="1413"/>
      <c r="K5" s="3142"/>
      <c r="L5" s="1869" t="s">
        <v>2238</v>
      </c>
      <c r="M5" s="1870">
        <f>SUMPRODUCT((区片价!B76:B109=I2)*(区片价!C3:F3=E2)*(区片价!C76:F109))</f>
        <v>0</v>
      </c>
      <c r="N5" s="1871">
        <f>SUMPRODUCT((因素修正幅度!B76:B109=I2)*(因素修正幅度!C3:F3=E2)*(因素修正幅度!C76:F109))</f>
        <v>0</v>
      </c>
      <c r="O5" s="3142"/>
      <c r="P5" s="1579"/>
      <c r="Q5" s="2173"/>
      <c r="R5" s="2891">
        <v>4</v>
      </c>
      <c r="S5" s="2891">
        <f>ROUND(IF(G3&gt;1,IF(R5&lt;7,SUMPRODUCT((B93:B98=R5)*(C92:N92=G2)*(C93:N98)),SUMIF(C92:N92,G2,C100:N100)),IF(R5&lt;7,SUMPRODUCT((B102:B107=R5)*(C92:N92=G2)*(C102:N107)),SUMIF(C92:N92,G2,C109:N109))),4)</f>
        <v>0.86560000000000004</v>
      </c>
      <c r="T5" s="2891">
        <f t="shared" ca="1" si="0"/>
        <v>1752</v>
      </c>
      <c r="U5" s="2880"/>
      <c r="V5" s="2891">
        <f t="shared" ca="1" si="1"/>
        <v>0</v>
      </c>
      <c r="W5" s="2173"/>
      <c r="X5" s="2173"/>
      <c r="Y5" s="2173"/>
      <c r="Z5" s="2173"/>
      <c r="AA5" s="2173"/>
      <c r="AB5" s="2173"/>
      <c r="AC5" s="2175"/>
      <c r="AD5" s="1414"/>
      <c r="AE5" s="1414"/>
      <c r="AF5" s="1414"/>
      <c r="AG5" s="1414"/>
      <c r="AH5" s="1414"/>
      <c r="AI5" s="1414"/>
      <c r="AJ5" s="1415"/>
      <c r="AK5" s="1415"/>
      <c r="AL5" s="1415"/>
      <c r="AM5" s="1415"/>
    </row>
    <row r="6" spans="1:39" ht="15.75" thickBot="1">
      <c r="A6" s="1623" t="s">
        <v>1868</v>
      </c>
      <c r="B6" s="1417" t="s">
        <v>929</v>
      </c>
      <c r="C6" s="1040">
        <f>SUMIF(L1:L12,基准地价!G2,M1:M12)</f>
        <v>1540</v>
      </c>
      <c r="D6" s="1418" t="s">
        <v>1693</v>
      </c>
      <c r="E6" s="1419"/>
      <c r="F6" s="1419"/>
      <c r="G6" s="1420"/>
      <c r="H6" s="1420"/>
      <c r="I6" s="1420"/>
      <c r="J6" s="1421"/>
      <c r="K6" s="1451"/>
      <c r="L6" s="1869" t="s">
        <v>2239</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0.73709999999999998</v>
      </c>
      <c r="T6" s="2891">
        <f t="shared" ca="1" si="0"/>
        <v>1492</v>
      </c>
      <c r="U6" s="2880"/>
      <c r="V6" s="2891">
        <f t="shared" ca="1" si="1"/>
        <v>0</v>
      </c>
      <c r="W6" s="2173"/>
      <c r="X6" s="2173"/>
      <c r="Y6" s="2173"/>
      <c r="Z6" s="2173"/>
      <c r="AA6" s="2173"/>
      <c r="AB6" s="2173"/>
      <c r="AC6" s="2175"/>
      <c r="AD6" s="1414"/>
      <c r="AE6" s="1414"/>
      <c r="AF6" s="1414"/>
      <c r="AG6" s="1414"/>
      <c r="AH6" s="1414"/>
      <c r="AI6" s="1414"/>
      <c r="AJ6" s="1415"/>
    </row>
    <row r="7" spans="1:39" ht="24">
      <c r="A7" s="3428" t="str">
        <f>IF(E2="商业",IF(C8="不临58条商业街","",2),"")</f>
        <v/>
      </c>
      <c r="B7" s="1422" t="s">
        <v>930</v>
      </c>
      <c r="C7" s="1041">
        <f>IF(C8="不临58条商业街",1,ROUND(1+(1.6*E8+1.2*E9+0.8*E10+0.4*E11)*C9,4))</f>
        <v>1</v>
      </c>
      <c r="D7" s="1423" t="s">
        <v>931</v>
      </c>
      <c r="E7" s="1042">
        <v>6</v>
      </c>
      <c r="F7" s="1424"/>
      <c r="G7" s="1425"/>
      <c r="H7" s="1425"/>
      <c r="I7" s="1425"/>
      <c r="J7" s="1426"/>
      <c r="K7" s="1451"/>
      <c r="L7" s="1869" t="s">
        <v>2240</v>
      </c>
      <c r="M7" s="1870">
        <f>SUMPRODUCT((区片价!B158:B205=I2)*(区片价!C3:F3=E2)*(区片价!C158:F205))</f>
        <v>1540</v>
      </c>
      <c r="N7" s="1871">
        <f>SUMPRODUCT((因素修正幅度!B158:B205=I2)*(因素修正幅度!C3:F3=E2)*(因素修正幅度!C158:F205))</f>
        <v>0.13</v>
      </c>
      <c r="O7" s="1451"/>
      <c r="P7" s="1580"/>
      <c r="Q7" s="2173"/>
      <c r="R7" s="2891">
        <v>6</v>
      </c>
      <c r="S7" s="2891">
        <f>ROUND(IF(G3&gt;1,IF(R7&lt;7,SUMPRODUCT((B93:B98=R7)*(C92:N92=G2)*(C93:N98)),SUMIF(C92:N92,G2,C100:N100)),IF(R7&lt;7,SUMPRODUCT((B102:B107=R7)*(C92:N92=G2)*(C102:N107)),SUMIF(C92:N92,G2,C109:N109))),4)</f>
        <v>0.6482</v>
      </c>
      <c r="T7" s="2891">
        <f t="shared" ca="1" si="0"/>
        <v>1312</v>
      </c>
      <c r="U7" s="2880"/>
      <c r="V7" s="2891">
        <f t="shared" ca="1" si="1"/>
        <v>0</v>
      </c>
      <c r="W7" s="2889" t="s">
        <v>2758</v>
      </c>
      <c r="X7" s="2881" t="str">
        <f>G2</f>
        <v>七级</v>
      </c>
      <c r="Y7" s="2881" t="s">
        <v>2759</v>
      </c>
      <c r="Z7" s="2882">
        <f>G3</f>
        <v>1</v>
      </c>
      <c r="AA7" s="2176"/>
      <c r="AB7" s="2176"/>
      <c r="AC7" s="2177"/>
      <c r="AD7" s="2883"/>
      <c r="AE7" s="2883"/>
      <c r="AF7" s="2883"/>
      <c r="AG7" s="2883"/>
      <c r="AH7" s="2883"/>
      <c r="AI7" s="2883"/>
      <c r="AJ7" s="2884"/>
    </row>
    <row r="8" spans="1:39" ht="15">
      <c r="A8" s="3429"/>
      <c r="B8" s="1409" t="s">
        <v>932</v>
      </c>
      <c r="C8" s="1515"/>
      <c r="D8" s="1043" t="s">
        <v>933</v>
      </c>
      <c r="E8" s="1044">
        <f>ROUND(C11/E7,4)</f>
        <v>0</v>
      </c>
      <c r="F8" s="1427" t="s">
        <v>934</v>
      </c>
      <c r="G8" s="1428"/>
      <c r="H8" s="1428"/>
      <c r="I8" s="1428"/>
      <c r="J8" s="1429"/>
      <c r="K8" s="1451"/>
      <c r="L8" s="1869" t="s">
        <v>2241</v>
      </c>
      <c r="M8" s="1870">
        <f>SUMPRODUCT((区片价!B206:B244=I2)*(区片价!C3:F3=E2)*(区片价!C206:F244))</f>
        <v>0</v>
      </c>
      <c r="N8" s="1871">
        <f>SUMPRODUCT((因素修正幅度!B206:B244=I2)*(因素修正幅度!C3:F3=E2)*(因素修正幅度!C206:F244))</f>
        <v>0</v>
      </c>
      <c r="O8" s="1451"/>
      <c r="P8" s="1396"/>
      <c r="Q8" s="2173"/>
      <c r="R8" s="2891">
        <v>7</v>
      </c>
      <c r="S8" s="2880"/>
      <c r="T8" s="2891">
        <f t="shared" ca="1" si="0"/>
        <v>0</v>
      </c>
      <c r="U8" s="2880"/>
      <c r="V8" s="2891">
        <f t="shared" ca="1" si="1"/>
        <v>0</v>
      </c>
      <c r="W8" s="3418" t="s">
        <v>2776</v>
      </c>
      <c r="X8" s="3419"/>
      <c r="Y8" s="1833" t="s">
        <v>2760</v>
      </c>
      <c r="Z8" s="1833" t="s">
        <v>2761</v>
      </c>
      <c r="AA8" s="1833" t="s">
        <v>2762</v>
      </c>
      <c r="AB8" s="1833" t="s">
        <v>2763</v>
      </c>
      <c r="AC8" s="1833" t="s">
        <v>2764</v>
      </c>
      <c r="AD8" s="1833" t="s">
        <v>2765</v>
      </c>
      <c r="AE8" s="1833" t="s">
        <v>2766</v>
      </c>
      <c r="AF8" s="1833" t="s">
        <v>2767</v>
      </c>
      <c r="AG8" s="1833" t="s">
        <v>2768</v>
      </c>
      <c r="AH8" s="1833" t="s">
        <v>2769</v>
      </c>
      <c r="AI8" s="1833" t="s">
        <v>2770</v>
      </c>
      <c r="AJ8" s="1833" t="s">
        <v>2771</v>
      </c>
    </row>
    <row r="9" spans="1:39" ht="15">
      <c r="A9" s="3429"/>
      <c r="B9" s="1409" t="s">
        <v>935</v>
      </c>
      <c r="C9" s="1045">
        <f>SUMIF(修正!C59:C119,C8,修正!E59:E119)</f>
        <v>0</v>
      </c>
      <c r="D9" s="1046" t="s">
        <v>936</v>
      </c>
      <c r="E9" s="1046">
        <f>ROUND(C11/E7,4)</f>
        <v>0</v>
      </c>
      <c r="F9" s="1427" t="s">
        <v>937</v>
      </c>
      <c r="G9" s="1428"/>
      <c r="H9" s="1428"/>
      <c r="I9" s="1428"/>
      <c r="J9" s="1429"/>
      <c r="K9" s="1451"/>
      <c r="L9" s="1869" t="s">
        <v>2242</v>
      </c>
      <c r="M9" s="1870">
        <f>SUMPRODUCT((区片价!B245:B289=I2)*(区片价!C3:F3=E2)*(区片价!C245:F289))</f>
        <v>0</v>
      </c>
      <c r="N9" s="1871">
        <f>SUMPRODUCT((因素修正幅度!B245:B289=I2)*(因素修正幅度!C3:F3=E2)*(因素修正幅度!C245:F289))</f>
        <v>0</v>
      </c>
      <c r="O9" s="1451"/>
      <c r="P9" s="1396"/>
      <c r="Q9" s="2173"/>
      <c r="R9" s="2891">
        <v>8</v>
      </c>
      <c r="S9" s="2880"/>
      <c r="T9" s="2891">
        <f t="shared" ca="1" si="0"/>
        <v>0</v>
      </c>
      <c r="U9" s="2880"/>
      <c r="V9" s="2891">
        <f t="shared" ca="1" si="1"/>
        <v>0</v>
      </c>
      <c r="W9" s="3417" t="s">
        <v>2772</v>
      </c>
      <c r="X9" s="2885" t="s">
        <v>2773</v>
      </c>
      <c r="Y9" s="3043"/>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9"/>
      <c r="B10" s="1409" t="s">
        <v>938</v>
      </c>
      <c r="C10" s="1046">
        <f>SUMIF(修正!C59:C119,C8,修正!F59:F119)</f>
        <v>0</v>
      </c>
      <c r="D10" s="1046" t="s">
        <v>939</v>
      </c>
      <c r="E10" s="1046">
        <f>ROUND(C11/E7,4)</f>
        <v>0</v>
      </c>
      <c r="F10" s="1427" t="s">
        <v>940</v>
      </c>
      <c r="G10" s="1428"/>
      <c r="H10" s="1428"/>
      <c r="I10" s="1428"/>
      <c r="J10" s="1429"/>
      <c r="K10" s="1451"/>
      <c r="L10" s="1869" t="s">
        <v>2243</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f t="shared" ca="1" si="0"/>
        <v>0</v>
      </c>
      <c r="U10" s="2880"/>
      <c r="V10" s="2891">
        <f t="shared" ca="1" si="1"/>
        <v>0</v>
      </c>
      <c r="W10" s="3417"/>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9"/>
      <c r="B11" s="1430" t="s">
        <v>941</v>
      </c>
      <c r="C11" s="1047">
        <f>C10/4</f>
        <v>0</v>
      </c>
      <c r="D11" s="1047" t="s">
        <v>942</v>
      </c>
      <c r="E11" s="1047">
        <f>ROUND(C11/E7,4)</f>
        <v>0</v>
      </c>
      <c r="F11" s="1431" t="s">
        <v>943</v>
      </c>
      <c r="G11" s="1432"/>
      <c r="H11" s="1432"/>
      <c r="I11" s="1432"/>
      <c r="J11" s="1433"/>
      <c r="K11" s="1451"/>
      <c r="L11" s="1869" t="s">
        <v>2244</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f t="shared" ca="1" si="0"/>
        <v>0</v>
      </c>
      <c r="U11" s="2880"/>
      <c r="V11" s="2891">
        <f t="shared" ca="1" si="1"/>
        <v>0</v>
      </c>
      <c r="W11" s="3417" t="s">
        <v>2774</v>
      </c>
      <c r="X11" s="1046" t="s">
        <v>2759</v>
      </c>
      <c r="Y11" s="1637">
        <f>$G$3</f>
        <v>1</v>
      </c>
      <c r="Z11" s="1637">
        <f t="shared" ref="Z11:AJ11" si="3">$G$3</f>
        <v>1</v>
      </c>
      <c r="AA11" s="1637">
        <f t="shared" si="3"/>
        <v>1</v>
      </c>
      <c r="AB11" s="1637">
        <f t="shared" si="3"/>
        <v>1</v>
      </c>
      <c r="AC11" s="1637">
        <f t="shared" si="3"/>
        <v>1</v>
      </c>
      <c r="AD11" s="1637">
        <f t="shared" si="3"/>
        <v>1</v>
      </c>
      <c r="AE11" s="1637">
        <f t="shared" si="3"/>
        <v>1</v>
      </c>
      <c r="AF11" s="1637">
        <f t="shared" si="3"/>
        <v>1</v>
      </c>
      <c r="AG11" s="1637">
        <f t="shared" si="3"/>
        <v>1</v>
      </c>
      <c r="AH11" s="1637">
        <f t="shared" si="3"/>
        <v>1</v>
      </c>
      <c r="AI11" s="1637">
        <f t="shared" si="3"/>
        <v>1</v>
      </c>
      <c r="AJ11" s="1637">
        <f t="shared" si="3"/>
        <v>1</v>
      </c>
    </row>
    <row r="12" spans="1:39" ht="25.5" thickBot="1">
      <c r="A12" s="3428" t="s">
        <v>1869</v>
      </c>
      <c r="B12" s="1434" t="s">
        <v>944</v>
      </c>
      <c r="C12" s="1041">
        <f>ROUND(C15*D15*E15*F15*G15*H15*I15*J15,4)</f>
        <v>1</v>
      </c>
      <c r="D12" s="1435" t="s">
        <v>945</v>
      </c>
      <c r="E12" s="1436"/>
      <c r="F12" s="1436"/>
      <c r="G12" s="1437"/>
      <c r="H12" s="1437"/>
      <c r="I12" s="1437"/>
      <c r="J12" s="1438"/>
      <c r="K12" s="1451"/>
      <c r="L12" s="1872" t="s">
        <v>2245</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f t="shared" ca="1" si="0"/>
        <v>0</v>
      </c>
      <c r="U12" s="2880"/>
      <c r="V12" s="2891">
        <f t="shared" ca="1" si="1"/>
        <v>0</v>
      </c>
      <c r="W12" s="3417"/>
      <c r="X12" s="2888" t="s">
        <v>2775</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0"/>
      <c r="B13" s="1439" t="s">
        <v>1694</v>
      </c>
      <c r="C13" s="1440" t="s">
        <v>1695</v>
      </c>
      <c r="D13" s="1083" t="s">
        <v>1696</v>
      </c>
      <c r="E13" s="1083" t="s">
        <v>1697</v>
      </c>
      <c r="F13" s="1441" t="s">
        <v>946</v>
      </c>
      <c r="G13" s="1442" t="s">
        <v>1640</v>
      </c>
      <c r="H13" s="1443" t="s">
        <v>1640</v>
      </c>
      <c r="I13" s="1444" t="s">
        <v>1640</v>
      </c>
      <c r="J13" s="1445" t="s">
        <v>1640</v>
      </c>
      <c r="K13" s="3157"/>
      <c r="L13" s="3157"/>
      <c r="M13" s="3157"/>
      <c r="N13" s="3157"/>
      <c r="O13" s="3157"/>
      <c r="P13" s="1396"/>
      <c r="Q13" s="2173"/>
      <c r="R13" s="2891">
        <v>12</v>
      </c>
      <c r="S13" s="2880"/>
      <c r="T13" s="2891">
        <f t="shared" ca="1" si="0"/>
        <v>0</v>
      </c>
      <c r="U13" s="2880"/>
      <c r="V13" s="2891">
        <f t="shared" ca="1" si="1"/>
        <v>0</v>
      </c>
      <c r="W13" s="3417"/>
      <c r="X13" s="2888"/>
      <c r="Y13" s="2887">
        <f>(-0.163*(Y12^2)-0.59*Y12+7617)*(10^(-4))/Y11</f>
        <v>0.76170000000000004</v>
      </c>
      <c r="Z13" s="2887">
        <f t="shared" ref="Z13:AJ13" si="5">(-0.163*(Z12^2)-0.59*Z12+7617)*(10^(-4))/Z11</f>
        <v>0.76170000000000004</v>
      </c>
      <c r="AA13" s="2887">
        <f t="shared" si="5"/>
        <v>0.76170000000000004</v>
      </c>
      <c r="AB13" s="2887">
        <f t="shared" si="5"/>
        <v>0.76170000000000004</v>
      </c>
      <c r="AC13" s="2887">
        <f t="shared" si="5"/>
        <v>0.76170000000000004</v>
      </c>
      <c r="AD13" s="2887">
        <f t="shared" si="5"/>
        <v>0.76170000000000004</v>
      </c>
      <c r="AE13" s="2887">
        <f t="shared" si="5"/>
        <v>0.76170000000000004</v>
      </c>
      <c r="AF13" s="2887">
        <f t="shared" si="5"/>
        <v>0.76170000000000004</v>
      </c>
      <c r="AG13" s="2887">
        <f t="shared" si="5"/>
        <v>0.76170000000000004</v>
      </c>
      <c r="AH13" s="2887">
        <f t="shared" si="5"/>
        <v>0.76170000000000004</v>
      </c>
      <c r="AI13" s="2887">
        <f t="shared" si="5"/>
        <v>0.76170000000000004</v>
      </c>
      <c r="AJ13" s="2887">
        <f t="shared" si="5"/>
        <v>0.76170000000000004</v>
      </c>
    </row>
    <row r="14" spans="1:39" ht="12.75" customHeight="1">
      <c r="A14" s="3430"/>
      <c r="B14" s="1446"/>
      <c r="C14" s="1447"/>
      <c r="D14" s="1448"/>
      <c r="E14" s="1448"/>
      <c r="F14" s="1449"/>
      <c r="G14" s="1450" t="s">
        <v>947</v>
      </c>
      <c r="H14" s="1451"/>
      <c r="I14" s="1452"/>
      <c r="J14" s="1453"/>
      <c r="K14" s="3143"/>
      <c r="L14" s="3143"/>
      <c r="M14" s="3143"/>
      <c r="N14" s="3143"/>
      <c r="O14" s="3143"/>
      <c r="P14" s="1396"/>
      <c r="Q14" s="2173"/>
      <c r="R14" s="2891">
        <v>13</v>
      </c>
      <c r="S14" s="2880"/>
      <c r="T14" s="2891">
        <f t="shared" ca="1" si="0"/>
        <v>0</v>
      </c>
      <c r="U14" s="2880"/>
      <c r="V14" s="2891">
        <f t="shared" ca="1" si="1"/>
        <v>0</v>
      </c>
      <c r="W14" s="2173"/>
      <c r="X14" s="2173"/>
      <c r="Y14" s="2173"/>
      <c r="Z14" s="2173"/>
      <c r="AA14" s="2173"/>
      <c r="AB14" s="2173"/>
      <c r="AC14" s="2174"/>
    </row>
    <row r="15" spans="1:39" ht="13.5" customHeight="1" thickBot="1">
      <c r="A15" s="3431"/>
      <c r="B15" s="3162" t="s">
        <v>1698</v>
      </c>
      <c r="C15" s="1047">
        <f>IF(C14="有",1.1,1)</f>
        <v>1</v>
      </c>
      <c r="D15" s="1047">
        <f>IF(D14="有",1.1,1)</f>
        <v>1</v>
      </c>
      <c r="E15" s="1047">
        <f>IF(E14="有",1.1,1)</f>
        <v>1</v>
      </c>
      <c r="F15" s="1047">
        <f>IF(F14="500米范围内",1.2,IF(F14="500-1000米",1.1,1))</f>
        <v>1</v>
      </c>
      <c r="G15" s="3154">
        <v>1</v>
      </c>
      <c r="H15" s="3154">
        <v>1</v>
      </c>
      <c r="I15" s="3154">
        <v>1</v>
      </c>
      <c r="J15" s="3155">
        <v>1</v>
      </c>
      <c r="K15" s="3158"/>
      <c r="L15" s="3158"/>
      <c r="M15" s="3158"/>
      <c r="N15" s="3158"/>
      <c r="O15" s="3158"/>
      <c r="P15" s="1396"/>
      <c r="Q15" s="2173"/>
      <c r="R15" s="2891">
        <v>14</v>
      </c>
      <c r="S15" s="2880"/>
      <c r="T15" s="2891">
        <f t="shared" ca="1" si="0"/>
        <v>0</v>
      </c>
      <c r="U15" s="2880"/>
      <c r="V15" s="2891">
        <f t="shared" ca="1" si="1"/>
        <v>0</v>
      </c>
      <c r="W15" s="2173"/>
      <c r="X15" s="2173"/>
      <c r="Y15" s="2173"/>
      <c r="Z15" s="2173"/>
      <c r="AA15" s="2173"/>
      <c r="AB15" s="2173"/>
      <c r="AC15" s="2174"/>
    </row>
    <row r="16" spans="1:39" ht="24.6" customHeight="1">
      <c r="A16" s="3428" t="s">
        <v>1836</v>
      </c>
      <c r="B16" s="1422" t="s">
        <v>948</v>
      </c>
      <c r="C16" s="1050">
        <f>ROUND(IF(F17="与级别开发程度一致",0,(G17-E17)/C17),0)</f>
        <v>-75</v>
      </c>
      <c r="D16" s="3425" t="s">
        <v>952</v>
      </c>
      <c r="E16" s="3426"/>
      <c r="F16" s="3425" t="s">
        <v>949</v>
      </c>
      <c r="G16" s="3426"/>
      <c r="H16" s="1454" t="s">
        <v>3164</v>
      </c>
      <c r="I16" s="1454" t="s">
        <v>3165</v>
      </c>
      <c r="J16" s="1454" t="s">
        <v>3166</v>
      </c>
      <c r="K16" s="1454" t="s">
        <v>3167</v>
      </c>
      <c r="L16" s="1454" t="s">
        <v>3168</v>
      </c>
      <c r="M16" s="1454" t="s">
        <v>3169</v>
      </c>
      <c r="N16" s="1454"/>
      <c r="O16" s="3167"/>
      <c r="P16" s="1396"/>
      <c r="Q16" s="2176"/>
      <c r="R16" s="2891">
        <v>15</v>
      </c>
      <c r="S16" s="2880"/>
      <c r="T16" s="2891">
        <f t="shared" ca="1" si="0"/>
        <v>0</v>
      </c>
      <c r="U16" s="2880"/>
      <c r="V16" s="2891">
        <f t="shared" ca="1" si="1"/>
        <v>0</v>
      </c>
      <c r="W16" s="2176"/>
      <c r="X16" s="2176"/>
      <c r="Y16" s="2176"/>
      <c r="Z16" s="2176"/>
      <c r="AA16" s="2176"/>
      <c r="AB16" s="2176"/>
      <c r="AC16" s="2177"/>
    </row>
    <row r="17" spans="1:40" ht="24.75" thickBot="1">
      <c r="A17" s="3432"/>
      <c r="B17" s="3168" t="s">
        <v>951</v>
      </c>
      <c r="C17" s="3169">
        <f>SUMPRODUCT((修正!A2:A5=E2)*(修正!B1:M1=G2)*(修正!B2:M5))</f>
        <v>1.2</v>
      </c>
      <c r="D17" s="3170" t="str">
        <f>IF(OR(G2="八级",G2="九级",G2="十级",G2="十一级",G2="十二级"),"五通一平","七通一平")</f>
        <v>七通一平</v>
      </c>
      <c r="E17" s="3160">
        <f>SUMPRODUCT((修正!B1:M1=G2)*(修正!B15:M15))</f>
        <v>300</v>
      </c>
      <c r="F17" s="3161" t="s">
        <v>3170</v>
      </c>
      <c r="G17" s="3160">
        <f>SUM(H17:O17)</f>
        <v>210</v>
      </c>
      <c r="H17" s="1049">
        <f>SUMPRODUCT((七通一平=H16)*(修正!B1:M1=G2)*(修正!B6:M14))</f>
        <v>65</v>
      </c>
      <c r="I17" s="1049">
        <f>SUMPRODUCT((七通一平=I16)*(修正!B1:M1=G2)*(修正!B6:M14))</f>
        <v>55</v>
      </c>
      <c r="J17" s="1049">
        <f>SUMPRODUCT((七通一平=J16)*(修正!B1:M1=G2)*(修正!B6:M14))</f>
        <v>15</v>
      </c>
      <c r="K17" s="1049">
        <f>SUMPRODUCT((七通一平=K16)*(修正!B1:M1=G2)*(修正!B6:M14))</f>
        <v>25</v>
      </c>
      <c r="L17" s="1049">
        <f>SUMPRODUCT((七通一平=L16)*(修正!B1:M1=G2)*(修正!B6:M14))</f>
        <v>35</v>
      </c>
      <c r="M17" s="1049">
        <f>SUMPRODUCT((七通一平=M16)*(修正!B1:M1=G2)*(修正!B6:M14))</f>
        <v>15</v>
      </c>
      <c r="N17" s="1049">
        <f>SUMPRODUCT((七通一平=N16)*(修正!B1:M1=G2)*(修正!B6:M14))</f>
        <v>0</v>
      </c>
      <c r="O17" s="317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1827</v>
      </c>
      <c r="B18" s="3163" t="s">
        <v>953</v>
      </c>
      <c r="C18" s="3164">
        <f>SUMIF(修正!C18:C39,E3,修正!E18:E39)</f>
        <v>1</v>
      </c>
      <c r="D18" s="3165"/>
      <c r="E18" s="3166"/>
      <c r="F18" s="3148"/>
      <c r="G18" s="3142"/>
      <c r="H18" s="3142"/>
      <c r="I18" s="3142"/>
      <c r="J18" s="3156"/>
      <c r="K18" s="3142"/>
      <c r="L18" s="3142"/>
      <c r="M18" s="3142"/>
      <c r="N18" s="3142"/>
      <c r="O18" s="314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1833</v>
      </c>
      <c r="B19" s="1457" t="s">
        <v>954</v>
      </c>
      <c r="C19" s="1051">
        <f>ROUND(IF(H19="按公示增长率计算",SUMPRODUCT((地价!A3:A30=YEAR(G19)&amp;"-"&amp;ROUNDUP(MONTH(G19)/3,0))*(地价!X2:AB2=E2)*(地价!X3:AB30)),IF(H19="地价指数",M20/M19,(1+I19)^O19)),4)</f>
        <v>1.3815999999999999</v>
      </c>
      <c r="D19" s="1461" t="s">
        <v>955</v>
      </c>
      <c r="E19" s="1052">
        <v>41640</v>
      </c>
      <c r="F19" s="1461" t="s">
        <v>956</v>
      </c>
      <c r="G19" s="1053">
        <f>'数据-取费表'!B2</f>
        <v>44001</v>
      </c>
      <c r="H19" s="1462" t="s">
        <v>2984</v>
      </c>
      <c r="I19" s="2739" t="str">
        <f>IF(H19="季度增幅（自定义）",SUMIF(N21:N24,E2,O21:O24),"")</f>
        <v/>
      </c>
      <c r="J19" s="1458"/>
      <c r="K19" s="3142"/>
      <c r="L19" s="2991" t="s">
        <v>2833</v>
      </c>
      <c r="M19" s="2992">
        <f>ROUND(SUMIF(地价!B2:F2,E2,地价!B30:F30),0)</f>
        <v>230</v>
      </c>
      <c r="N19" s="2741" t="s">
        <v>1674</v>
      </c>
      <c r="O19" s="2740">
        <f>ROUNDDOWN(DATEDIF(E19,G19,"M")/3,0)</f>
        <v>25</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1834</v>
      </c>
      <c r="B20" s="2734" t="s">
        <v>969</v>
      </c>
      <c r="C20" s="2735">
        <f ca="1">ROUND(POWER(1+G20,J20-I20)*(POWER(1+G20,I20)-1)/(POWER(1+G20,J20)-1),4)</f>
        <v>1</v>
      </c>
      <c r="D20" s="2736" t="s">
        <v>970</v>
      </c>
      <c r="E20" s="3040">
        <f ca="1">存贷款利率!I4/100</f>
        <v>4.3499999999999997E-2</v>
      </c>
      <c r="F20" s="2736" t="s">
        <v>971</v>
      </c>
      <c r="G20" s="2737">
        <f ca="1">SUMIF(M26:P26,E2,M28:P28)</f>
        <v>4.8000000000000001E-2</v>
      </c>
      <c r="H20" s="2736" t="s">
        <v>972</v>
      </c>
      <c r="I20" s="2732">
        <f>SUMIF('数据-取费表'!C6:C15,E2,'数据-取费表'!F6:F15)/COUNTIF('数据-取费表'!C6:C15,E2)</f>
        <v>50</v>
      </c>
      <c r="J20" s="2738">
        <f>IF(E2="住宅",70,IF(E2="商业",40,50))</f>
        <v>50</v>
      </c>
      <c r="K20" s="3144"/>
      <c r="L20" s="2993" t="s">
        <v>2834</v>
      </c>
      <c r="M20" s="3151">
        <f>ROUND(SUMPRODUCT((地价!A4:A30=YEAR(G19)&amp;"-"&amp;ROUNDUP(MONTH(G19)/3,0))*(地价!B2:F2=E2)*(地价!B4:F30)),0)</f>
        <v>318</v>
      </c>
      <c r="N20" s="2744" t="s">
        <v>2639</v>
      </c>
      <c r="O20" s="2742" t="s">
        <v>2638</v>
      </c>
      <c r="P20" s="2743" t="s">
        <v>2644</v>
      </c>
      <c r="Q20" s="2879"/>
      <c r="R20" s="2179"/>
      <c r="S20" s="2179"/>
      <c r="T20" s="2179"/>
      <c r="U20" s="2179"/>
      <c r="V20" s="2179"/>
      <c r="W20" s="2179"/>
      <c r="X20" s="2179"/>
      <c r="Y20" s="1459"/>
      <c r="Z20" s="1459"/>
      <c r="AA20" s="1459"/>
      <c r="AB20" s="1459"/>
      <c r="AC20" s="1459"/>
      <c r="AD20" s="1459"/>
    </row>
    <row r="21" spans="1:40" s="1416" customFormat="1" ht="14.25">
      <c r="A21" s="1626" t="s">
        <v>1835</v>
      </c>
      <c r="B21" s="1467" t="s">
        <v>3171</v>
      </c>
      <c r="C21" s="1152">
        <f>IF(B21="容积率修正",IF(G3&lt;=10,D22,J22),C23)</f>
        <v>1.1117999999999999</v>
      </c>
      <c r="D21" s="1468"/>
      <c r="E21" s="1468"/>
      <c r="F21" s="1468"/>
      <c r="G21" s="1468"/>
      <c r="H21" s="1468"/>
      <c r="I21" s="1468"/>
      <c r="J21" s="1469"/>
      <c r="K21" s="3142"/>
      <c r="L21" s="1468"/>
      <c r="M21" s="1468"/>
      <c r="N21" s="1465" t="s">
        <v>973</v>
      </c>
      <c r="O21" s="1528"/>
      <c r="P21" s="2731">
        <f>SUMPRODUCT((地价!A3:A30=YEAR(G19)&amp;"-"&amp;ROUNDUP(MONTH(G19)/3,0))*(地价!AD2:AH2=N21)*(地价!AD3:AH30))</f>
        <v>1.2800000000000001E-2</v>
      </c>
      <c r="Q21" s="2879"/>
      <c r="R21" s="2179"/>
      <c r="S21" s="2179"/>
      <c r="T21" s="2179"/>
      <c r="U21" s="2179"/>
      <c r="V21" s="2179"/>
      <c r="W21" s="2179"/>
      <c r="X21" s="2179"/>
      <c r="Y21" s="1398"/>
      <c r="Z21" s="1398"/>
      <c r="AA21" s="1398"/>
      <c r="AB21" s="1398"/>
      <c r="AC21" s="1459"/>
      <c r="AD21" s="1459"/>
    </row>
    <row r="22" spans="1:40" s="1416" customFormat="1" ht="14.25">
      <c r="A22" s="1627" t="s">
        <v>1868</v>
      </c>
      <c r="B22" s="1470" t="s">
        <v>974</v>
      </c>
      <c r="C22" s="1054" t="s">
        <v>1700</v>
      </c>
      <c r="D22" s="1054">
        <f>IF(E22=G22,F22,IF(G3&lt;=10,ROUND(F22+(H22-F22)*(G3-E22)/(G22-E22),4),"——"))</f>
        <v>1.1117999999999999</v>
      </c>
      <c r="E22" s="1037">
        <f>ROUNDDOWN(G3,1)</f>
        <v>1</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7">
        <f>ROUNDUP(G3,1)</f>
        <v>1</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54" t="s">
        <v>975</v>
      </c>
      <c r="J22" s="1054" t="str">
        <f>IF(G3&gt;10,D113,"——")</f>
        <v>——</v>
      </c>
      <c r="K22" s="3145"/>
      <c r="L22" s="1468"/>
      <c r="M22" s="1468"/>
      <c r="N22" s="1465" t="s">
        <v>976</v>
      </c>
      <c r="O22" s="1528"/>
      <c r="P22" s="2731">
        <f>SUMPRODUCT((地价!A3:A30=YEAR(G19)&amp;"-"&amp;ROUNDUP(MONTH(G19)/3,0))*(地价!AD2:AH2=N22)*(地价!AD3:AH30))</f>
        <v>1.2800000000000001E-2</v>
      </c>
      <c r="Q22" s="2879"/>
      <c r="R22" s="2179"/>
      <c r="S22" s="2179"/>
      <c r="T22" s="2179"/>
      <c r="U22" s="2179"/>
      <c r="V22" s="2179"/>
      <c r="W22" s="2179"/>
      <c r="X22" s="2179"/>
      <c r="Y22" s="1459"/>
      <c r="Z22" s="1459"/>
      <c r="AA22" s="1459"/>
      <c r="AB22" s="1459"/>
      <c r="AC22" s="1459"/>
      <c r="AD22" s="1459"/>
    </row>
    <row r="23" spans="1:40" ht="15.75" thickBot="1">
      <c r="A23" s="1627" t="s">
        <v>1869</v>
      </c>
      <c r="B23" s="1470" t="s">
        <v>977</v>
      </c>
      <c r="C23" s="1055">
        <f>ROUND(IF(G3&gt;1,IF(I3&lt;7,SUMPRODUCT((B93:B98=I3)*(C92:N92=G2)*(C93:N98)),SUMIF(C92:N92,G2,C100:N100)),IF(I3&lt;7,SUMPRODUCT((B102:B107=I3)*(C92:N92=G2)*(C102:N107)),SUMIF(C92:N92,G2,C109:N109))),4)</f>
        <v>0.64629999999999999</v>
      </c>
      <c r="D23" s="1516"/>
      <c r="E23" s="1516"/>
      <c r="F23" s="1517"/>
      <c r="G23" s="1518"/>
      <c r="H23" s="1519"/>
      <c r="I23" s="1520"/>
      <c r="J23" s="1520"/>
      <c r="K23" s="3146"/>
      <c r="L23" s="1396"/>
      <c r="M23" s="1396"/>
      <c r="N23" s="1465" t="s">
        <v>921</v>
      </c>
      <c r="O23" s="1528"/>
      <c r="P23" s="2731">
        <f>SUMPRODUCT((地价!A3:A30=YEAR(G19)&amp;"-"&amp;ROUNDUP(MONTH(G19)/3,0))*(地价!AD2:AH2=N23)*(地价!AD3:AH30))</f>
        <v>2.0299999999999999E-2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1870</v>
      </c>
      <c r="B24" s="1410" t="s">
        <v>978</v>
      </c>
      <c r="C24" s="1056">
        <f>SUMIF(A44:A87,E2,B44:B87)</f>
        <v>1</v>
      </c>
      <c r="D24" s="1521"/>
      <c r="E24" s="1522"/>
      <c r="F24" s="1522"/>
      <c r="G24" s="1522"/>
      <c r="H24" s="1522"/>
      <c r="I24" s="1522"/>
      <c r="J24" s="1522"/>
      <c r="K24" s="3146"/>
      <c r="L24" s="1468"/>
      <c r="M24" s="1468"/>
      <c r="N24" s="1465" t="s">
        <v>979</v>
      </c>
      <c r="O24" s="3150"/>
      <c r="P24" s="2731">
        <f>SUMPRODUCT((地价!A3:A30=YEAR(G19)&amp;"-"&amp;ROUNDUP(MONTH(G19)/3,0))*(地价!AD2:AH2=N24)*(地价!AD3:AH30))</f>
        <v>1.3100000000000001E-2</v>
      </c>
      <c r="Q24" s="2879"/>
      <c r="R24" s="2179"/>
      <c r="S24" s="2179"/>
      <c r="T24" s="2179"/>
      <c r="U24" s="2179"/>
      <c r="V24" s="2179"/>
      <c r="W24" s="2179"/>
      <c r="X24" s="2179"/>
      <c r="Y24" s="1459"/>
      <c r="Z24" s="1459"/>
      <c r="AA24" s="1459"/>
      <c r="AB24" s="1459"/>
      <c r="AC24" s="1459"/>
      <c r="AD24" s="1459"/>
    </row>
    <row r="25" spans="1:40" ht="15" thickBot="1">
      <c r="A25" s="1625" t="s">
        <v>1871</v>
      </c>
      <c r="B25" s="1472" t="s">
        <v>980</v>
      </c>
      <c r="C25" s="1473"/>
      <c r="D25" s="1425"/>
      <c r="E25" s="1425"/>
      <c r="F25" s="1474"/>
      <c r="G25" s="1425"/>
      <c r="H25" s="1425"/>
      <c r="I25" s="1425"/>
      <c r="J25" s="1426"/>
      <c r="K25" s="1451"/>
      <c r="L25" s="2179"/>
      <c r="M25" s="2179"/>
      <c r="N25" s="3152" t="s">
        <v>2642</v>
      </c>
      <c r="O25" s="3153"/>
      <c r="P25" s="2410">
        <f>SUMPRODUCT((地价!A3:A30=YEAR(G19)&amp;"-"&amp;ROUNDUP(MONTH(G19)/3,0))*(地价!AD2:AH2=N25)*(地价!AD3:AH30))</f>
        <v>1.8499999999999999E-2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984</v>
      </c>
      <c r="C26" s="1057">
        <f ca="1">E29+SUM(E33:E39)</f>
        <v>21677</v>
      </c>
      <c r="D26" s="1476"/>
      <c r="E26" s="1451"/>
      <c r="F26" s="1477"/>
      <c r="G26" s="1451"/>
      <c r="H26" s="1451"/>
      <c r="I26" s="1451"/>
      <c r="J26" s="1478"/>
      <c r="K26" s="1451"/>
      <c r="L26" s="1582" t="s">
        <v>896</v>
      </c>
      <c r="M26" s="1423" t="s">
        <v>981</v>
      </c>
      <c r="N26" s="1423" t="s">
        <v>982</v>
      </c>
      <c r="O26" s="1423" t="s">
        <v>900</v>
      </c>
      <c r="P26" s="1463" t="s">
        <v>983</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986</v>
      </c>
      <c r="C27" s="1058">
        <f ca="1">E30+SUM(I33:I39)</f>
        <v>0</v>
      </c>
      <c r="D27" s="1480"/>
      <c r="E27" s="1481"/>
      <c r="F27" s="1482"/>
      <c r="G27" s="1481"/>
      <c r="H27" s="1481"/>
      <c r="I27" s="1481"/>
      <c r="J27" s="1483"/>
      <c r="K27" s="1451"/>
      <c r="L27" s="1455" t="s">
        <v>985</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987</v>
      </c>
      <c r="C28" s="1485" t="s">
        <v>988</v>
      </c>
      <c r="D28" s="1485" t="s">
        <v>989</v>
      </c>
      <c r="E28" s="1486" t="s">
        <v>990</v>
      </c>
      <c r="F28" s="1487"/>
      <c r="G28" s="1437"/>
      <c r="H28" s="1437"/>
      <c r="I28" s="1437"/>
      <c r="J28" s="1438"/>
      <c r="K28" s="1451"/>
      <c r="L28" s="1456" t="s">
        <v>971</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991</v>
      </c>
      <c r="C29" s="1057">
        <f ca="1">ROUND(C5*C18*C19*C20*C21*C24,0)</f>
        <v>2250</v>
      </c>
      <c r="D29" s="1490">
        <f>'数据-汇总表'!E3</f>
        <v>96343.56</v>
      </c>
      <c r="E29" s="1833">
        <f ca="1">ROUND(C29*D29/10000,0)</f>
        <v>21677</v>
      </c>
      <c r="F29" s="1491" t="s">
        <v>1699</v>
      </c>
      <c r="G29" s="1492"/>
      <c r="H29" s="1492"/>
      <c r="I29" s="1492"/>
      <c r="J29" s="1493"/>
      <c r="K29" s="3147"/>
      <c r="L29" s="3147"/>
      <c r="M29" s="3147"/>
      <c r="N29" s="3147"/>
      <c r="O29" s="3147"/>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992</v>
      </c>
      <c r="C30" s="1049">
        <f ca="1">ROUND(IF(E2="工业",C29*M39,C29*M38),0)</f>
        <v>338</v>
      </c>
      <c r="D30" s="1496"/>
      <c r="E30" s="1833">
        <f ca="1">ROUND(C30*D30/10000,0)</f>
        <v>0</v>
      </c>
      <c r="F30" s="1497" t="s">
        <v>993</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994</v>
      </c>
      <c r="C31" s="1502" t="s">
        <v>995</v>
      </c>
      <c r="D31" s="1437"/>
      <c r="E31" s="1502"/>
      <c r="F31" s="1502"/>
      <c r="G31" s="1435" t="s">
        <v>993</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988</v>
      </c>
      <c r="D32" s="1506" t="s">
        <v>989</v>
      </c>
      <c r="E32" s="1506" t="s">
        <v>990</v>
      </c>
      <c r="F32" s="1507" t="s">
        <v>996</v>
      </c>
      <c r="G32" s="1466" t="s">
        <v>988</v>
      </c>
      <c r="H32" s="1466" t="s">
        <v>989</v>
      </c>
      <c r="I32" s="1466" t="s">
        <v>990</v>
      </c>
      <c r="J32" s="1508"/>
      <c r="K32" s="3148"/>
      <c r="L32" s="3148"/>
      <c r="M32" s="3148"/>
      <c r="N32" s="3148"/>
      <c r="O32" s="314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35" t="s">
        <v>2954</v>
      </c>
      <c r="B33" s="1510" t="s">
        <v>997</v>
      </c>
      <c r="C33" s="1057">
        <f ca="1">ROUND(D5*C19*C20*C24*F33,0)</f>
        <v>1417</v>
      </c>
      <c r="D33" s="1523"/>
      <c r="E33" s="1046">
        <f ca="1">ROUND(C33*D33/10000,0)</f>
        <v>0</v>
      </c>
      <c r="F33" s="1046">
        <f>SUMIF(修正!A45:A56,G2,修正!B45:B56)</f>
        <v>0.7</v>
      </c>
      <c r="G33" s="1046">
        <f t="shared" ref="G33" ca="1" si="6">ROUND(IF(E2="工业",C33*$M$39,C33*$M$38),0)</f>
        <v>213</v>
      </c>
      <c r="H33" s="1046">
        <f>D33</f>
        <v>0</v>
      </c>
      <c r="I33" s="1046">
        <f ca="1">ROUND(G33*H33/10000,0)</f>
        <v>0</v>
      </c>
      <c r="J33" s="1511"/>
      <c r="K33" s="3149"/>
      <c r="L33" s="3149"/>
      <c r="M33" s="3149"/>
      <c r="N33" s="3149"/>
      <c r="O33" s="314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36"/>
      <c r="B34" s="1440" t="s">
        <v>998</v>
      </c>
      <c r="C34" s="1057">
        <f ca="1">ROUND(D5*C19*C20*C24*F34,0)</f>
        <v>810</v>
      </c>
      <c r="D34" s="1523"/>
      <c r="E34" s="1046">
        <f t="shared" ref="E34:E39" ca="1" si="7">ROUND(C34*D34/10000,0)</f>
        <v>0</v>
      </c>
      <c r="F34" s="1046">
        <f>SUMIF(修正!A45:A56,G2,修正!C45:C56)</f>
        <v>0.4</v>
      </c>
      <c r="G34" s="1046">
        <f ca="1">ROUND(IF(E2="工业",C34*$M$39,C34*$M$38),0)</f>
        <v>122</v>
      </c>
      <c r="H34" s="1046">
        <f t="shared" ref="H34:H39" si="8">D34</f>
        <v>0</v>
      </c>
      <c r="I34" s="1046">
        <f t="shared" ref="I34:I39" ca="1" si="9">ROUND(G34*H34/10000,0)</f>
        <v>0</v>
      </c>
      <c r="J34" s="1511"/>
      <c r="K34" s="3149"/>
      <c r="L34" s="3149"/>
      <c r="M34" s="3149"/>
      <c r="N34" s="3149"/>
      <c r="O34" s="314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36"/>
      <c r="B35" s="1440" t="s">
        <v>999</v>
      </c>
      <c r="C35" s="1057">
        <f ca="1">ROUND(D5*C19*C20*C24*F35,0)</f>
        <v>567</v>
      </c>
      <c r="D35" s="1523"/>
      <c r="E35" s="1046">
        <f t="shared" ca="1" si="7"/>
        <v>0</v>
      </c>
      <c r="F35" s="1046">
        <f>SUMIF(修正!A45:A56,G2,修正!D45:D56)</f>
        <v>0.28000000000000003</v>
      </c>
      <c r="G35" s="1046">
        <f ca="1">ROUND(IF(E2="工业",C35*$M$39,C35*$M$38),0)</f>
        <v>85</v>
      </c>
      <c r="H35" s="1046">
        <f t="shared" si="8"/>
        <v>0</v>
      </c>
      <c r="I35" s="1046">
        <f t="shared" ca="1" si="9"/>
        <v>0</v>
      </c>
      <c r="J35" s="1511"/>
      <c r="K35" s="3149"/>
      <c r="L35" s="3149"/>
      <c r="M35" s="3149"/>
      <c r="N35" s="3149"/>
      <c r="O35" s="314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37"/>
      <c r="B36" s="1440" t="s">
        <v>1000</v>
      </c>
      <c r="C36" s="1057">
        <f ca="1">ROUND(D5*C19*C20*C24*F36,0)</f>
        <v>506</v>
      </c>
      <c r="D36" s="1523"/>
      <c r="E36" s="1046">
        <f t="shared" ca="1" si="7"/>
        <v>0</v>
      </c>
      <c r="F36" s="1046">
        <f>SUMIF(修正!A45:A56,G2,修正!E45:E56)</f>
        <v>0.25</v>
      </c>
      <c r="G36" s="1046">
        <f ca="1">ROUND(IF(E2="工业",C36*$M$39,C36*$M$38),0)</f>
        <v>76</v>
      </c>
      <c r="H36" s="1046">
        <f t="shared" si="8"/>
        <v>0</v>
      </c>
      <c r="I36" s="1046">
        <f t="shared" ca="1" si="9"/>
        <v>0</v>
      </c>
      <c r="J36" s="1511"/>
      <c r="K36" s="3149"/>
      <c r="L36" s="3149"/>
      <c r="M36" s="3149"/>
      <c r="N36" s="3149"/>
      <c r="O36" s="314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1001</v>
      </c>
      <c r="C37" s="1046">
        <f ca="1">ROUND(D5*C19*C20*C24*F37,0)</f>
        <v>506</v>
      </c>
      <c r="D37" s="1523"/>
      <c r="E37" s="1046">
        <f t="shared" ca="1" si="7"/>
        <v>0</v>
      </c>
      <c r="F37" s="1057">
        <f>SUMIF(修正!A45:A56,G2,修正!F45:F56)</f>
        <v>0.25</v>
      </c>
      <c r="G37" s="1046">
        <f ca="1">ROUND(IF(E2="工业",C37*$M$39,C37*$M$38),0)</f>
        <v>76</v>
      </c>
      <c r="H37" s="1046">
        <f t="shared" si="8"/>
        <v>0</v>
      </c>
      <c r="I37" s="1046">
        <f t="shared" ca="1" si="9"/>
        <v>0</v>
      </c>
      <c r="J37" s="1511"/>
      <c r="K37" s="1396"/>
      <c r="L37" s="1529" t="s">
        <v>1701</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1002</v>
      </c>
      <c r="C38" s="1046">
        <f ca="1">ROUND(D5*C19*C41*C24*F38,0)</f>
        <v>0</v>
      </c>
      <c r="D38" s="1523"/>
      <c r="E38" s="1046">
        <f t="shared" ca="1" si="7"/>
        <v>0</v>
      </c>
      <c r="F38" s="1057">
        <f>SUMIF(修正!A45:A56,G2,修正!G45:G56)</f>
        <v>0.25</v>
      </c>
      <c r="G38" s="1046">
        <f ca="1">ROUND(IF(E2="工业",C38*$M$39,C38*$M$38),0)</f>
        <v>0</v>
      </c>
      <c r="H38" s="1046">
        <f t="shared" si="8"/>
        <v>0</v>
      </c>
      <c r="I38" s="1046">
        <f t="shared" ca="1" si="9"/>
        <v>0</v>
      </c>
      <c r="J38" s="1511"/>
      <c r="K38" s="1396"/>
      <c r="L38" s="1531" t="s">
        <v>1703</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1003</v>
      </c>
      <c r="C39" s="1049">
        <f ca="1">ROUND(D5*C19*C41*C24*F39,0)</f>
        <v>0</v>
      </c>
      <c r="D39" s="1524"/>
      <c r="E39" s="1049">
        <f t="shared" ca="1" si="7"/>
        <v>0</v>
      </c>
      <c r="F39" s="1059">
        <f>SUMIF(修正!A45:A56,G2,修正!H45:H56)</f>
        <v>0.2</v>
      </c>
      <c r="G39" s="1049">
        <f ca="1">ROUND(IF(E2="工业",C39*$M$39,C39*$M$38),0)</f>
        <v>0</v>
      </c>
      <c r="H39" s="1049">
        <f t="shared" si="8"/>
        <v>0</v>
      </c>
      <c r="I39" s="1049">
        <f t="shared" ca="1" si="9"/>
        <v>0</v>
      </c>
      <c r="J39" s="1513"/>
      <c r="K39" s="1396"/>
      <c r="L39" s="1533" t="s">
        <v>1702</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0" t="s">
        <v>2978</v>
      </c>
      <c r="C41" s="838">
        <f ca="1">ROUND(POWER(1+E41,H41-G41)*(POWER(1+E41,G41)-1)/(POWER(1+E41,H41)-1),4)</f>
        <v>0</v>
      </c>
      <c r="D41" s="378" t="s">
        <v>2976</v>
      </c>
      <c r="E41" s="3139">
        <f ca="1">G20</f>
        <v>4.8000000000000001E-2</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1004</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1005</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1006</v>
      </c>
      <c r="B46" s="2371" t="s">
        <v>1007</v>
      </c>
      <c r="C46" s="2393" t="s">
        <v>1008</v>
      </c>
      <c r="D46" s="2394" t="s">
        <v>1009</v>
      </c>
      <c r="E46" s="2395" t="s">
        <v>1011</v>
      </c>
      <c r="F46" s="2396" t="s">
        <v>2246</v>
      </c>
      <c r="G46" s="2394" t="s">
        <v>1012</v>
      </c>
      <c r="H46" s="2377" t="s">
        <v>2413</v>
      </c>
      <c r="I46" s="2394" t="s">
        <v>1010</v>
      </c>
      <c r="J46" s="2397" t="s">
        <v>1013</v>
      </c>
      <c r="K46" s="2397" t="s">
        <v>1014</v>
      </c>
      <c r="L46" s="2397" t="s">
        <v>1015</v>
      </c>
      <c r="M46" s="2397" t="s">
        <v>1016</v>
      </c>
      <c r="N46" s="2397" t="s">
        <v>1017</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1018</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1019</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1020</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1021</v>
      </c>
      <c r="B50" s="3042" t="s">
        <v>2931</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1022</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1023</v>
      </c>
      <c r="B52" s="3041" t="s">
        <v>2930</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1024</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1025</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1026</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1027</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1006</v>
      </c>
      <c r="B57" s="2371"/>
      <c r="C57" s="2393" t="s">
        <v>1008</v>
      </c>
      <c r="D57" s="2394" t="s">
        <v>1009</v>
      </c>
      <c r="E57" s="2395" t="s">
        <v>1011</v>
      </c>
      <c r="F57" s="2396" t="s">
        <v>2247</v>
      </c>
      <c r="G57" s="2394" t="s">
        <v>1012</v>
      </c>
      <c r="H57" s="2377" t="s">
        <v>2413</v>
      </c>
      <c r="I57" s="2394" t="s">
        <v>1010</v>
      </c>
      <c r="J57" s="2397" t="s">
        <v>1013</v>
      </c>
      <c r="K57" s="2397" t="s">
        <v>1014</v>
      </c>
      <c r="L57" s="2397" t="s">
        <v>1015</v>
      </c>
      <c r="M57" s="2397" t="s">
        <v>1016</v>
      </c>
      <c r="N57" s="2397" t="s">
        <v>1017</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1028</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1019</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1020</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1021</v>
      </c>
      <c r="B61" s="3042" t="s">
        <v>2932</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1022</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1023</v>
      </c>
      <c r="B63" s="3041" t="s">
        <v>2930</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1024</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1025</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1026</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1029</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1006</v>
      </c>
      <c r="B68" s="2371"/>
      <c r="C68" s="2393" t="s">
        <v>1008</v>
      </c>
      <c r="D68" s="2394" t="s">
        <v>1009</v>
      </c>
      <c r="E68" s="2395" t="s">
        <v>1011</v>
      </c>
      <c r="F68" s="2396" t="s">
        <v>2248</v>
      </c>
      <c r="G68" s="2394" t="s">
        <v>1012</v>
      </c>
      <c r="H68" s="2377" t="s">
        <v>2413</v>
      </c>
      <c r="I68" s="2394" t="s">
        <v>1010</v>
      </c>
      <c r="J68" s="2397" t="s">
        <v>1013</v>
      </c>
      <c r="K68" s="2397" t="s">
        <v>1014</v>
      </c>
      <c r="L68" s="2397" t="s">
        <v>1015</v>
      </c>
      <c r="M68" s="2397" t="s">
        <v>1016</v>
      </c>
      <c r="N68" s="2397" t="s">
        <v>1017</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1030</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1031</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1020</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1032</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1024</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1025</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1023</v>
      </c>
      <c r="B75" s="3041" t="s">
        <v>2930</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1026</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1033</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1034</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1006</v>
      </c>
      <c r="B79" s="2371"/>
      <c r="C79" s="2393" t="s">
        <v>1008</v>
      </c>
      <c r="D79" s="2394" t="s">
        <v>1009</v>
      </c>
      <c r="E79" s="2395" t="s">
        <v>1011</v>
      </c>
      <c r="F79" s="2396" t="s">
        <v>2249</v>
      </c>
      <c r="G79" s="2394" t="s">
        <v>1012</v>
      </c>
      <c r="H79" s="2377" t="s">
        <v>2413</v>
      </c>
      <c r="I79" s="2394" t="s">
        <v>1010</v>
      </c>
      <c r="J79" s="2397" t="s">
        <v>1013</v>
      </c>
      <c r="K79" s="2397" t="s">
        <v>1014</v>
      </c>
      <c r="L79" s="2397" t="s">
        <v>1015</v>
      </c>
      <c r="M79" s="2397" t="s">
        <v>1016</v>
      </c>
      <c r="N79" s="2397" t="s">
        <v>1017</v>
      </c>
      <c r="AC79" s="1400"/>
      <c r="AD79" s="1399"/>
      <c r="AJ79" s="1398"/>
      <c r="AN79" s="1399"/>
    </row>
    <row r="80" spans="1:40" ht="36">
      <c r="A80" s="1061" t="s">
        <v>1035</v>
      </c>
      <c r="B80" s="2371" t="str">
        <f>估价对象房地状况!G15</f>
        <v>估价对象位于XX开发区，园区建设成熟度XX，产业集聚程度XX</v>
      </c>
      <c r="C80" s="1048"/>
      <c r="D80" s="2380">
        <f t="shared" ref="D80:D87" si="25">SUMIF($J$79:$N$79,C80,J80:N80)</f>
        <v>0</v>
      </c>
      <c r="E80" s="2399">
        <f>ROUND(SUM(D80:D87),4)</f>
        <v>0</v>
      </c>
      <c r="F80" s="2400">
        <f>IF(E2="工业",SUMIF(L1:L12,G2,N1:N12),"——")</f>
        <v>0.13</v>
      </c>
      <c r="G80" s="2378"/>
      <c r="H80" s="2424">
        <f t="shared" ref="H80:H87" si="26">IFERROR(ROUNDDOWN($F$80*I80/2,4),"——")</f>
        <v>1.6899999999999998E-2</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1031</v>
      </c>
      <c r="B81" s="2371" t="str">
        <f>估价对象房地状况!G16</f>
        <v>估价对象周边道路状况、公共交通通达情况、停车便捷程度，综合评价交通便捷度较好</v>
      </c>
      <c r="C81" s="1048"/>
      <c r="D81" s="2380">
        <f t="shared" si="25"/>
        <v>0</v>
      </c>
      <c r="E81" s="2408"/>
      <c r="F81" s="2409"/>
      <c r="G81" s="2378"/>
      <c r="H81" s="2424">
        <f t="shared" si="26"/>
        <v>2.1399999999999999E-2</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1020</v>
      </c>
      <c r="B82" s="2371">
        <f>估价对象房地状况!G17</f>
        <v>0</v>
      </c>
      <c r="C82" s="1048"/>
      <c r="D82" s="2380">
        <f t="shared" si="25"/>
        <v>0</v>
      </c>
      <c r="E82" s="2408"/>
      <c r="F82" s="2409"/>
      <c r="G82" s="2378"/>
      <c r="H82" s="2424">
        <f t="shared" si="26"/>
        <v>3.2000000000000002E-3</v>
      </c>
      <c r="I82" s="2398">
        <v>0.05</v>
      </c>
      <c r="J82" s="2401">
        <f t="shared" si="27"/>
        <v>0</v>
      </c>
      <c r="K82" s="2401">
        <f t="shared" si="28"/>
        <v>0</v>
      </c>
      <c r="L82" s="2401">
        <v>0</v>
      </c>
      <c r="M82" s="2401">
        <f t="shared" si="29"/>
        <v>0</v>
      </c>
      <c r="N82" s="2401">
        <f t="shared" si="29"/>
        <v>0</v>
      </c>
      <c r="AC82" s="1400"/>
      <c r="AD82" s="1399"/>
      <c r="AJ82" s="1398"/>
      <c r="AN82" s="1399"/>
    </row>
    <row r="83" spans="1:40" ht="14.25">
      <c r="A83" s="1061" t="s">
        <v>1032</v>
      </c>
      <c r="B83" s="2371">
        <f>估价对象房地状况!G22</f>
        <v>0</v>
      </c>
      <c r="C83" s="1048"/>
      <c r="D83" s="2380">
        <f t="shared" si="25"/>
        <v>0</v>
      </c>
      <c r="E83" s="2408"/>
      <c r="F83" s="2409"/>
      <c r="G83" s="2378"/>
      <c r="H83" s="2424">
        <f t="shared" si="26"/>
        <v>2.5999999999999999E-3</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1024</v>
      </c>
      <c r="B84" s="2372" t="str">
        <f>估价对象房地状况!G19</f>
        <v>估价对象所在区域公共配套设施齐备情况</v>
      </c>
      <c r="C84" s="1048"/>
      <c r="D84" s="2380">
        <f t="shared" si="25"/>
        <v>0</v>
      </c>
      <c r="E84" s="2408"/>
      <c r="F84" s="2409"/>
      <c r="G84" s="2378"/>
      <c r="H84" s="2424">
        <f t="shared" si="26"/>
        <v>3.8999999999999998E-3</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1025</v>
      </c>
      <c r="B85" s="2372" t="str">
        <f>估价对象房地状况!G20</f>
        <v>估价对象所在区域基础设施水平</v>
      </c>
      <c r="C85" s="1048"/>
      <c r="D85" s="2380">
        <f t="shared" si="25"/>
        <v>0</v>
      </c>
      <c r="E85" s="2408"/>
      <c r="F85" s="2409"/>
      <c r="G85" s="2378"/>
      <c r="H85" s="2424">
        <f t="shared" si="26"/>
        <v>9.7000000000000003E-3</v>
      </c>
      <c r="I85" s="2398">
        <v>0.15</v>
      </c>
      <c r="J85" s="2401">
        <f t="shared" si="27"/>
        <v>0</v>
      </c>
      <c r="K85" s="2401">
        <f t="shared" si="28"/>
        <v>0</v>
      </c>
      <c r="L85" s="2401">
        <v>0</v>
      </c>
      <c r="M85" s="2401">
        <f t="shared" si="29"/>
        <v>0</v>
      </c>
      <c r="N85" s="2401">
        <f t="shared" si="29"/>
        <v>0</v>
      </c>
      <c r="AC85" s="1400"/>
      <c r="AD85" s="1399"/>
      <c r="AJ85" s="1398"/>
      <c r="AN85" s="1399"/>
    </row>
    <row r="86" spans="1:40" ht="24">
      <c r="A86" s="1061" t="s">
        <v>1023</v>
      </c>
      <c r="B86" s="3041" t="s">
        <v>2930</v>
      </c>
      <c r="C86" s="1048"/>
      <c r="D86" s="2380">
        <f t="shared" si="25"/>
        <v>0</v>
      </c>
      <c r="E86" s="2408"/>
      <c r="F86" s="2409"/>
      <c r="G86" s="2378"/>
      <c r="H86" s="2424">
        <f t="shared" si="26"/>
        <v>3.2000000000000002E-3</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1036</v>
      </c>
      <c r="B87" s="2373" t="str">
        <f>估价对象房地状况!G18</f>
        <v>该园区内是否有污染型企业，绿化情况，卫生条件，整体环境状况判断</v>
      </c>
      <c r="C87" s="1048"/>
      <c r="D87" s="2380">
        <f t="shared" si="25"/>
        <v>0</v>
      </c>
      <c r="E87" s="2410"/>
      <c r="F87" s="2409"/>
      <c r="G87" s="2378"/>
      <c r="H87" s="2424">
        <f t="shared" si="26"/>
        <v>3.8999999999999998E-3</v>
      </c>
      <c r="I87" s="2405">
        <v>0.06</v>
      </c>
      <c r="J87" s="2401">
        <f t="shared" si="27"/>
        <v>0</v>
      </c>
      <c r="K87" s="2401">
        <f t="shared" si="28"/>
        <v>0</v>
      </c>
      <c r="L87" s="2401">
        <v>0</v>
      </c>
      <c r="M87" s="2401">
        <f t="shared" si="29"/>
        <v>0</v>
      </c>
      <c r="N87" s="2401">
        <f t="shared" si="29"/>
        <v>0</v>
      </c>
      <c r="AC87" s="1400"/>
      <c r="AD87" s="1399"/>
      <c r="AJ87" s="1398"/>
      <c r="AN87" s="1399"/>
    </row>
    <row r="90" spans="1:40">
      <c r="A90" s="3433" t="s">
        <v>1631</v>
      </c>
      <c r="B90" s="3433"/>
      <c r="C90" s="3433"/>
      <c r="D90" s="3433"/>
      <c r="E90" s="3433"/>
      <c r="F90" s="3433"/>
      <c r="G90" s="3433"/>
      <c r="H90" s="3433"/>
      <c r="I90" s="3433"/>
      <c r="J90" s="3433"/>
      <c r="K90" s="2413"/>
      <c r="L90" s="2413"/>
      <c r="M90" s="2413"/>
      <c r="N90" s="2413"/>
    </row>
    <row r="91" spans="1:40">
      <c r="A91" s="3434" t="s">
        <v>1441</v>
      </c>
      <c r="B91" s="3434" t="s">
        <v>1632</v>
      </c>
      <c r="C91" s="1134" t="s">
        <v>1633</v>
      </c>
      <c r="D91" s="1135"/>
      <c r="E91" s="1135"/>
      <c r="F91" s="1135"/>
      <c r="G91" s="1135"/>
      <c r="H91" s="1135"/>
      <c r="I91" s="1135"/>
      <c r="J91" s="1136"/>
      <c r="K91" s="1128"/>
      <c r="L91" s="1128"/>
      <c r="M91" s="1128"/>
      <c r="N91" s="1128"/>
    </row>
    <row r="92" spans="1:40">
      <c r="A92" s="3434"/>
      <c r="B92" s="3434"/>
      <c r="C92" s="2412" t="s">
        <v>905</v>
      </c>
      <c r="D92" s="2412" t="s">
        <v>883</v>
      </c>
      <c r="E92" s="2412" t="s">
        <v>884</v>
      </c>
      <c r="F92" s="2412" t="s">
        <v>908</v>
      </c>
      <c r="G92" s="2412" t="s">
        <v>886</v>
      </c>
      <c r="H92" s="2412" t="s">
        <v>887</v>
      </c>
      <c r="I92" s="2412" t="s">
        <v>888</v>
      </c>
      <c r="J92" s="2412" t="s">
        <v>889</v>
      </c>
      <c r="K92" s="2412" t="s">
        <v>913</v>
      </c>
      <c r="L92" s="2412" t="s">
        <v>891</v>
      </c>
      <c r="M92" s="2412" t="s">
        <v>892</v>
      </c>
      <c r="N92" s="2412" t="s">
        <v>916</v>
      </c>
    </row>
    <row r="93" spans="1:40">
      <c r="A93" s="3420" t="s">
        <v>2757</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21"/>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21"/>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21"/>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21"/>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21"/>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21"/>
      <c r="B99" s="1137" t="s">
        <v>1634</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22"/>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20" t="s">
        <v>1635</v>
      </c>
      <c r="B101" s="1141" t="s">
        <v>904</v>
      </c>
      <c r="C101" s="1142">
        <f>$G$3</f>
        <v>1</v>
      </c>
      <c r="D101" s="1142">
        <f t="shared" ref="D101:N101" si="31">$G$3</f>
        <v>1</v>
      </c>
      <c r="E101" s="1142">
        <f t="shared" si="31"/>
        <v>1</v>
      </c>
      <c r="F101" s="1142">
        <f t="shared" si="31"/>
        <v>1</v>
      </c>
      <c r="G101" s="1142">
        <f t="shared" si="31"/>
        <v>1</v>
      </c>
      <c r="H101" s="1142">
        <f t="shared" si="31"/>
        <v>1</v>
      </c>
      <c r="I101" s="1142">
        <f t="shared" si="31"/>
        <v>1</v>
      </c>
      <c r="J101" s="1142">
        <f t="shared" si="31"/>
        <v>1</v>
      </c>
      <c r="K101" s="1142">
        <f t="shared" si="31"/>
        <v>1</v>
      </c>
      <c r="L101" s="1142">
        <f t="shared" si="31"/>
        <v>1</v>
      </c>
      <c r="M101" s="1142">
        <f t="shared" si="31"/>
        <v>1</v>
      </c>
      <c r="N101" s="1142">
        <f t="shared" si="31"/>
        <v>1</v>
      </c>
    </row>
    <row r="102" spans="1:14">
      <c r="A102" s="3421"/>
      <c r="B102" s="1137">
        <v>1</v>
      </c>
      <c r="C102" s="1138">
        <f>1.9362/C101</f>
        <v>1.9361999999999999</v>
      </c>
      <c r="D102" s="1138">
        <f>1.9362/D101</f>
        <v>1.9361999999999999</v>
      </c>
      <c r="E102" s="1138">
        <f>1.8629/E101</f>
        <v>1.8629</v>
      </c>
      <c r="F102" s="1138">
        <f>1.8629/F101</f>
        <v>1.8629</v>
      </c>
      <c r="G102" s="1138">
        <f>1.8629/G101</f>
        <v>1.8629</v>
      </c>
      <c r="H102" s="1138">
        <f>1.8629/H101</f>
        <v>1.8629</v>
      </c>
      <c r="I102" s="1138">
        <f>1.8629/I101</f>
        <v>1.8629</v>
      </c>
      <c r="J102" s="1138">
        <f>1.942/J101</f>
        <v>1.9419999999999999</v>
      </c>
      <c r="K102" s="1138">
        <f>1.942/K101</f>
        <v>1.9419999999999999</v>
      </c>
      <c r="L102" s="1138">
        <f>1.942/L101</f>
        <v>1.9419999999999999</v>
      </c>
      <c r="M102" s="1138">
        <f>1.942/M101</f>
        <v>1.9419999999999999</v>
      </c>
      <c r="N102" s="1138">
        <f>1.942/N101</f>
        <v>1.9419999999999999</v>
      </c>
    </row>
    <row r="103" spans="1:14">
      <c r="A103" s="3421"/>
      <c r="B103" s="1137">
        <v>2</v>
      </c>
      <c r="C103" s="1138">
        <f>1.4198/C101</f>
        <v>1.4198</v>
      </c>
      <c r="D103" s="1138">
        <f>1.4198/D101</f>
        <v>1.4198</v>
      </c>
      <c r="E103" s="1138">
        <f>1.3372/E101</f>
        <v>1.3371999999999999</v>
      </c>
      <c r="F103" s="1138">
        <f>1.3372/F101</f>
        <v>1.3371999999999999</v>
      </c>
      <c r="G103" s="1138">
        <f>1.3372/G101</f>
        <v>1.3371999999999999</v>
      </c>
      <c r="H103" s="1138">
        <f>1.3372/H101</f>
        <v>1.3371999999999999</v>
      </c>
      <c r="I103" s="1138">
        <f>1.3372/I101</f>
        <v>1.3371999999999999</v>
      </c>
      <c r="J103" s="1138">
        <f>1.2799/J101</f>
        <v>1.2799</v>
      </c>
      <c r="K103" s="1138">
        <f>1.2799/K101</f>
        <v>1.2799</v>
      </c>
      <c r="L103" s="1138">
        <f>1.2799/L101</f>
        <v>1.2799</v>
      </c>
      <c r="M103" s="1138">
        <f>1.2799/M101</f>
        <v>1.2799</v>
      </c>
      <c r="N103" s="1138">
        <f>1.2799/N101</f>
        <v>1.2799</v>
      </c>
    </row>
    <row r="104" spans="1:14">
      <c r="A104" s="3421"/>
      <c r="B104" s="1137">
        <v>3</v>
      </c>
      <c r="C104" s="1138">
        <f>1.1594/C101</f>
        <v>1.1594</v>
      </c>
      <c r="D104" s="1138">
        <f>1.1594/D101</f>
        <v>1.1594</v>
      </c>
      <c r="E104" s="1138">
        <f>1.0788/E101</f>
        <v>1.0788</v>
      </c>
      <c r="F104" s="1138">
        <f>1.0788/F101</f>
        <v>1.0788</v>
      </c>
      <c r="G104" s="1138">
        <f>1.0788/G101</f>
        <v>1.0788</v>
      </c>
      <c r="H104" s="1138">
        <f>1.0788/H101</f>
        <v>1.0788</v>
      </c>
      <c r="I104" s="1138">
        <f>1.0788/I101</f>
        <v>1.0788</v>
      </c>
      <c r="J104" s="1138">
        <f>1.0072/J101</f>
        <v>1.0072000000000001</v>
      </c>
      <c r="K104" s="1138">
        <f>1.0072/K101</f>
        <v>1.0072000000000001</v>
      </c>
      <c r="L104" s="1138">
        <f>1.0072/L101</f>
        <v>1.0072000000000001</v>
      </c>
      <c r="M104" s="1138">
        <f>1.0072/M101</f>
        <v>1.0072000000000001</v>
      </c>
      <c r="N104" s="1138">
        <f>1.0072/N101</f>
        <v>1.0072000000000001</v>
      </c>
    </row>
    <row r="105" spans="1:14">
      <c r="A105" s="3421"/>
      <c r="B105" s="1137">
        <v>4</v>
      </c>
      <c r="C105" s="1138">
        <f>0.9622/C101</f>
        <v>0.96220000000000006</v>
      </c>
      <c r="D105" s="1138">
        <f>0.9622/D101</f>
        <v>0.96220000000000006</v>
      </c>
      <c r="E105" s="1138">
        <f>0.8656/E101</f>
        <v>0.86560000000000004</v>
      </c>
      <c r="F105" s="1138">
        <f>0.8656/F101</f>
        <v>0.86560000000000004</v>
      </c>
      <c r="G105" s="1138">
        <f>0.8656/G101</f>
        <v>0.86560000000000004</v>
      </c>
      <c r="H105" s="1138">
        <f>0.8656/H101</f>
        <v>0.86560000000000004</v>
      </c>
      <c r="I105" s="1138">
        <f>0.8656/I101</f>
        <v>0.86560000000000004</v>
      </c>
      <c r="J105" s="1138">
        <f>0.7525/J101</f>
        <v>0.75249999999999995</v>
      </c>
      <c r="K105" s="1138">
        <f>0.7525/K101</f>
        <v>0.75249999999999995</v>
      </c>
      <c r="L105" s="1138">
        <f>0.7525/L101</f>
        <v>0.75249999999999995</v>
      </c>
      <c r="M105" s="1138">
        <f>0.7525/M101</f>
        <v>0.75249999999999995</v>
      </c>
      <c r="N105" s="1138">
        <f>0.7525/N101</f>
        <v>0.75249999999999995</v>
      </c>
    </row>
    <row r="106" spans="1:14">
      <c r="A106" s="3421"/>
      <c r="B106" s="1137">
        <v>5</v>
      </c>
      <c r="C106" s="1138">
        <f>0.8417/C101</f>
        <v>0.8417</v>
      </c>
      <c r="D106" s="1138">
        <f>0.8417/D101</f>
        <v>0.8417</v>
      </c>
      <c r="E106" s="1138">
        <f>0.7371/E101</f>
        <v>0.73709999999999998</v>
      </c>
      <c r="F106" s="1138">
        <f>0.7371/F101</f>
        <v>0.73709999999999998</v>
      </c>
      <c r="G106" s="1138">
        <f>0.7371/G101</f>
        <v>0.73709999999999998</v>
      </c>
      <c r="H106" s="1138">
        <f>0.7371/H101</f>
        <v>0.73709999999999998</v>
      </c>
      <c r="I106" s="1138">
        <f>0.7371/I101</f>
        <v>0.73709999999999998</v>
      </c>
      <c r="J106" s="1138">
        <f>0.5659/J101</f>
        <v>0.56589999999999996</v>
      </c>
      <c r="K106" s="1138">
        <f>0.5659/K101</f>
        <v>0.56589999999999996</v>
      </c>
      <c r="L106" s="1138">
        <f>0.5659/L101</f>
        <v>0.56589999999999996</v>
      </c>
      <c r="M106" s="1138">
        <f>0.5659/M101</f>
        <v>0.56589999999999996</v>
      </c>
      <c r="N106" s="1138">
        <f>0.5659/N101</f>
        <v>0.56589999999999996</v>
      </c>
    </row>
    <row r="107" spans="1:14">
      <c r="A107" s="3421"/>
      <c r="B107" s="1137">
        <v>6</v>
      </c>
      <c r="C107" s="1138">
        <f>0.7608/C101</f>
        <v>0.76080000000000003</v>
      </c>
      <c r="D107" s="1138">
        <f>0.7608/D101</f>
        <v>0.76080000000000003</v>
      </c>
      <c r="E107" s="1138">
        <f>0.6482/E101</f>
        <v>0.6482</v>
      </c>
      <c r="F107" s="1138">
        <f>0.6482/F101</f>
        <v>0.6482</v>
      </c>
      <c r="G107" s="1138">
        <f>0.6482/G101</f>
        <v>0.6482</v>
      </c>
      <c r="H107" s="1138">
        <f>0.6482/H101</f>
        <v>0.6482</v>
      </c>
      <c r="I107" s="1138">
        <f>0.6482/I101</f>
        <v>0.6482</v>
      </c>
      <c r="J107" s="1138">
        <f>0.4525/J101</f>
        <v>0.45250000000000001</v>
      </c>
      <c r="K107" s="1138">
        <f>0.4525/K101</f>
        <v>0.45250000000000001</v>
      </c>
      <c r="L107" s="1138">
        <f>0.4525/L101</f>
        <v>0.45250000000000001</v>
      </c>
      <c r="M107" s="1138">
        <f>0.4525/M101</f>
        <v>0.45250000000000001</v>
      </c>
      <c r="N107" s="1138">
        <f>0.4525/N101</f>
        <v>0.45250000000000001</v>
      </c>
    </row>
    <row r="108" spans="1:14">
      <c r="A108" s="3421"/>
      <c r="B108" s="3423" t="s">
        <v>1636</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22"/>
      <c r="B109" s="3424"/>
      <c r="C109" s="1140">
        <f>(-0.163*(C108^2)-0.59*C108+7617)*(10^(-4))/C101</f>
        <v>0.76018479999999999</v>
      </c>
      <c r="D109" s="1140">
        <f>(-0.163*(D108^2)-0.59*D108+7617)*(10^(-4))/D101</f>
        <v>0.76018479999999999</v>
      </c>
      <c r="E109" s="1140">
        <f>(-0.161*(E108^2)-7.509*E108+6533)*(10^(-4))/E101</f>
        <v>0.64626240000000001</v>
      </c>
      <c r="F109" s="1140">
        <f>(-0.161*(F108^2)-7.509*F108+6533)*(10^(-4))/F101</f>
        <v>0.64626240000000001</v>
      </c>
      <c r="G109" s="1140">
        <f>(-0.161*(G108^2)-7.509*G108+6533)*(10^(-4))/G101</f>
        <v>0.64626240000000001</v>
      </c>
      <c r="H109" s="1140">
        <f>(-0.161*(H108^2)-7.509*H108+6533)*(10^(-4))/H101</f>
        <v>0.64626240000000001</v>
      </c>
      <c r="I109" s="1140">
        <f>(-0.161*(I108^2)-7.509*I108+6533)*(10^(-4))/I101</f>
        <v>0.64626240000000001</v>
      </c>
      <c r="J109" s="1140">
        <f>(-0.214*(J108^2)-21.991*J108+4665)*(10^(-4))/J101</f>
        <v>0.44753760000000004</v>
      </c>
      <c r="K109" s="1140">
        <f>(-0.214*(K108^2)-21.991*K108+4665)*(10^(-4))/K101</f>
        <v>0.44753760000000004</v>
      </c>
      <c r="L109" s="1140">
        <f>(-0.214*(L108^2)-21.991*L108+4665)*(10^(-4))/L101</f>
        <v>0.44753760000000004</v>
      </c>
      <c r="M109" s="1140">
        <f>(-0.214*(M108^2)-21.991*M108+4665)*(10^(-4))/M101</f>
        <v>0.44753760000000004</v>
      </c>
      <c r="N109" s="1140">
        <f>(-0.214*(N108^2)-21.991*N108+4665)*(10^(-4))/N101</f>
        <v>0.44753760000000004</v>
      </c>
    </row>
    <row r="110" spans="1:14">
      <c r="A110" s="3427" t="s">
        <v>1637</v>
      </c>
      <c r="B110" s="3427"/>
      <c r="C110" s="3427"/>
      <c r="D110" s="3427"/>
      <c r="E110" s="3427"/>
      <c r="F110" s="3427"/>
      <c r="G110" s="3427"/>
      <c r="H110" s="3427"/>
      <c r="I110" s="3427"/>
      <c r="J110" s="3427"/>
      <c r="K110" s="2411"/>
      <c r="L110" s="2411"/>
      <c r="M110" s="2411"/>
      <c r="N110" s="2411"/>
    </row>
    <row r="112" spans="1:14" ht="12.75" thickBot="1"/>
    <row r="113" spans="1:13" ht="25.5" thickBot="1">
      <c r="A113" s="1014" t="s">
        <v>894</v>
      </c>
      <c r="B113" s="2414">
        <f>G3</f>
        <v>1</v>
      </c>
      <c r="C113" s="1015" t="s">
        <v>895</v>
      </c>
      <c r="D113" s="1016">
        <f>SUMPRODUCT((A115:A118=F113)*(B114:M114=H113)*B115:M118)</f>
        <v>0.61770000000000003</v>
      </c>
      <c r="E113" s="1017" t="s">
        <v>896</v>
      </c>
      <c r="F113" s="1018" t="str">
        <f>E2</f>
        <v>工业</v>
      </c>
      <c r="G113" s="1017" t="s">
        <v>897</v>
      </c>
      <c r="H113" s="1018" t="str">
        <f>G2</f>
        <v>七级</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0.92410000000000003</v>
      </c>
      <c r="C115" s="1028">
        <f>B115</f>
        <v>0.92410000000000003</v>
      </c>
      <c r="D115" s="1028">
        <f>ROUND(0.8331-0.0109*B113,4)</f>
        <v>0.82220000000000004</v>
      </c>
      <c r="E115" s="1028">
        <f>D115</f>
        <v>0.82220000000000004</v>
      </c>
      <c r="F115" s="1028">
        <f>E115</f>
        <v>0.82220000000000004</v>
      </c>
      <c r="G115" s="1028">
        <f>F115</f>
        <v>0.82220000000000004</v>
      </c>
      <c r="H115" s="1028">
        <f>G115</f>
        <v>0.82220000000000004</v>
      </c>
      <c r="I115" s="1028">
        <f>ROUND(0.689-0.0155*B113,4)</f>
        <v>0.67349999999999999</v>
      </c>
      <c r="J115" s="1028">
        <f t="shared" ref="J115:M118" si="33">I115</f>
        <v>0.67349999999999999</v>
      </c>
      <c r="K115" s="1028">
        <f t="shared" si="33"/>
        <v>0.67349999999999999</v>
      </c>
      <c r="L115" s="1028">
        <f t="shared" si="33"/>
        <v>0.67349999999999999</v>
      </c>
      <c r="M115" s="1029">
        <f t="shared" si="33"/>
        <v>0.67349999999999999</v>
      </c>
    </row>
    <row r="116" spans="1:13" ht="12.75">
      <c r="A116" s="1027" t="s">
        <v>899</v>
      </c>
      <c r="B116" s="1028">
        <f>ROUND(0.949-0.012*B113,4)</f>
        <v>0.93700000000000006</v>
      </c>
      <c r="C116" s="1028">
        <f>B116</f>
        <v>0.93700000000000006</v>
      </c>
      <c r="D116" s="1028">
        <f>ROUND(0.8567-0.013*B113,4)</f>
        <v>0.84370000000000001</v>
      </c>
      <c r="E116" s="1028">
        <f t="shared" ref="E116:H117" si="34">D116</f>
        <v>0.84370000000000001</v>
      </c>
      <c r="F116" s="1028">
        <f t="shared" si="34"/>
        <v>0.84370000000000001</v>
      </c>
      <c r="G116" s="1028">
        <f t="shared" si="34"/>
        <v>0.84370000000000001</v>
      </c>
      <c r="H116" s="1028">
        <f t="shared" si="34"/>
        <v>0.84370000000000001</v>
      </c>
      <c r="I116" s="1028">
        <f>ROUND(0.7694-0.014*B113,4)</f>
        <v>0.75539999999999996</v>
      </c>
      <c r="J116" s="1028">
        <f t="shared" si="33"/>
        <v>0.75539999999999996</v>
      </c>
      <c r="K116" s="1028">
        <f t="shared" si="33"/>
        <v>0.75539999999999996</v>
      </c>
      <c r="L116" s="1028">
        <f t="shared" si="33"/>
        <v>0.75539999999999996</v>
      </c>
      <c r="M116" s="1029">
        <f t="shared" si="33"/>
        <v>0.75539999999999996</v>
      </c>
    </row>
    <row r="117" spans="1:13" ht="12.75">
      <c r="A117" s="1030" t="s">
        <v>900</v>
      </c>
      <c r="B117" s="1028">
        <f>ROUND(0.8808-0.006*B113,4)</f>
        <v>0.87480000000000002</v>
      </c>
      <c r="C117" s="1028">
        <f>B117</f>
        <v>0.87480000000000002</v>
      </c>
      <c r="D117" s="1028">
        <f>ROUND(0.8748-0.008*B113,4)</f>
        <v>0.86680000000000001</v>
      </c>
      <c r="E117" s="1028">
        <f t="shared" si="34"/>
        <v>0.86680000000000001</v>
      </c>
      <c r="F117" s="1028">
        <f t="shared" si="34"/>
        <v>0.86680000000000001</v>
      </c>
      <c r="G117" s="1028">
        <f t="shared" si="34"/>
        <v>0.86680000000000001</v>
      </c>
      <c r="H117" s="1028">
        <f t="shared" si="34"/>
        <v>0.86680000000000001</v>
      </c>
      <c r="I117" s="1028">
        <f>ROUND(0.7412-0.0095*B113,4)</f>
        <v>0.73170000000000002</v>
      </c>
      <c r="J117" s="1028">
        <f t="shared" si="33"/>
        <v>0.73170000000000002</v>
      </c>
      <c r="K117" s="1028">
        <f t="shared" si="33"/>
        <v>0.73170000000000002</v>
      </c>
      <c r="L117" s="1028">
        <f t="shared" si="33"/>
        <v>0.73170000000000002</v>
      </c>
      <c r="M117" s="1029">
        <f t="shared" si="33"/>
        <v>0.73170000000000002</v>
      </c>
    </row>
    <row r="118" spans="1:13" ht="13.5" thickBot="1">
      <c r="A118" s="1031" t="s">
        <v>901</v>
      </c>
      <c r="B118" s="1032">
        <f>ROUND(0.7275-0.01*B113,4)</f>
        <v>0.71750000000000003</v>
      </c>
      <c r="C118" s="1032">
        <f>B118</f>
        <v>0.71750000000000003</v>
      </c>
      <c r="D118" s="1032">
        <f>ROUND(0.7043-0.012*B113,4)</f>
        <v>0.69230000000000003</v>
      </c>
      <c r="E118" s="1032">
        <f>D118</f>
        <v>0.69230000000000003</v>
      </c>
      <c r="F118" s="1032">
        <f>E118</f>
        <v>0.69230000000000003</v>
      </c>
      <c r="G118" s="1032">
        <f>ROUND(0.6299-0.0122*B113,4)</f>
        <v>0.61770000000000003</v>
      </c>
      <c r="H118" s="1032">
        <f>G118</f>
        <v>0.61770000000000003</v>
      </c>
      <c r="I118" s="1032">
        <f>ROUND(0.5667-0.0136*B113,4)</f>
        <v>0.55310000000000004</v>
      </c>
      <c r="J118" s="1032">
        <f t="shared" si="33"/>
        <v>0.55310000000000004</v>
      </c>
      <c r="K118" s="1032">
        <f t="shared" si="33"/>
        <v>0.55310000000000004</v>
      </c>
      <c r="L118" s="1032">
        <f t="shared" si="33"/>
        <v>0.55310000000000004</v>
      </c>
      <c r="M118" s="1033">
        <f t="shared" si="33"/>
        <v>0.55310000000000004</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t="s">
        <v>979</v>
      </c>
      <c r="C1" s="2088"/>
      <c r="D1" s="2088"/>
      <c r="E1" s="2088"/>
      <c r="F1" s="2088"/>
      <c r="G1" s="2088"/>
      <c r="H1" s="2088"/>
      <c r="I1" s="2088"/>
      <c r="J1" s="2088"/>
      <c r="K1" s="422">
        <f>MATCH(B1,'数据-取费表'!A6:A16,0)+5</f>
        <v>6</v>
      </c>
    </row>
    <row r="2" spans="1:41" s="2025" customFormat="1" ht="18" customHeight="1">
      <c r="A2" s="423" t="s">
        <v>467</v>
      </c>
      <c r="B2" s="424">
        <f ca="1">C32</f>
        <v>39015.686063093082</v>
      </c>
      <c r="C2" s="2088"/>
      <c r="D2" s="2088"/>
      <c r="E2" s="2088"/>
      <c r="F2" s="2088"/>
      <c r="G2" s="2088"/>
      <c r="H2" s="2088"/>
      <c r="I2" s="2088"/>
      <c r="J2" s="2088"/>
      <c r="K2" s="2088"/>
    </row>
    <row r="3" spans="1:41" s="2025" customFormat="1" ht="18" customHeight="1">
      <c r="A3" s="1374" t="s">
        <v>1682</v>
      </c>
      <c r="B3" s="425">
        <f ca="1">ROUND(B2*10000/IF(B1="",'数据-汇总表'!E3,INDIRECT("'数据-取费表'!K"&amp;$K$1)),0)</f>
        <v>4050</v>
      </c>
      <c r="C3" s="2088"/>
      <c r="D3" s="2088"/>
      <c r="E3" s="2088"/>
      <c r="F3" s="2088"/>
      <c r="G3" s="2088"/>
      <c r="H3" s="2088"/>
      <c r="I3" s="2088"/>
      <c r="J3" s="2088"/>
      <c r="K3" s="2088"/>
    </row>
    <row r="4" spans="1:41" s="2025" customFormat="1" ht="18" customHeight="1">
      <c r="A4" s="426" t="s">
        <v>468</v>
      </c>
      <c r="B4" s="427">
        <f ca="1">ROUND(B2*10000/IF(B1="",'数据-汇总表'!D3,INDIRECT("'数据-取费表'!R"&amp;$K$1)),0)</f>
        <v>4050</v>
      </c>
      <c r="C4" s="2045"/>
      <c r="D4" s="2088"/>
      <c r="E4" s="2088"/>
      <c r="F4" s="2088"/>
      <c r="G4" s="2088"/>
      <c r="H4" s="2088"/>
      <c r="I4" s="2088"/>
      <c r="J4" s="2088"/>
      <c r="K4" s="2088"/>
    </row>
    <row r="5" spans="1:41" s="2025" customFormat="1" ht="18" customHeight="1" thickBot="1">
      <c r="A5" s="429"/>
      <c r="B5" s="430">
        <f ca="1">ROUND(B2/(IF(B1="",'数据-汇总表'!D3,INDIRECT("'数据-取费表'!R"&amp;$K$1))/666.67),0)</f>
        <v>270</v>
      </c>
      <c r="C5" s="431" t="s">
        <v>469</v>
      </c>
      <c r="D5" s="2088"/>
      <c r="E5" s="2088"/>
      <c r="F5" s="2088"/>
      <c r="G5" s="2088"/>
      <c r="H5" s="2088"/>
      <c r="I5" s="2088"/>
      <c r="J5" s="2088"/>
      <c r="K5" s="2088"/>
    </row>
    <row r="6" spans="1:41" s="2095" customFormat="1" ht="16.5" customHeight="1">
      <c r="A6" s="432" t="s">
        <v>2646</v>
      </c>
      <c r="B6" s="433"/>
      <c r="C6" s="1607">
        <f ca="1">SUM(C10:K10)</f>
        <v>70948</v>
      </c>
      <c r="D6" s="2093"/>
      <c r="E6" s="2093"/>
      <c r="F6" s="2093"/>
      <c r="G6" s="2093"/>
      <c r="H6" s="2093"/>
      <c r="I6" s="2093"/>
      <c r="J6" s="2093"/>
      <c r="K6" s="2094"/>
    </row>
    <row r="7" spans="1:41" s="2097" customFormat="1" ht="15">
      <c r="A7" s="434" t="s">
        <v>470</v>
      </c>
      <c r="B7" s="435" t="s">
        <v>471</v>
      </c>
      <c r="C7" s="436" t="s">
        <v>979</v>
      </c>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1843</v>
      </c>
      <c r="B8" s="438" t="s">
        <v>472</v>
      </c>
      <c r="C8" s="439">
        <f ca="1">不动产收益法!C43</f>
        <v>7364</v>
      </c>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1844</v>
      </c>
      <c r="B9" s="438" t="s">
        <v>473</v>
      </c>
      <c r="C9" s="441">
        <f>SUMIF('数据-汇总表'!$C19:$C33,'剩余法-现房'!C7,'数据-汇总表'!$E19:$E33)</f>
        <v>96343.56</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1845</v>
      </c>
      <c r="B10" s="1608" t="s">
        <v>474</v>
      </c>
      <c r="C10" s="1609">
        <f ca="1">不动产收益法!C40</f>
        <v>70948</v>
      </c>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1862</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1846</v>
      </c>
      <c r="B13" s="449" t="s">
        <v>479</v>
      </c>
      <c r="C13" s="450">
        <f ca="1">IF(B1="",'数据-取费表'!M16,INDIRECT("'数据-取费表'!M"&amp;$K$1)+INDIRECT("'数据-取费表'!t"&amp;$K$1))</f>
        <v>14452</v>
      </c>
      <c r="D13" s="451"/>
      <c r="E13" s="365"/>
      <c r="F13" s="452"/>
      <c r="G13" s="444"/>
      <c r="H13" s="447"/>
      <c r="I13" s="447"/>
      <c r="J13" s="447"/>
      <c r="K13" s="448"/>
    </row>
    <row r="14" spans="1:41" s="2100" customFormat="1" ht="13.5" customHeight="1">
      <c r="A14" s="1617" t="s">
        <v>1847</v>
      </c>
      <c r="B14" s="449" t="s">
        <v>480</v>
      </c>
      <c r="C14" s="53">
        <f ca="1">ROUND(C13*F14,0)</f>
        <v>434</v>
      </c>
      <c r="D14" s="451"/>
      <c r="E14" s="365"/>
      <c r="F14" s="453">
        <f>'数据-取费表'!B33</f>
        <v>0.03</v>
      </c>
      <c r="G14" s="444" t="s">
        <v>502</v>
      </c>
      <c r="H14" s="447"/>
      <c r="I14" s="447"/>
      <c r="J14" s="447"/>
      <c r="K14" s="448"/>
    </row>
    <row r="15" spans="1:41" s="2100" customFormat="1" ht="13.5" customHeight="1">
      <c r="A15" s="1617" t="s">
        <v>1848</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1" customFormat="1" ht="13.5" customHeight="1">
      <c r="A16" s="1617" t="s">
        <v>1849</v>
      </c>
      <c r="B16" s="449" t="s">
        <v>484</v>
      </c>
      <c r="C16" s="53">
        <f ca="1">ROUND(D16*E16/10000,0)</f>
        <v>1927</v>
      </c>
      <c r="D16" s="451">
        <f ca="1">IF(B1="",'数据-汇总表'!E3,INDIRECT("'数据-取费表'!K"&amp;$K$1)+INDIRECT("'数据-取费表'!S"&amp;$K$1))</f>
        <v>96343.56</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1850</v>
      </c>
      <c r="B17" s="449" t="s">
        <v>485</v>
      </c>
      <c r="C17" s="454">
        <f ca="1">ROUND(C13*F17,0)</f>
        <v>217</v>
      </c>
      <c r="D17" s="455"/>
      <c r="E17" s="454"/>
      <c r="F17" s="456">
        <f>'数据-取费表'!B36</f>
        <v>1.4999999999999999E-2</v>
      </c>
      <c r="G17" s="444" t="s">
        <v>502</v>
      </c>
      <c r="H17" s="457"/>
      <c r="I17" s="457"/>
      <c r="J17" s="457"/>
      <c r="K17" s="458"/>
    </row>
    <row r="18" spans="1:14" s="2103" customFormat="1" ht="13.5" customHeight="1">
      <c r="A18" s="1618" t="s">
        <v>1851</v>
      </c>
      <c r="B18" s="459" t="s">
        <v>487</v>
      </c>
      <c r="C18" s="460">
        <f ca="1">SUM(C13:C17)</f>
        <v>17030</v>
      </c>
      <c r="D18" s="461"/>
      <c r="E18" s="462"/>
      <c r="F18" s="462"/>
      <c r="G18" s="1321" t="s">
        <v>2427</v>
      </c>
      <c r="H18" s="447"/>
      <c r="I18" s="447"/>
      <c r="J18" s="447"/>
      <c r="K18" s="448"/>
    </row>
    <row r="19" spans="1:14" s="2103" customFormat="1" ht="13.5" customHeight="1">
      <c r="A19" s="1618" t="s">
        <v>1852</v>
      </c>
      <c r="B19" s="459" t="s">
        <v>493</v>
      </c>
      <c r="C19" s="460">
        <f ca="1">ROUND(C18*F19,0)</f>
        <v>341</v>
      </c>
      <c r="D19" s="462"/>
      <c r="E19" s="462"/>
      <c r="F19" s="466">
        <f>'数据-取费表'!B37</f>
        <v>0.02</v>
      </c>
      <c r="G19" s="444" t="s">
        <v>503</v>
      </c>
      <c r="H19" s="447"/>
      <c r="I19" s="447"/>
      <c r="J19" s="447"/>
      <c r="K19" s="448"/>
      <c r="L19" s="2105"/>
      <c r="M19" s="2105"/>
      <c r="N19" s="2105"/>
    </row>
    <row r="20" spans="1:14" s="2103" customFormat="1" ht="13.5" customHeight="1">
      <c r="A20" s="1618" t="s">
        <v>1853</v>
      </c>
      <c r="B20" s="459" t="s">
        <v>504</v>
      </c>
      <c r="C20" s="2981">
        <f>F20</f>
        <v>0.02</v>
      </c>
      <c r="D20" s="469" t="s">
        <v>505</v>
      </c>
      <c r="E20" s="469"/>
      <c r="F20" s="486">
        <f>'数据-取费表'!B38</f>
        <v>0.02</v>
      </c>
      <c r="G20" s="1321" t="s">
        <v>506</v>
      </c>
      <c r="H20" s="447"/>
      <c r="I20" s="447"/>
      <c r="J20" s="447"/>
      <c r="K20" s="448"/>
      <c r="L20" s="2105"/>
      <c r="M20" s="2105"/>
      <c r="N20" s="2105"/>
    </row>
    <row r="21" spans="1:14" s="2105" customFormat="1" ht="13.5" customHeight="1">
      <c r="A21" s="1618" t="s">
        <v>1856</v>
      </c>
      <c r="B21" s="461" t="s">
        <v>494</v>
      </c>
      <c r="C21" s="470">
        <f ca="1">C22</f>
        <v>408</v>
      </c>
      <c r="D21" s="467">
        <f ca="1">C23</f>
        <v>5.0000000000000001E-4</v>
      </c>
      <c r="E21" s="469" t="s">
        <v>507</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2449</v>
      </c>
    </row>
    <row r="22" spans="1:14" s="2104" customFormat="1" ht="13.5" customHeight="1">
      <c r="A22" s="1617" t="s">
        <v>1846</v>
      </c>
      <c r="B22" s="1322" t="s">
        <v>2430</v>
      </c>
      <c r="C22" s="487">
        <f ca="1">ROUND(IF('数据-取费表'!B22&lt;=1,(C18+C19)*F21*'数据-取费表'!B20/2,(C18+C19)*(POWER((1+F21),'数据-取费表'!B20/2)-1)),0)</f>
        <v>408</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1847</v>
      </c>
      <c r="B23" s="1322" t="s">
        <v>508</v>
      </c>
      <c r="C23" s="488">
        <f ca="1">ROUND(IF('数据-取费表'!B22&lt;=1,F20*F21*'数据-取费表'!B20/2,F20*(POWER((1+F21),'数据-取费表'!B20/2)-1)),4)</f>
        <v>5.0000000000000001E-4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1857</v>
      </c>
      <c r="B24" s="2983" t="s">
        <v>2824</v>
      </c>
      <c r="C24" s="478">
        <f ca="1">C25</f>
        <v>1737</v>
      </c>
      <c r="D24" s="489">
        <f ca="1">C26</f>
        <v>2E-3</v>
      </c>
      <c r="E24" s="469" t="s">
        <v>507</v>
      </c>
      <c r="F24" s="479">
        <f ca="1">IF(B1="",'数据-取费表'!Q16,INDIRECT("'数据-取费表'!q"&amp;$K$1))</f>
        <v>0.1</v>
      </c>
      <c r="G24" s="444"/>
      <c r="H24" s="447"/>
      <c r="I24" s="447"/>
      <c r="J24" s="447"/>
      <c r="K24" s="448"/>
    </row>
    <row r="25" spans="1:14" s="2104" customFormat="1" ht="13.5" customHeight="1">
      <c r="A25" s="1617" t="s">
        <v>1846</v>
      </c>
      <c r="B25" s="1322" t="s">
        <v>2431</v>
      </c>
      <c r="C25" s="490">
        <f ca="1">ROUND((C18+C19)*F24,0)</f>
        <v>1737</v>
      </c>
      <c r="D25" s="472"/>
      <c r="E25" s="473"/>
      <c r="F25" s="480"/>
      <c r="G25" s="1320" t="s">
        <v>2428</v>
      </c>
      <c r="H25" s="457"/>
      <c r="I25" s="457"/>
      <c r="J25" s="457"/>
      <c r="K25" s="458"/>
    </row>
    <row r="26" spans="1:14" s="2104" customFormat="1" ht="13.5" customHeight="1">
      <c r="A26" s="1617" t="s">
        <v>1847</v>
      </c>
      <c r="B26" s="1322" t="s">
        <v>509</v>
      </c>
      <c r="C26" s="491">
        <f ca="1">ROUND(F20*F24,4)</f>
        <v>2E-3</v>
      </c>
      <c r="D26" s="472"/>
      <c r="E26" s="481"/>
      <c r="F26" s="480"/>
      <c r="G26" s="1320" t="s">
        <v>510</v>
      </c>
      <c r="H26" s="457"/>
      <c r="I26" s="457"/>
      <c r="J26" s="457"/>
      <c r="K26" s="458"/>
    </row>
    <row r="27" spans="1:14" s="2104" customFormat="1" ht="13.5" customHeight="1">
      <c r="A27" s="1621" t="s">
        <v>1865</v>
      </c>
      <c r="B27" s="459" t="s">
        <v>511</v>
      </c>
      <c r="C27" s="2982">
        <f>ROUND(F27/(1+'数据-取费表'!C42),4)</f>
        <v>5.2400000000000002E-2</v>
      </c>
      <c r="D27" s="462" t="s">
        <v>2822</v>
      </c>
      <c r="E27" s="462"/>
      <c r="F27" s="466">
        <f>'数据-取费表'!B41</f>
        <v>5.5000000000000007E-2</v>
      </c>
      <c r="G27" s="1944" t="s">
        <v>2286</v>
      </c>
      <c r="H27" s="447"/>
      <c r="I27" s="447"/>
      <c r="J27" s="447"/>
      <c r="K27" s="448"/>
    </row>
    <row r="28" spans="1:14" s="2105" customFormat="1" ht="13.5" customHeight="1">
      <c r="A28" s="1621" t="s">
        <v>1866</v>
      </c>
      <c r="B28" s="476" t="s">
        <v>512</v>
      </c>
      <c r="C28" s="470">
        <f ca="1">ROUND((C18+C19+C21+C24)/(1-C20-D21-D24-C27),0)</f>
        <v>21096</v>
      </c>
      <c r="D28" s="477"/>
      <c r="E28" s="469"/>
      <c r="F28" s="471"/>
      <c r="G28" s="1321" t="s">
        <v>2429</v>
      </c>
      <c r="H28" s="447"/>
      <c r="I28" s="447"/>
      <c r="J28" s="447"/>
      <c r="K28" s="448"/>
    </row>
    <row r="29" spans="1:14" s="2105" customFormat="1" ht="13.5" customHeight="1">
      <c r="A29" s="1621" t="s">
        <v>1867</v>
      </c>
      <c r="B29" s="476" t="s">
        <v>513</v>
      </c>
      <c r="C29" s="492">
        <f ca="1">IF(B1="",'数据-取费表'!N16,INDIRECT("'数据-取费表'!N"&amp;$K$1))</f>
        <v>1</v>
      </c>
      <c r="D29" s="493"/>
      <c r="E29" s="494"/>
      <c r="F29" s="495"/>
      <c r="G29" s="444"/>
      <c r="H29" s="447"/>
      <c r="I29" s="447"/>
      <c r="J29" s="447"/>
      <c r="K29" s="448"/>
    </row>
    <row r="30" spans="1:14" s="2105" customFormat="1" ht="13.5" customHeight="1">
      <c r="A30" s="443">
        <v>2</v>
      </c>
      <c r="B30" s="476" t="s">
        <v>514</v>
      </c>
      <c r="C30" s="497">
        <f ca="1">ROUND(C28*C29,0)</f>
        <v>21096</v>
      </c>
      <c r="D30" s="493"/>
      <c r="E30" s="498"/>
      <c r="F30" s="499"/>
      <c r="G30" s="1323" t="s">
        <v>515</v>
      </c>
      <c r="H30" s="496"/>
      <c r="I30" s="496"/>
      <c r="J30" s="447"/>
      <c r="K30" s="448"/>
    </row>
    <row r="31" spans="1:14" s="2110" customFormat="1" ht="13.5" customHeight="1">
      <c r="A31" s="2445" t="s">
        <v>1863</v>
      </c>
      <c r="B31" s="1324"/>
      <c r="C31" s="500">
        <f ca="1">ROUND(C6*F31/(1+'数据-取费表'!C42),0)</f>
        <v>3716</v>
      </c>
      <c r="D31" s="1325"/>
      <c r="E31" s="1325"/>
      <c r="F31" s="501">
        <f>'数据-取费表'!B41</f>
        <v>5.5000000000000007E-2</v>
      </c>
      <c r="G31" s="1326"/>
      <c r="H31" s="1326"/>
      <c r="I31" s="1326"/>
      <c r="J31" s="1327"/>
      <c r="K31" s="1328"/>
    </row>
    <row r="32" spans="1:14" s="2069" customFormat="1" ht="13.5" customHeight="1" thickBot="1">
      <c r="A32" s="482" t="s">
        <v>1864</v>
      </c>
      <c r="B32" s="483"/>
      <c r="C32" s="484">
        <f ca="1">IF('数据-取费表'!B20&lt;=1,(C6-C30-C31)/(1+F21*'数据-取费表'!B20+F24)/(1+'数据-取费表'!B48+'数据-取费表'!B49),(C6-C30-C31)/(1+(POWER((1+F21),'数据-取费表'!B20)-1)+F24)/(1+'数据-取费表'!B48+'数据-取费表'!B49))</f>
        <v>39015.686063093082</v>
      </c>
      <c r="D32" s="483"/>
      <c r="E32" s="483"/>
      <c r="F32" s="483"/>
      <c r="G32" s="2446" t="s">
        <v>2966</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467</v>
      </c>
      <c r="B2" s="508" t="e">
        <f>F68</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1682</v>
      </c>
      <c r="B3" s="510" t="e">
        <f>ROUND(B2*10000/'数据-汇总表'!E3,0)</f>
        <v>#DIV/0!</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520</v>
      </c>
      <c r="B4" s="427" t="e">
        <f>IF(B48="单位面积地价",C50,ROUND(B2*10000/'数据-汇总表'!D3,0))</f>
        <v>#DIV/0!</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447" t="s">
        <v>522</v>
      </c>
      <c r="D6" s="3448"/>
      <c r="E6" s="3447" t="s">
        <v>523</v>
      </c>
      <c r="F6" s="3448"/>
      <c r="G6" s="3447" t="s">
        <v>524</v>
      </c>
      <c r="H6" s="3448"/>
      <c r="I6" s="3447" t="s">
        <v>525</v>
      </c>
      <c r="J6" s="3448"/>
      <c r="K6" s="514" t="s">
        <v>526</v>
      </c>
      <c r="L6" s="2117"/>
      <c r="M6" s="2116"/>
      <c r="N6" s="2116"/>
      <c r="O6" s="2118"/>
      <c r="P6" s="3449" t="s">
        <v>527</v>
      </c>
      <c r="Q6" s="3450"/>
      <c r="R6" s="3455" t="s">
        <v>523</v>
      </c>
      <c r="S6" s="3456"/>
      <c r="T6" s="3455" t="s">
        <v>524</v>
      </c>
      <c r="U6" s="3456"/>
      <c r="V6" s="3442" t="s">
        <v>525</v>
      </c>
      <c r="W6" s="3442"/>
      <c r="X6" s="1552"/>
      <c r="Y6" s="3455" t="s">
        <v>527</v>
      </c>
      <c r="Z6" s="3456"/>
      <c r="AA6" s="3444" t="s">
        <v>523</v>
      </c>
      <c r="AB6" s="3445" t="s">
        <v>524</v>
      </c>
      <c r="AC6" s="3444" t="s">
        <v>525</v>
      </c>
    </row>
    <row r="7" spans="1:30" ht="20.25">
      <c r="A7" s="515"/>
      <c r="B7" s="516"/>
      <c r="C7" s="3463" t="s">
        <v>2923</v>
      </c>
      <c r="D7" s="3464"/>
      <c r="E7" s="3463" t="s">
        <v>2924</v>
      </c>
      <c r="F7" s="3464"/>
      <c r="G7" s="3463" t="s">
        <v>2925</v>
      </c>
      <c r="H7" s="3464"/>
      <c r="I7" s="3463" t="s">
        <v>2926</v>
      </c>
      <c r="J7" s="3464"/>
      <c r="K7" s="514"/>
      <c r="L7" s="2117"/>
      <c r="M7" s="2116"/>
      <c r="N7" s="2116"/>
      <c r="O7" s="2118"/>
      <c r="P7" s="3451"/>
      <c r="Q7" s="3452"/>
      <c r="R7" s="3457"/>
      <c r="S7" s="3458"/>
      <c r="T7" s="3457"/>
      <c r="U7" s="3458"/>
      <c r="V7" s="3442"/>
      <c r="W7" s="3442"/>
      <c r="X7" s="1552"/>
      <c r="Y7" s="3457"/>
      <c r="Z7" s="3458"/>
      <c r="AA7" s="3445"/>
      <c r="AB7" s="3445"/>
      <c r="AC7" s="3445"/>
    </row>
    <row r="8" spans="1:30" ht="21" thickBot="1">
      <c r="A8" s="515"/>
      <c r="B8" s="516"/>
      <c r="C8" s="3465" t="s">
        <v>2927</v>
      </c>
      <c r="D8" s="3466"/>
      <c r="E8" s="3465" t="s">
        <v>2927</v>
      </c>
      <c r="F8" s="3466"/>
      <c r="G8" s="3461" t="s">
        <v>2927</v>
      </c>
      <c r="H8" s="3462"/>
      <c r="I8" s="3461" t="s">
        <v>2927</v>
      </c>
      <c r="J8" s="3462"/>
      <c r="K8" s="514" t="s">
        <v>528</v>
      </c>
      <c r="L8" s="2117"/>
      <c r="M8" s="2116"/>
      <c r="N8" s="2116"/>
      <c r="O8" s="2118"/>
      <c r="P8" s="3453"/>
      <c r="Q8" s="3454"/>
      <c r="R8" s="3457"/>
      <c r="S8" s="3458"/>
      <c r="T8" s="3459"/>
      <c r="U8" s="3460"/>
      <c r="V8" s="3442"/>
      <c r="W8" s="3442"/>
      <c r="X8" s="1552"/>
      <c r="Y8" s="3459"/>
      <c r="Z8" s="3460"/>
      <c r="AA8" s="3446"/>
      <c r="AB8" s="3446"/>
      <c r="AC8" s="3446"/>
    </row>
    <row r="9" spans="1:30" s="1214" customFormat="1" ht="21" thickBot="1">
      <c r="A9" s="2866"/>
      <c r="B9" s="2873" t="s">
        <v>529</v>
      </c>
      <c r="C9" s="2865">
        <f>'数据-取费表'!B2</f>
        <v>44001</v>
      </c>
      <c r="D9" s="520">
        <v>100</v>
      </c>
      <c r="E9" s="521"/>
      <c r="F9" s="522">
        <f>SUMIF(72:72,YEAR(E9)&amp;"-"&amp;INT((MONTH(E9)+2)/3),73:73)</f>
        <v>0</v>
      </c>
      <c r="G9" s="523"/>
      <c r="H9" s="520">
        <f>SUMIF(72:72,YEAR(G9)&amp;"-"&amp;INT((MONTH(G9)+2)/3),73:73)</f>
        <v>0</v>
      </c>
      <c r="I9" s="523"/>
      <c r="J9" s="520">
        <f>SUMIF(72:72,YEAR(I9)&amp;"-"&amp;INT((MONTH(I9)+2)/3),73:73)</f>
        <v>0</v>
      </c>
      <c r="K9" s="524"/>
      <c r="L9" s="2119"/>
      <c r="M9" s="2116"/>
      <c r="N9" s="2116"/>
      <c r="O9" s="2120"/>
      <c r="P9" s="3472" t="s">
        <v>530</v>
      </c>
      <c r="Q9" s="3474"/>
      <c r="R9" s="1553" t="s">
        <v>8</v>
      </c>
      <c r="S9" s="1554">
        <f t="shared" ref="S9:S17" si="0">F9</f>
        <v>0</v>
      </c>
      <c r="T9" s="1553" t="s">
        <v>8</v>
      </c>
      <c r="U9" s="1554">
        <f t="shared" ref="U9:U17" si="1">H9</f>
        <v>0</v>
      </c>
      <c r="V9" s="1553" t="s">
        <v>8</v>
      </c>
      <c r="W9" s="1554">
        <f t="shared" ref="W9:W17" si="2">J9</f>
        <v>0</v>
      </c>
      <c r="X9" s="1555"/>
      <c r="Y9" s="3472" t="s">
        <v>530</v>
      </c>
      <c r="Z9" s="3473"/>
      <c r="AA9" s="1556" t="e">
        <f>D9/F9</f>
        <v>#DIV/0!</v>
      </c>
      <c r="AB9" s="1556" t="e">
        <f>D9/H9</f>
        <v>#DIV/0!</v>
      </c>
      <c r="AC9" s="1556" t="e">
        <f>D9/J9</f>
        <v>#DIV/0!</v>
      </c>
    </row>
    <row r="10" spans="1:30" s="1214" customFormat="1" ht="21" thickBot="1">
      <c r="A10" s="2867"/>
      <c r="B10" s="2874" t="s">
        <v>531</v>
      </c>
      <c r="C10" s="855" t="s">
        <v>532</v>
      </c>
      <c r="D10" s="520">
        <v>100</v>
      </c>
      <c r="E10" s="525"/>
      <c r="F10" s="522">
        <f>SUMIF(75:75,E10,76:76)-SUMIF(75:75,C10,76:76)+100</f>
        <v>0</v>
      </c>
      <c r="G10" s="525"/>
      <c r="H10" s="520">
        <f>SUMIF(75:75,G10,76:76)-SUMIF(75:75,C10,76:76)+100</f>
        <v>0</v>
      </c>
      <c r="I10" s="525"/>
      <c r="J10" s="520">
        <f>SUMIF(75:75,I10,76:76)-SUMIF(75:75,C10,76:76)+100</f>
        <v>0</v>
      </c>
      <c r="K10" s="524"/>
      <c r="L10" s="2119"/>
      <c r="M10" s="2116"/>
      <c r="N10" s="2116"/>
      <c r="O10" s="2120"/>
      <c r="P10" s="3472" t="s">
        <v>533</v>
      </c>
      <c r="Q10" s="3473"/>
      <c r="R10" s="1553" t="s">
        <v>8</v>
      </c>
      <c r="S10" s="1554">
        <f t="shared" si="0"/>
        <v>0</v>
      </c>
      <c r="T10" s="1553" t="s">
        <v>8</v>
      </c>
      <c r="U10" s="1554">
        <f t="shared" si="1"/>
        <v>0</v>
      </c>
      <c r="V10" s="1553" t="s">
        <v>8</v>
      </c>
      <c r="W10" s="1554">
        <f t="shared" si="2"/>
        <v>0</v>
      </c>
      <c r="X10" s="1555"/>
      <c r="Y10" s="3472" t="s">
        <v>533</v>
      </c>
      <c r="Z10" s="3473"/>
      <c r="AA10" s="1556" t="e">
        <f t="shared" ref="AA10:AA47" si="3">D10/F10</f>
        <v>#DIV/0!</v>
      </c>
      <c r="AB10" s="1556" t="e">
        <f t="shared" ref="AB10:AB47" si="4">D10/H10</f>
        <v>#DIV/0!</v>
      </c>
      <c r="AC10" s="1556" t="e">
        <f t="shared" ref="AC10:AC47" si="5">D10/J10</f>
        <v>#DIV/0!</v>
      </c>
    </row>
    <row r="11" spans="1:30" s="1214" customFormat="1" ht="20.25">
      <c r="A11" s="2868"/>
      <c r="B11" s="2875" t="s">
        <v>2750</v>
      </c>
      <c r="C11" s="2862"/>
      <c r="D11" s="254">
        <v>100</v>
      </c>
      <c r="E11" s="526"/>
      <c r="F11" s="254">
        <f>SUMIF(77:77,E11,78:78)-SUMIF(77:77,C11,78:78)+100</f>
        <v>100</v>
      </c>
      <c r="G11" s="526"/>
      <c r="H11" s="254">
        <f>SUMIF(77:77,G11,78:78)-SUMIF(77:77,C11,78:78)+100</f>
        <v>100</v>
      </c>
      <c r="I11" s="526"/>
      <c r="J11" s="254">
        <f>SUMIF(77:77,I11,78:78)-SUMIF(77:77,C11,78:78)+100</f>
        <v>100</v>
      </c>
      <c r="K11" s="524"/>
      <c r="L11" s="2119"/>
      <c r="M11" s="2116"/>
      <c r="N11" s="2116"/>
      <c r="O11" s="2121"/>
      <c r="P11" s="3441" t="s">
        <v>535</v>
      </c>
      <c r="Q11" s="1145" t="str">
        <f t="shared" ref="Q11:Q17" si="6">B11</f>
        <v>用途</v>
      </c>
      <c r="R11" s="1553" t="s">
        <v>8</v>
      </c>
      <c r="S11" s="1554">
        <f t="shared" si="0"/>
        <v>100</v>
      </c>
      <c r="T11" s="1553" t="s">
        <v>8</v>
      </c>
      <c r="U11" s="1554">
        <f t="shared" si="1"/>
        <v>100</v>
      </c>
      <c r="V11" s="1553" t="s">
        <v>8</v>
      </c>
      <c r="W11" s="1554">
        <f t="shared" si="2"/>
        <v>100</v>
      </c>
      <c r="X11" s="1555"/>
      <c r="Y11" s="3361" t="s">
        <v>536</v>
      </c>
      <c r="Z11" s="1144" t="str">
        <f t="shared" ref="Z11:Z17" si="7">Q11</f>
        <v>用途</v>
      </c>
      <c r="AA11" s="1556">
        <f t="shared" si="3"/>
        <v>1</v>
      </c>
      <c r="AB11" s="1556">
        <f t="shared" si="4"/>
        <v>1</v>
      </c>
      <c r="AC11" s="1556">
        <f t="shared" si="5"/>
        <v>1</v>
      </c>
    </row>
    <row r="12" spans="1:30" s="1332" customFormat="1" ht="27">
      <c r="A12" s="2869"/>
      <c r="B12" s="2874" t="s">
        <v>2751</v>
      </c>
      <c r="C12" s="909"/>
      <c r="D12" s="255">
        <v>100</v>
      </c>
      <c r="E12" s="529"/>
      <c r="F12" s="255">
        <f>ROUND(100/'数据-取费表'!G16,0)</f>
        <v>100</v>
      </c>
      <c r="G12" s="530"/>
      <c r="H12" s="255">
        <f>ROUND(100/'数据-取费表'!G16,0)</f>
        <v>100</v>
      </c>
      <c r="I12" s="530"/>
      <c r="J12" s="255">
        <f>ROUND(100/'数据-取费表'!G16,0)</f>
        <v>100</v>
      </c>
      <c r="K12" s="531"/>
      <c r="L12" s="2122"/>
      <c r="M12" s="2116"/>
      <c r="N12" s="2116"/>
      <c r="O12" s="2123"/>
      <c r="P12" s="3441"/>
      <c r="Q12" s="1145" t="str">
        <f t="shared" si="6"/>
        <v>土地使用年限（年）</v>
      </c>
      <c r="R12" s="1553" t="s">
        <v>8</v>
      </c>
      <c r="S12" s="1554">
        <f t="shared" si="0"/>
        <v>100</v>
      </c>
      <c r="T12" s="1553" t="s">
        <v>8</v>
      </c>
      <c r="U12" s="1554">
        <f t="shared" si="1"/>
        <v>100</v>
      </c>
      <c r="V12" s="1553" t="s">
        <v>8</v>
      </c>
      <c r="W12" s="1554">
        <f t="shared" si="2"/>
        <v>100</v>
      </c>
      <c r="X12" s="1555"/>
      <c r="Y12" s="3361"/>
      <c r="Z12" s="1144" t="str">
        <f t="shared" si="7"/>
        <v>土地使用年限（年）</v>
      </c>
      <c r="AA12" s="1556">
        <f t="shared" si="3"/>
        <v>1</v>
      </c>
      <c r="AB12" s="1556">
        <f t="shared" si="4"/>
        <v>1</v>
      </c>
      <c r="AC12" s="1556">
        <f t="shared" si="5"/>
        <v>1</v>
      </c>
    </row>
    <row r="13" spans="1:30" ht="20.25">
      <c r="A13" s="2870"/>
      <c r="B13" s="2874" t="s">
        <v>2752</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4"/>
      <c r="M13" s="2116"/>
      <c r="N13" s="2116"/>
      <c r="O13" s="2125"/>
      <c r="P13" s="3441"/>
      <c r="Q13" s="1145" t="str">
        <f t="shared" si="6"/>
        <v>容积率</v>
      </c>
      <c r="R13" s="1553" t="s">
        <v>8</v>
      </c>
      <c r="S13" s="1554" t="e">
        <f t="shared" si="0"/>
        <v>#N/A</v>
      </c>
      <c r="T13" s="1553" t="s">
        <v>8</v>
      </c>
      <c r="U13" s="1554" t="e">
        <f t="shared" si="1"/>
        <v>#N/A</v>
      </c>
      <c r="V13" s="1553" t="s">
        <v>8</v>
      </c>
      <c r="W13" s="1554" t="e">
        <f t="shared" si="2"/>
        <v>#N/A</v>
      </c>
      <c r="X13" s="1555"/>
      <c r="Y13" s="3361"/>
      <c r="Z13" s="1144" t="str">
        <f t="shared" si="7"/>
        <v>容积率</v>
      </c>
      <c r="AA13" s="1556" t="e">
        <f t="shared" si="3"/>
        <v>#N/A</v>
      </c>
      <c r="AB13" s="1556" t="e">
        <f t="shared" si="4"/>
        <v>#N/A</v>
      </c>
      <c r="AC13" s="1556" t="e">
        <f t="shared" si="5"/>
        <v>#N/A</v>
      </c>
    </row>
    <row r="14" spans="1:30" s="1214" customFormat="1" ht="20.25">
      <c r="A14" s="2867"/>
      <c r="B14" s="2876" t="s">
        <v>2753</v>
      </c>
      <c r="C14" s="2863"/>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441"/>
      <c r="Q14" s="1145" t="str">
        <f t="shared" si="6"/>
        <v>配建</v>
      </c>
      <c r="R14" s="1553" t="s">
        <v>8</v>
      </c>
      <c r="S14" s="1554">
        <f t="shared" si="0"/>
        <v>100</v>
      </c>
      <c r="T14" s="1553" t="s">
        <v>8</v>
      </c>
      <c r="U14" s="1554">
        <f t="shared" si="1"/>
        <v>100</v>
      </c>
      <c r="V14" s="1553" t="s">
        <v>8</v>
      </c>
      <c r="W14" s="1554">
        <f t="shared" si="2"/>
        <v>100</v>
      </c>
      <c r="X14" s="1555"/>
      <c r="Y14" s="3361"/>
      <c r="Z14" s="1144" t="str">
        <f t="shared" si="7"/>
        <v>配建</v>
      </c>
      <c r="AA14" s="1556">
        <f>D14/F14</f>
        <v>1</v>
      </c>
      <c r="AB14" s="1556">
        <f>D14/H14</f>
        <v>1</v>
      </c>
      <c r="AC14" s="1556">
        <f>D14/J14</f>
        <v>1</v>
      </c>
    </row>
    <row r="15" spans="1:30" ht="20.25">
      <c r="A15" s="2871"/>
      <c r="B15" s="2877">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41"/>
      <c r="Q15" s="1145">
        <f t="shared" si="6"/>
        <v>111</v>
      </c>
      <c r="R15" s="1553" t="s">
        <v>8</v>
      </c>
      <c r="S15" s="1554">
        <f t="shared" si="0"/>
        <v>100</v>
      </c>
      <c r="T15" s="1553" t="s">
        <v>8</v>
      </c>
      <c r="U15" s="1554">
        <f t="shared" si="1"/>
        <v>100</v>
      </c>
      <c r="V15" s="1553" t="s">
        <v>8</v>
      </c>
      <c r="W15" s="1554">
        <f t="shared" si="2"/>
        <v>100</v>
      </c>
      <c r="X15" s="1555"/>
      <c r="Y15" s="3361"/>
      <c r="Z15" s="1144">
        <f t="shared" si="7"/>
        <v>111</v>
      </c>
      <c r="AA15" s="1556">
        <f>D15/F15</f>
        <v>1</v>
      </c>
      <c r="AB15" s="1556">
        <f>D15/H15</f>
        <v>1</v>
      </c>
      <c r="AC15" s="1556">
        <f>D15/J15</f>
        <v>1</v>
      </c>
    </row>
    <row r="16" spans="1:30" ht="21"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41"/>
      <c r="Q16" s="1145">
        <f t="shared" si="6"/>
        <v>111</v>
      </c>
      <c r="R16" s="1553" t="s">
        <v>8</v>
      </c>
      <c r="S16" s="1554">
        <f t="shared" si="0"/>
        <v>100</v>
      </c>
      <c r="T16" s="1553" t="s">
        <v>8</v>
      </c>
      <c r="U16" s="1554">
        <f t="shared" si="1"/>
        <v>100</v>
      </c>
      <c r="V16" s="1553" t="s">
        <v>8</v>
      </c>
      <c r="W16" s="1554">
        <f t="shared" si="2"/>
        <v>100</v>
      </c>
      <c r="X16" s="1555"/>
      <c r="Y16" s="3361"/>
      <c r="Z16" s="1144">
        <f t="shared" si="7"/>
        <v>111</v>
      </c>
      <c r="AA16" s="1556">
        <f>D16/F16</f>
        <v>1</v>
      </c>
      <c r="AB16" s="1556">
        <f>D16/H16</f>
        <v>1</v>
      </c>
      <c r="AC16" s="1556">
        <f>D16/J16</f>
        <v>1</v>
      </c>
    </row>
    <row r="17" spans="1:29" ht="99.75">
      <c r="A17" s="2864"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6"/>
      <c r="M17" s="2116"/>
      <c r="N17" s="2116"/>
      <c r="O17" s="2125"/>
      <c r="P17" s="3475" t="s">
        <v>540</v>
      </c>
      <c r="Q17" s="1557" t="str">
        <f t="shared" si="6"/>
        <v>居住社区成熟度</v>
      </c>
      <c r="R17" s="1558" t="s">
        <v>8</v>
      </c>
      <c r="S17" s="1559">
        <f t="shared" si="0"/>
        <v>100</v>
      </c>
      <c r="T17" s="1558" t="s">
        <v>8</v>
      </c>
      <c r="U17" s="1559">
        <f t="shared" si="1"/>
        <v>100</v>
      </c>
      <c r="V17" s="1558" t="s">
        <v>8</v>
      </c>
      <c r="W17" s="1559">
        <f t="shared" si="2"/>
        <v>100</v>
      </c>
      <c r="X17" s="1552"/>
      <c r="Y17" s="3475" t="s">
        <v>540</v>
      </c>
      <c r="Z17" s="1560" t="str">
        <f t="shared" si="7"/>
        <v>居住社区成熟度</v>
      </c>
      <c r="AA17" s="1561">
        <f t="shared" si="3"/>
        <v>1</v>
      </c>
      <c r="AB17" s="1561">
        <f t="shared" si="4"/>
        <v>1</v>
      </c>
      <c r="AC17" s="1561">
        <f t="shared" si="5"/>
        <v>1</v>
      </c>
    </row>
    <row r="18" spans="1:29" ht="20.25">
      <c r="A18" s="532"/>
      <c r="B18" s="553"/>
      <c r="C18" s="554"/>
      <c r="D18" s="557"/>
      <c r="E18" s="558"/>
      <c r="F18" s="555"/>
      <c r="G18" s="556"/>
      <c r="H18" s="559"/>
      <c r="I18" s="558"/>
      <c r="J18" s="555"/>
      <c r="K18" s="531"/>
      <c r="L18" s="2126"/>
      <c r="M18" s="2116"/>
      <c r="N18" s="2116"/>
      <c r="O18" s="2125"/>
      <c r="P18" s="3476"/>
      <c r="Q18" s="1557"/>
      <c r="R18" s="1558"/>
      <c r="S18" s="1559"/>
      <c r="T18" s="1558"/>
      <c r="U18" s="1559"/>
      <c r="V18" s="1558"/>
      <c r="W18" s="1559"/>
      <c r="X18" s="1552"/>
      <c r="Y18" s="3476"/>
      <c r="Z18" s="1560"/>
      <c r="AA18" s="1561">
        <v>1</v>
      </c>
      <c r="AB18" s="1561">
        <v>1</v>
      </c>
      <c r="AC18" s="156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6"/>
      <c r="M19" s="2116"/>
      <c r="N19" s="2116"/>
      <c r="O19" s="2125"/>
      <c r="P19" s="3476"/>
      <c r="Q19" s="1557" t="str">
        <f>B19</f>
        <v>商业繁华度</v>
      </c>
      <c r="R19" s="1558" t="s">
        <v>8</v>
      </c>
      <c r="S19" s="1559">
        <f>F19</f>
        <v>100</v>
      </c>
      <c r="T19" s="1558" t="s">
        <v>8</v>
      </c>
      <c r="U19" s="1559">
        <f>H19</f>
        <v>100</v>
      </c>
      <c r="V19" s="1558" t="s">
        <v>8</v>
      </c>
      <c r="W19" s="1559">
        <f>J19</f>
        <v>100</v>
      </c>
      <c r="X19" s="1552"/>
      <c r="Y19" s="3476"/>
      <c r="Z19" s="1560" t="str">
        <f>Q19</f>
        <v>商业繁华度</v>
      </c>
      <c r="AA19" s="1561">
        <f t="shared" si="3"/>
        <v>1</v>
      </c>
      <c r="AB19" s="1561">
        <f t="shared" si="4"/>
        <v>1</v>
      </c>
      <c r="AC19" s="1561">
        <f t="shared" si="5"/>
        <v>1</v>
      </c>
    </row>
    <row r="20" spans="1:29" ht="20.25">
      <c r="A20" s="532"/>
      <c r="B20" s="566"/>
      <c r="C20" s="567"/>
      <c r="D20" s="563"/>
      <c r="E20" s="569"/>
      <c r="F20" s="559"/>
      <c r="G20" s="568"/>
      <c r="H20" s="555"/>
      <c r="I20" s="569"/>
      <c r="J20" s="555"/>
      <c r="K20" s="531"/>
      <c r="L20" s="2126"/>
      <c r="M20" s="2116"/>
      <c r="N20" s="2116"/>
      <c r="O20" s="2125"/>
      <c r="P20" s="3476"/>
      <c r="Q20" s="1557"/>
      <c r="R20" s="1558"/>
      <c r="S20" s="1559"/>
      <c r="T20" s="1558"/>
      <c r="U20" s="1559"/>
      <c r="V20" s="1558"/>
      <c r="W20" s="1559"/>
      <c r="X20" s="1552"/>
      <c r="Y20" s="3476"/>
      <c r="Z20" s="1560"/>
      <c r="AA20" s="1561">
        <v>1</v>
      </c>
      <c r="AB20" s="1561">
        <v>1</v>
      </c>
      <c r="AC20" s="1561">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76"/>
      <c r="Q21" s="1557" t="str">
        <f>B21</f>
        <v>办公集聚程度</v>
      </c>
      <c r="R21" s="1558" t="s">
        <v>8</v>
      </c>
      <c r="S21" s="1559">
        <f>F21</f>
        <v>100</v>
      </c>
      <c r="T21" s="1558" t="s">
        <v>8</v>
      </c>
      <c r="U21" s="1559">
        <f>H21</f>
        <v>100</v>
      </c>
      <c r="V21" s="1558" t="s">
        <v>8</v>
      </c>
      <c r="W21" s="1559">
        <f>J21</f>
        <v>100</v>
      </c>
      <c r="X21" s="1552"/>
      <c r="Y21" s="3476"/>
      <c r="Z21" s="1560" t="str">
        <f>Q21</f>
        <v>办公集聚程度</v>
      </c>
      <c r="AA21" s="1561">
        <f t="shared" si="3"/>
        <v>1</v>
      </c>
      <c r="AB21" s="1561">
        <f t="shared" si="4"/>
        <v>1</v>
      </c>
      <c r="AC21" s="1561">
        <f t="shared" si="5"/>
        <v>1</v>
      </c>
    </row>
    <row r="22" spans="1:29" ht="20.25">
      <c r="A22" s="532"/>
      <c r="B22" s="566"/>
      <c r="C22" s="554"/>
      <c r="D22" s="557"/>
      <c r="E22" s="558"/>
      <c r="F22" s="555"/>
      <c r="G22" s="556"/>
      <c r="H22" s="555"/>
      <c r="I22" s="558"/>
      <c r="J22" s="555"/>
      <c r="K22" s="531"/>
      <c r="L22" s="2126"/>
      <c r="M22" s="2116"/>
      <c r="N22" s="2116"/>
      <c r="O22" s="2125"/>
      <c r="P22" s="3476"/>
      <c r="Q22" s="1557"/>
      <c r="R22" s="1558"/>
      <c r="S22" s="1559"/>
      <c r="T22" s="1558"/>
      <c r="U22" s="1559"/>
      <c r="V22" s="1558"/>
      <c r="W22" s="1559"/>
      <c r="X22" s="1552"/>
      <c r="Y22" s="3476"/>
      <c r="Z22" s="1560"/>
      <c r="AA22" s="1561">
        <v>1</v>
      </c>
      <c r="AB22" s="1561">
        <v>1</v>
      </c>
      <c r="AC22" s="156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6"/>
      <c r="M23" s="2116"/>
      <c r="N23" s="2116"/>
      <c r="O23" s="2125"/>
      <c r="P23" s="3476"/>
      <c r="Q23" s="1557" t="str">
        <f>B23</f>
        <v>交通便捷度</v>
      </c>
      <c r="R23" s="1558" t="s">
        <v>8</v>
      </c>
      <c r="S23" s="1559">
        <f>F23</f>
        <v>100</v>
      </c>
      <c r="T23" s="1558" t="s">
        <v>8</v>
      </c>
      <c r="U23" s="1559">
        <f>H23</f>
        <v>100</v>
      </c>
      <c r="V23" s="1558" t="s">
        <v>8</v>
      </c>
      <c r="W23" s="1559">
        <f>J23</f>
        <v>100</v>
      </c>
      <c r="X23" s="1552"/>
      <c r="Y23" s="3476"/>
      <c r="Z23" s="1560" t="str">
        <f>Q23</f>
        <v>交通便捷度</v>
      </c>
      <c r="AA23" s="1561">
        <f t="shared" si="3"/>
        <v>1</v>
      </c>
      <c r="AB23" s="1561">
        <f t="shared" si="4"/>
        <v>1</v>
      </c>
      <c r="AC23" s="1561">
        <f t="shared" si="5"/>
        <v>1</v>
      </c>
    </row>
    <row r="24" spans="1:29" ht="20.25">
      <c r="A24" s="532"/>
      <c r="B24" s="578"/>
      <c r="C24" s="554"/>
      <c r="D24" s="557"/>
      <c r="E24" s="558"/>
      <c r="F24" s="555"/>
      <c r="G24" s="556"/>
      <c r="H24" s="555"/>
      <c r="I24" s="558"/>
      <c r="J24" s="555"/>
      <c r="K24" s="531"/>
      <c r="L24" s="2126"/>
      <c r="M24" s="2116"/>
      <c r="N24" s="2116"/>
      <c r="O24" s="2125"/>
      <c r="P24" s="3476"/>
      <c r="Q24" s="1557"/>
      <c r="R24" s="1558"/>
      <c r="S24" s="1559"/>
      <c r="T24" s="1558"/>
      <c r="U24" s="1559"/>
      <c r="V24" s="1558"/>
      <c r="W24" s="1559"/>
      <c r="X24" s="1552"/>
      <c r="Y24" s="3476"/>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6"/>
      <c r="M25" s="2116"/>
      <c r="N25" s="2116"/>
      <c r="O25" s="2125"/>
      <c r="P25" s="3476"/>
      <c r="Q25" s="1557" t="str">
        <f t="shared" ref="Q25:Q39" si="8">B25</f>
        <v>区域土地利用方向</v>
      </c>
      <c r="R25" s="1558" t="s">
        <v>8</v>
      </c>
      <c r="S25" s="1559">
        <f>F25</f>
        <v>100</v>
      </c>
      <c r="T25" s="1558" t="s">
        <v>8</v>
      </c>
      <c r="U25" s="1559">
        <f>H25</f>
        <v>100</v>
      </c>
      <c r="V25" s="1558" t="s">
        <v>8</v>
      </c>
      <c r="W25" s="1559">
        <f>J25</f>
        <v>100</v>
      </c>
      <c r="X25" s="1552"/>
      <c r="Y25" s="3476"/>
      <c r="Z25" s="1560" t="str">
        <f>Q25</f>
        <v>区域土地利用方向</v>
      </c>
      <c r="AA25" s="1561">
        <f t="shared" si="3"/>
        <v>1</v>
      </c>
      <c r="AB25" s="1561">
        <f t="shared" si="4"/>
        <v>1</v>
      </c>
      <c r="AC25" s="1561">
        <f t="shared" si="5"/>
        <v>1</v>
      </c>
    </row>
    <row r="26" spans="1:29" ht="20.25">
      <c r="A26" s="515"/>
      <c r="B26" s="1005"/>
      <c r="C26" s="554"/>
      <c r="D26" s="557"/>
      <c r="E26" s="558"/>
      <c r="F26" s="555"/>
      <c r="G26" s="556"/>
      <c r="H26" s="555"/>
      <c r="I26" s="558"/>
      <c r="J26" s="555"/>
      <c r="K26" s="531"/>
      <c r="L26" s="2126"/>
      <c r="M26" s="2116"/>
      <c r="N26" s="2116"/>
      <c r="O26" s="2125"/>
      <c r="P26" s="3476"/>
      <c r="Q26" s="1557"/>
      <c r="R26" s="1558"/>
      <c r="S26" s="1559"/>
      <c r="T26" s="1558"/>
      <c r="U26" s="1559"/>
      <c r="V26" s="1558"/>
      <c r="W26" s="1559"/>
      <c r="X26" s="1552"/>
      <c r="Y26" s="3476"/>
      <c r="Z26" s="1560"/>
      <c r="AA26" s="1561"/>
      <c r="AB26" s="1561"/>
      <c r="AC26" s="156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6"/>
      <c r="M27" s="2116"/>
      <c r="N27" s="2116"/>
      <c r="O27" s="2125"/>
      <c r="P27" s="3476"/>
      <c r="Q27" s="1557" t="str">
        <f t="shared" si="8"/>
        <v>自然及人文环境状况</v>
      </c>
      <c r="R27" s="1558" t="s">
        <v>8</v>
      </c>
      <c r="S27" s="1559">
        <f>F27</f>
        <v>100</v>
      </c>
      <c r="T27" s="1558" t="s">
        <v>8</v>
      </c>
      <c r="U27" s="1559">
        <f>H27</f>
        <v>100</v>
      </c>
      <c r="V27" s="1558" t="s">
        <v>8</v>
      </c>
      <c r="W27" s="1559">
        <f>J27</f>
        <v>100</v>
      </c>
      <c r="X27" s="1552"/>
      <c r="Y27" s="3476"/>
      <c r="Z27" s="1560" t="str">
        <f>Q27</f>
        <v>自然及人文环境状况</v>
      </c>
      <c r="AA27" s="1561">
        <f t="shared" si="3"/>
        <v>1</v>
      </c>
      <c r="AB27" s="1561">
        <f t="shared" si="4"/>
        <v>1</v>
      </c>
      <c r="AC27" s="1561">
        <f t="shared" si="5"/>
        <v>1</v>
      </c>
    </row>
    <row r="28" spans="1:29" ht="20.25">
      <c r="A28" s="515"/>
      <c r="B28" s="566"/>
      <c r="C28" s="554"/>
      <c r="D28" s="557"/>
      <c r="E28" s="576"/>
      <c r="F28" s="555"/>
      <c r="G28" s="554"/>
      <c r="H28" s="555"/>
      <c r="I28" s="576"/>
      <c r="J28" s="555"/>
      <c r="K28" s="531"/>
      <c r="L28" s="2126"/>
      <c r="M28" s="2116"/>
      <c r="N28" s="2116"/>
      <c r="O28" s="2125"/>
      <c r="P28" s="3476"/>
      <c r="Q28" s="1557"/>
      <c r="R28" s="1558"/>
      <c r="S28" s="1559"/>
      <c r="T28" s="1558"/>
      <c r="U28" s="1559"/>
      <c r="V28" s="1558"/>
      <c r="W28" s="1559"/>
      <c r="X28" s="1552"/>
      <c r="Y28" s="3476"/>
      <c r="Z28" s="1560"/>
      <c r="AA28" s="1561">
        <v>1</v>
      </c>
      <c r="AB28" s="1561">
        <v>1</v>
      </c>
      <c r="AC28" s="1561">
        <v>1</v>
      </c>
    </row>
    <row r="29" spans="1:29" s="1214" customFormat="1" ht="42.75">
      <c r="A29" s="577"/>
      <c r="B29" s="2554"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9"/>
      <c r="M29" s="2116"/>
      <c r="N29" s="2116"/>
      <c r="O29" s="2121"/>
      <c r="P29" s="3476"/>
      <c r="Q29" s="1145" t="str">
        <f t="shared" si="8"/>
        <v>公共配套设施</v>
      </c>
      <c r="R29" s="1553" t="s">
        <v>8</v>
      </c>
      <c r="S29" s="1554">
        <f>F29</f>
        <v>100</v>
      </c>
      <c r="T29" s="1553" t="s">
        <v>8</v>
      </c>
      <c r="U29" s="1554">
        <f>H29</f>
        <v>100</v>
      </c>
      <c r="V29" s="1553" t="s">
        <v>8</v>
      </c>
      <c r="W29" s="1554">
        <f>J29</f>
        <v>100</v>
      </c>
      <c r="X29" s="1555"/>
      <c r="Y29" s="3476"/>
      <c r="Z29" s="1144" t="str">
        <f>Q29</f>
        <v>公共配套设施</v>
      </c>
      <c r="AA29" s="1561">
        <f>D29/F29</f>
        <v>1</v>
      </c>
      <c r="AB29" s="1561">
        <f>D29/H29</f>
        <v>1</v>
      </c>
      <c r="AC29" s="1561">
        <f>D29/J29</f>
        <v>1</v>
      </c>
    </row>
    <row r="30" spans="1:29" s="1214" customFormat="1" ht="20.25">
      <c r="A30" s="577"/>
      <c r="B30" s="566"/>
      <c r="C30" s="579"/>
      <c r="D30" s="557"/>
      <c r="E30" s="576"/>
      <c r="F30" s="555"/>
      <c r="G30" s="554"/>
      <c r="H30" s="555"/>
      <c r="I30" s="576"/>
      <c r="J30" s="555"/>
      <c r="K30" s="531"/>
      <c r="L30" s="2119"/>
      <c r="M30" s="2116"/>
      <c r="N30" s="2116"/>
      <c r="O30" s="2121"/>
      <c r="P30" s="3476"/>
      <c r="Q30" s="1145"/>
      <c r="R30" s="1553"/>
      <c r="S30" s="1554"/>
      <c r="T30" s="1553"/>
      <c r="U30" s="1554"/>
      <c r="V30" s="1553"/>
      <c r="W30" s="1554"/>
      <c r="X30" s="1555"/>
      <c r="Y30" s="3476"/>
      <c r="Z30" s="1144"/>
      <c r="AA30" s="1561">
        <v>1</v>
      </c>
      <c r="AB30" s="1561">
        <v>1</v>
      </c>
      <c r="AC30" s="1561">
        <v>1</v>
      </c>
    </row>
    <row r="31" spans="1:29" s="1214" customFormat="1" ht="28.5">
      <c r="A31" s="577"/>
      <c r="B31" s="2554"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9"/>
      <c r="M31" s="2116"/>
      <c r="N31" s="2116"/>
      <c r="O31" s="2121"/>
      <c r="P31" s="3476"/>
      <c r="Q31" s="2541" t="str">
        <f t="shared" ref="Q31" si="9">B31</f>
        <v>基础设施水平</v>
      </c>
      <c r="R31" s="1553" t="s">
        <v>8</v>
      </c>
      <c r="S31" s="1554">
        <f>F31</f>
        <v>100</v>
      </c>
      <c r="T31" s="1553" t="s">
        <v>8</v>
      </c>
      <c r="U31" s="1554">
        <f>H31</f>
        <v>100</v>
      </c>
      <c r="V31" s="1553" t="s">
        <v>8</v>
      </c>
      <c r="W31" s="1554">
        <f>J31</f>
        <v>100</v>
      </c>
      <c r="X31" s="1555"/>
      <c r="Y31" s="3476"/>
      <c r="Z31" s="2538" t="str">
        <f>Q31</f>
        <v>基础设施水平</v>
      </c>
      <c r="AA31" s="1561">
        <f>D31/F31</f>
        <v>1</v>
      </c>
      <c r="AB31" s="1561">
        <f>D31/H31</f>
        <v>1</v>
      </c>
      <c r="AC31" s="1561">
        <f>D31/J31</f>
        <v>1</v>
      </c>
    </row>
    <row r="32" spans="1:29" s="1214" customFormat="1" ht="20.25">
      <c r="A32" s="577"/>
      <c r="B32" s="566"/>
      <c r="C32" s="579"/>
      <c r="D32" s="557"/>
      <c r="E32" s="2555"/>
      <c r="F32" s="555"/>
      <c r="G32" s="579"/>
      <c r="H32" s="555"/>
      <c r="I32" s="579"/>
      <c r="J32" s="555"/>
      <c r="K32" s="531"/>
      <c r="L32" s="2119"/>
      <c r="M32" s="2116"/>
      <c r="N32" s="2116"/>
      <c r="O32" s="2121"/>
      <c r="P32" s="3476"/>
      <c r="Q32" s="2541"/>
      <c r="R32" s="1553"/>
      <c r="S32" s="1554"/>
      <c r="T32" s="1553"/>
      <c r="U32" s="1554"/>
      <c r="V32" s="1553"/>
      <c r="W32" s="1554"/>
      <c r="X32" s="1555"/>
      <c r="Y32" s="3476"/>
      <c r="Z32" s="2538"/>
      <c r="AA32" s="1561">
        <v>1</v>
      </c>
      <c r="AB32" s="1561">
        <v>1</v>
      </c>
      <c r="AC32" s="156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76"/>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76"/>
      <c r="Z33" s="1560" t="str">
        <f t="shared" ref="Z33:Z47" si="13">Q33</f>
        <v>临街状况</v>
      </c>
      <c r="AA33" s="1561">
        <f t="shared" si="3"/>
        <v>1</v>
      </c>
      <c r="AB33" s="1561">
        <f t="shared" si="4"/>
        <v>1</v>
      </c>
      <c r="AC33" s="156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76"/>
      <c r="Q34" s="1557" t="str">
        <f t="shared" si="8"/>
        <v>毗邻道路的类型与等级</v>
      </c>
      <c r="R34" s="1558" t="s">
        <v>8</v>
      </c>
      <c r="S34" s="1559">
        <f t="shared" si="10"/>
        <v>100</v>
      </c>
      <c r="T34" s="1558" t="s">
        <v>8</v>
      </c>
      <c r="U34" s="1559">
        <f t="shared" si="11"/>
        <v>100</v>
      </c>
      <c r="V34" s="1558" t="s">
        <v>8</v>
      </c>
      <c r="W34" s="1559">
        <f t="shared" si="12"/>
        <v>100</v>
      </c>
      <c r="X34" s="1552"/>
      <c r="Y34" s="3476"/>
      <c r="Z34" s="1560" t="str">
        <f t="shared" si="13"/>
        <v>毗邻道路的类型与等级</v>
      </c>
      <c r="AA34" s="1561">
        <f t="shared" si="3"/>
        <v>1</v>
      </c>
      <c r="AB34" s="1561">
        <f t="shared" si="4"/>
        <v>1</v>
      </c>
      <c r="AC34" s="1561">
        <f t="shared" si="5"/>
        <v>1</v>
      </c>
    </row>
    <row r="35" spans="1:29" ht="20.25">
      <c r="A35" s="532"/>
      <c r="B35" s="566"/>
      <c r="C35" s="554"/>
      <c r="D35" s="557"/>
      <c r="E35" s="576"/>
      <c r="F35" s="555"/>
      <c r="G35" s="554"/>
      <c r="H35" s="555"/>
      <c r="I35" s="576"/>
      <c r="J35" s="555"/>
      <c r="K35" s="581"/>
      <c r="L35" s="2126"/>
      <c r="M35" s="2116"/>
      <c r="N35" s="2116"/>
      <c r="O35" s="2125"/>
      <c r="P35" s="3476"/>
      <c r="Q35" s="1557"/>
      <c r="R35" s="1558"/>
      <c r="S35" s="1559"/>
      <c r="T35" s="1558"/>
      <c r="U35" s="1559"/>
      <c r="V35" s="1558"/>
      <c r="W35" s="1559"/>
      <c r="X35" s="1552"/>
      <c r="Y35" s="3476"/>
      <c r="Z35" s="1560"/>
      <c r="AA35" s="1561">
        <v>1</v>
      </c>
      <c r="AB35" s="1561">
        <v>1</v>
      </c>
      <c r="AC35" s="156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76"/>
      <c r="Q36" s="1557" t="str">
        <f t="shared" si="8"/>
        <v>土地级别</v>
      </c>
      <c r="R36" s="1558" t="s">
        <v>8</v>
      </c>
      <c r="S36" s="1559">
        <f t="shared" si="10"/>
        <v>100</v>
      </c>
      <c r="T36" s="1558" t="s">
        <v>8</v>
      </c>
      <c r="U36" s="1559">
        <f t="shared" si="11"/>
        <v>100</v>
      </c>
      <c r="V36" s="1558" t="s">
        <v>8</v>
      </c>
      <c r="W36" s="1559">
        <f t="shared" si="12"/>
        <v>100</v>
      </c>
      <c r="X36" s="1552"/>
      <c r="Y36" s="3476"/>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76"/>
      <c r="Q37" s="1557">
        <f t="shared" si="8"/>
        <v>111</v>
      </c>
      <c r="R37" s="1558" t="s">
        <v>8</v>
      </c>
      <c r="S37" s="1559">
        <f t="shared" si="10"/>
        <v>100</v>
      </c>
      <c r="T37" s="1558" t="s">
        <v>8</v>
      </c>
      <c r="U37" s="1559">
        <f t="shared" si="11"/>
        <v>100</v>
      </c>
      <c r="V37" s="1558" t="s">
        <v>8</v>
      </c>
      <c r="W37" s="1559">
        <f t="shared" si="12"/>
        <v>100</v>
      </c>
      <c r="X37" s="1552"/>
      <c r="Y37" s="3476"/>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77" t="s">
        <v>550</v>
      </c>
      <c r="Q38" s="1557">
        <f t="shared" si="8"/>
        <v>111</v>
      </c>
      <c r="R38" s="1558" t="s">
        <v>8</v>
      </c>
      <c r="S38" s="1559">
        <f t="shared" si="10"/>
        <v>100</v>
      </c>
      <c r="T38" s="1558" t="s">
        <v>8</v>
      </c>
      <c r="U38" s="1559">
        <f t="shared" si="11"/>
        <v>100</v>
      </c>
      <c r="V38" s="1558" t="s">
        <v>8</v>
      </c>
      <c r="W38" s="1559">
        <f t="shared" si="12"/>
        <v>100</v>
      </c>
      <c r="X38" s="1552"/>
      <c r="Y38" s="3478" t="s">
        <v>550</v>
      </c>
      <c r="Z38" s="1560">
        <f t="shared" si="13"/>
        <v>111</v>
      </c>
      <c r="AA38" s="1561">
        <f t="shared" si="3"/>
        <v>1</v>
      </c>
      <c r="AB38" s="1561">
        <f t="shared" si="4"/>
        <v>1</v>
      </c>
      <c r="AC38" s="1561">
        <f t="shared" si="5"/>
        <v>1</v>
      </c>
    </row>
    <row r="39" spans="1:29" s="1333"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78"/>
      <c r="Q39" s="1557">
        <f t="shared" si="8"/>
        <v>111</v>
      </c>
      <c r="R39" s="1562" t="s">
        <v>8</v>
      </c>
      <c r="S39" s="1563">
        <f t="shared" si="10"/>
        <v>100</v>
      </c>
      <c r="T39" s="1562" t="s">
        <v>8</v>
      </c>
      <c r="U39" s="1563">
        <f t="shared" si="11"/>
        <v>100</v>
      </c>
      <c r="V39" s="1562" t="s">
        <v>8</v>
      </c>
      <c r="W39" s="1563">
        <f t="shared" si="12"/>
        <v>100</v>
      </c>
      <c r="X39" s="1564"/>
      <c r="Y39" s="3478"/>
      <c r="Z39" s="1565">
        <f t="shared" si="13"/>
        <v>111</v>
      </c>
      <c r="AA39" s="1561">
        <f t="shared" si="3"/>
        <v>1</v>
      </c>
      <c r="AB39" s="1561">
        <f t="shared" si="4"/>
        <v>1</v>
      </c>
      <c r="AC39" s="1561">
        <f t="shared" si="5"/>
        <v>1</v>
      </c>
    </row>
    <row r="40" spans="1:29" ht="20.25">
      <c r="A40" s="2861" t="s">
        <v>2749</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6"/>
      <c r="M40" s="2116"/>
      <c r="N40" s="2116"/>
      <c r="O40" s="2125"/>
      <c r="P40" s="3478"/>
      <c r="Q40" s="1557" t="str">
        <f>B40</f>
        <v>宗地面积</v>
      </c>
      <c r="R40" s="1558" t="s">
        <v>8</v>
      </c>
      <c r="S40" s="1559" t="e">
        <f t="shared" si="10"/>
        <v>#N/A</v>
      </c>
      <c r="T40" s="1558" t="s">
        <v>8</v>
      </c>
      <c r="U40" s="1559" t="e">
        <f t="shared" si="11"/>
        <v>#N/A</v>
      </c>
      <c r="V40" s="1558" t="s">
        <v>8</v>
      </c>
      <c r="W40" s="1559" t="e">
        <f t="shared" si="12"/>
        <v>#N/A</v>
      </c>
      <c r="X40" s="1552"/>
      <c r="Y40" s="3478"/>
      <c r="Z40" s="1560" t="str">
        <f t="shared" si="13"/>
        <v>宗地面积</v>
      </c>
      <c r="AA40" s="1561" t="e">
        <f t="shared" si="3"/>
        <v>#N/A</v>
      </c>
      <c r="AB40" s="1561" t="e">
        <f t="shared" si="4"/>
        <v>#N/A</v>
      </c>
      <c r="AC40" s="1561"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6"/>
      <c r="M41" s="2116"/>
      <c r="N41" s="2116"/>
      <c r="O41" s="2125"/>
      <c r="P41" s="3478"/>
      <c r="Q41" s="1557" t="str">
        <f t="shared" ref="Q41:Q47" si="14">B41</f>
        <v>宗地形状</v>
      </c>
      <c r="R41" s="1558" t="s">
        <v>8</v>
      </c>
      <c r="S41" s="1559">
        <f t="shared" si="10"/>
        <v>100</v>
      </c>
      <c r="T41" s="1558" t="s">
        <v>8</v>
      </c>
      <c r="U41" s="1559">
        <f t="shared" si="11"/>
        <v>100</v>
      </c>
      <c r="V41" s="1558" t="s">
        <v>8</v>
      </c>
      <c r="W41" s="1559">
        <f t="shared" si="12"/>
        <v>100</v>
      </c>
      <c r="X41" s="1552"/>
      <c r="Y41" s="3478"/>
      <c r="Z41" s="1560" t="str">
        <f t="shared" si="13"/>
        <v>宗地形状</v>
      </c>
      <c r="AA41" s="1561">
        <f t="shared" si="3"/>
        <v>1</v>
      </c>
      <c r="AB41" s="1561">
        <f t="shared" si="4"/>
        <v>1</v>
      </c>
      <c r="AC41" s="1561">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6"/>
      <c r="M42" s="2116"/>
      <c r="N42" s="2116"/>
      <c r="O42" s="2125"/>
      <c r="P42" s="3478"/>
      <c r="Q42" s="1557" t="str">
        <f t="shared" si="14"/>
        <v>临街宽度及深度</v>
      </c>
      <c r="R42" s="1558" t="s">
        <v>8</v>
      </c>
      <c r="S42" s="1559">
        <f t="shared" si="10"/>
        <v>100</v>
      </c>
      <c r="T42" s="1558" t="s">
        <v>8</v>
      </c>
      <c r="U42" s="1559">
        <f t="shared" si="11"/>
        <v>100</v>
      </c>
      <c r="V42" s="1558" t="s">
        <v>8</v>
      </c>
      <c r="W42" s="1559">
        <f t="shared" si="12"/>
        <v>100</v>
      </c>
      <c r="X42" s="1552"/>
      <c r="Y42" s="3478"/>
      <c r="Z42" s="1560" t="str">
        <f t="shared" si="13"/>
        <v>临街宽度及深度</v>
      </c>
      <c r="AA42" s="1561">
        <f t="shared" si="3"/>
        <v>1</v>
      </c>
      <c r="AB42" s="1561">
        <f t="shared" si="4"/>
        <v>1</v>
      </c>
      <c r="AC42" s="1561">
        <f t="shared" si="5"/>
        <v>1</v>
      </c>
    </row>
    <row r="43" spans="1:29" s="1214" customFormat="1" ht="20.25">
      <c r="A43" s="600"/>
      <c r="B43" s="1879" t="s">
        <v>2419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9"/>
      <c r="M43" s="2116"/>
      <c r="N43" s="2116"/>
      <c r="O43" s="2121"/>
      <c r="P43" s="3478"/>
      <c r="Q43" s="1557" t="str">
        <f t="shared" si="14"/>
        <v>宗地开发程度</v>
      </c>
      <c r="R43" s="1553" t="s">
        <v>8</v>
      </c>
      <c r="S43" s="1554">
        <f t="shared" si="10"/>
        <v>100</v>
      </c>
      <c r="T43" s="1553" t="s">
        <v>8</v>
      </c>
      <c r="U43" s="1554">
        <f t="shared" si="11"/>
        <v>100</v>
      </c>
      <c r="V43" s="1553" t="s">
        <v>8</v>
      </c>
      <c r="W43" s="1554">
        <f t="shared" si="12"/>
        <v>100</v>
      </c>
      <c r="X43" s="1555"/>
      <c r="Y43" s="3478"/>
      <c r="Z43" s="1144" t="str">
        <f t="shared" si="13"/>
        <v>宗地开发程度</v>
      </c>
      <c r="AA43" s="1556">
        <f t="shared" si="3"/>
        <v>1</v>
      </c>
      <c r="AB43" s="1556">
        <f t="shared" si="4"/>
        <v>1</v>
      </c>
      <c r="AC43" s="1556">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6"/>
      <c r="M44" s="2116"/>
      <c r="N44" s="2116"/>
      <c r="O44" s="2125"/>
      <c r="P44" s="3478" t="s">
        <v>550</v>
      </c>
      <c r="Q44" s="1557" t="str">
        <f t="shared" si="14"/>
        <v>工程地质条件</v>
      </c>
      <c r="R44" s="1558" t="s">
        <v>8</v>
      </c>
      <c r="S44" s="1559">
        <f t="shared" si="10"/>
        <v>100</v>
      </c>
      <c r="T44" s="1558" t="s">
        <v>8</v>
      </c>
      <c r="U44" s="1559">
        <f t="shared" si="11"/>
        <v>100</v>
      </c>
      <c r="V44" s="1558" t="s">
        <v>8</v>
      </c>
      <c r="W44" s="1559">
        <f t="shared" si="12"/>
        <v>100</v>
      </c>
      <c r="X44" s="1552"/>
      <c r="Y44" s="3478" t="s">
        <v>550</v>
      </c>
      <c r="Z44" s="1560" t="str">
        <f t="shared" si="13"/>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78"/>
      <c r="Q45" s="1557">
        <f t="shared" si="14"/>
        <v>111</v>
      </c>
      <c r="R45" s="1558" t="s">
        <v>8</v>
      </c>
      <c r="S45" s="1559">
        <f t="shared" si="10"/>
        <v>100</v>
      </c>
      <c r="T45" s="1558" t="s">
        <v>8</v>
      </c>
      <c r="U45" s="1559">
        <f t="shared" si="11"/>
        <v>100</v>
      </c>
      <c r="V45" s="1558" t="s">
        <v>8</v>
      </c>
      <c r="W45" s="1559">
        <f t="shared" si="12"/>
        <v>100</v>
      </c>
      <c r="X45" s="1552"/>
      <c r="Y45" s="3478"/>
      <c r="Z45" s="1560">
        <f t="shared" si="13"/>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78"/>
      <c r="Q46" s="1557">
        <f t="shared" si="14"/>
        <v>111</v>
      </c>
      <c r="R46" s="1558" t="s">
        <v>8</v>
      </c>
      <c r="S46" s="1559">
        <f t="shared" si="10"/>
        <v>100</v>
      </c>
      <c r="T46" s="1558" t="s">
        <v>8</v>
      </c>
      <c r="U46" s="1559">
        <f t="shared" si="11"/>
        <v>100</v>
      </c>
      <c r="V46" s="1558" t="s">
        <v>8</v>
      </c>
      <c r="W46" s="1559">
        <f t="shared" si="12"/>
        <v>100</v>
      </c>
      <c r="X46" s="1552"/>
      <c r="Y46" s="3478"/>
      <c r="Z46" s="1560">
        <f t="shared" si="13"/>
        <v>111</v>
      </c>
      <c r="AA46" s="1561">
        <f t="shared" si="3"/>
        <v>1</v>
      </c>
      <c r="AB46" s="1561">
        <f t="shared" si="4"/>
        <v>1</v>
      </c>
      <c r="AC46" s="1561">
        <f t="shared" si="5"/>
        <v>1</v>
      </c>
    </row>
    <row r="47" spans="1:29" s="1333"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78"/>
      <c r="Q47" s="1557">
        <f t="shared" si="14"/>
        <v>111</v>
      </c>
      <c r="R47" s="1562" t="s">
        <v>8</v>
      </c>
      <c r="S47" s="1563">
        <f t="shared" si="10"/>
        <v>100</v>
      </c>
      <c r="T47" s="1562" t="s">
        <v>8</v>
      </c>
      <c r="U47" s="1563">
        <f t="shared" si="11"/>
        <v>100</v>
      </c>
      <c r="V47" s="1562" t="s">
        <v>8</v>
      </c>
      <c r="W47" s="1563">
        <f t="shared" si="12"/>
        <v>100</v>
      </c>
      <c r="X47" s="1564"/>
      <c r="Y47" s="3478"/>
      <c r="Z47" s="1565">
        <f t="shared" si="13"/>
        <v>111</v>
      </c>
      <c r="AA47" s="1561">
        <f t="shared" si="3"/>
        <v>1</v>
      </c>
      <c r="AB47" s="1561">
        <f t="shared" si="4"/>
        <v>1</v>
      </c>
      <c r="AC47" s="1561">
        <f t="shared" si="5"/>
        <v>1</v>
      </c>
    </row>
    <row r="48" spans="1:29" ht="20.25">
      <c r="A48" s="607" t="s">
        <v>556</v>
      </c>
      <c r="B48" s="608" t="s">
        <v>2928</v>
      </c>
      <c r="C48" s="609" t="s">
        <v>1</v>
      </c>
      <c r="D48" s="610"/>
      <c r="E48" s="611"/>
      <c r="F48" s="612"/>
      <c r="G48" s="613"/>
      <c r="H48" s="614"/>
      <c r="I48" s="611"/>
      <c r="J48" s="614"/>
      <c r="K48" s="1334"/>
      <c r="L48" s="2128"/>
      <c r="M48" s="2116"/>
      <c r="N48" s="2116"/>
      <c r="O48" s="2129"/>
      <c r="P48" s="3441" t="str">
        <f>A48</f>
        <v>成交单价</v>
      </c>
      <c r="Q48" s="3441"/>
      <c r="R48" s="3442">
        <f>E48</f>
        <v>0</v>
      </c>
      <c r="S48" s="3442"/>
      <c r="T48" s="3442">
        <f>G48</f>
        <v>0</v>
      </c>
      <c r="U48" s="3442"/>
      <c r="V48" s="3442">
        <f>I48</f>
        <v>0</v>
      </c>
      <c r="W48" s="3442"/>
      <c r="X48" s="1544"/>
      <c r="Y48" s="1566"/>
      <c r="Z48" s="1544"/>
      <c r="AA48" s="1544"/>
      <c r="AB48" s="1544"/>
      <c r="AC48" s="1544"/>
    </row>
    <row r="49" spans="1:29" ht="21" thickBot="1">
      <c r="A49" s="615" t="s">
        <v>2687</v>
      </c>
      <c r="B49" s="616"/>
      <c r="C49" s="617" t="e">
        <f>R50</f>
        <v>#DIV/0!</v>
      </c>
      <c r="D49" s="618"/>
      <c r="E49" s="617" t="e">
        <f>R49</f>
        <v>#DIV/0!</v>
      </c>
      <c r="F49" s="619"/>
      <c r="G49" s="620" t="e">
        <f>T49</f>
        <v>#DIV/0!</v>
      </c>
      <c r="H49" s="618"/>
      <c r="I49" s="617" t="e">
        <f>V49</f>
        <v>#DIV/0!</v>
      </c>
      <c r="J49" s="618"/>
      <c r="K49" s="1335"/>
      <c r="L49" s="2128"/>
      <c r="M49" s="2116"/>
      <c r="N49" s="2116"/>
      <c r="O49" s="2129"/>
      <c r="P49" s="3441" t="str">
        <f>A49</f>
        <v>比较价格（元/平方米）</v>
      </c>
      <c r="Q49" s="3441"/>
      <c r="R49" s="3443" t="e">
        <f>ROUND(PRODUCT(R48,AA9:AA47),0)</f>
        <v>#DIV/0!</v>
      </c>
      <c r="S49" s="3443"/>
      <c r="T49" s="3443" t="e">
        <f>ROUND(PRODUCT(T48,AB9:AB47),0)</f>
        <v>#DIV/0!</v>
      </c>
      <c r="U49" s="3443"/>
      <c r="V49" s="3443" t="e">
        <f>ROUND(PRODUCT(V48,AC9:AC47),0)</f>
        <v>#DIV/0!</v>
      </c>
      <c r="W49" s="3443"/>
      <c r="X49" s="1544"/>
      <c r="Y49" s="1544"/>
      <c r="Z49" s="1544"/>
      <c r="AA49" s="1544"/>
      <c r="AB49" s="1544"/>
      <c r="AC49" s="1544"/>
    </row>
    <row r="50" spans="1:29" ht="21" thickBot="1">
      <c r="A50" s="621" t="s">
        <v>2929</v>
      </c>
      <c r="B50" s="622"/>
      <c r="C50" s="623" t="e">
        <f>R50</f>
        <v>#DIV/0!</v>
      </c>
      <c r="D50" s="623"/>
      <c r="E50" s="623"/>
      <c r="F50" s="623"/>
      <c r="G50" s="623"/>
      <c r="H50" s="623"/>
      <c r="I50" s="623"/>
      <c r="J50" s="623"/>
      <c r="K50" s="1336"/>
      <c r="L50" s="2128"/>
      <c r="M50" s="2116"/>
      <c r="N50" s="2116"/>
      <c r="O50" s="2129"/>
      <c r="P50" s="3438" t="str">
        <f>A50</f>
        <v>估价对象XX用房的比较价格（楼面单价，元/平方米）</v>
      </c>
      <c r="Q50" s="3439"/>
      <c r="R50" s="3440" t="e">
        <f>ROUND(AVERAGE(R49:V49),0)</f>
        <v>#DIV/0!</v>
      </c>
      <c r="S50" s="3440"/>
      <c r="T50" s="3440"/>
      <c r="U50" s="3440"/>
      <c r="V50" s="3440"/>
      <c r="W50" s="3440"/>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1722</v>
      </c>
      <c r="D57" s="2211" t="s">
        <v>2288</v>
      </c>
      <c r="E57" s="631" t="s">
        <v>562</v>
      </c>
      <c r="F57" s="632" t="s">
        <v>563</v>
      </c>
      <c r="G57" s="3467" t="s">
        <v>2276</v>
      </c>
      <c r="H57" s="3468"/>
      <c r="I57" s="1540" t="s">
        <v>1720</v>
      </c>
      <c r="J57" s="1540">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564</v>
      </c>
      <c r="B58" s="634" t="e">
        <f>C50</f>
        <v>#DIV/0!</v>
      </c>
      <c r="C58" s="635">
        <v>1</v>
      </c>
      <c r="D58" s="2212">
        <v>1</v>
      </c>
      <c r="E58" s="635">
        <f>'数据-汇总表'!E8+'数据-汇总表'!E9</f>
        <v>96343.56</v>
      </c>
      <c r="F58" s="636" t="e">
        <f t="shared" ref="F58:F67" si="15">ROUND(B58*E58/10000,0)</f>
        <v>#DIV/0!</v>
      </c>
      <c r="G58" s="3469"/>
      <c r="H58" s="3470"/>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565</v>
      </c>
      <c r="B59" s="638" t="e">
        <f>ROUND($C$50*C59*D59,0)</f>
        <v>#DIV/0!</v>
      </c>
      <c r="C59" s="378">
        <f t="shared" ref="C59:C67" si="16">IF($C$57="北京市系数",I59,J59)</f>
        <v>0</v>
      </c>
      <c r="D59" s="2213">
        <v>0.25</v>
      </c>
      <c r="E59" s="639">
        <v>0</v>
      </c>
      <c r="F59" s="636" t="e">
        <f t="shared" si="15"/>
        <v>#DIV/0!</v>
      </c>
      <c r="G59" s="3471" t="s">
        <v>2277</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566</v>
      </c>
      <c r="B60" s="638" t="e">
        <f t="shared" ref="B60:B67" si="17">ROUND($C$50*C60*D60,0)</f>
        <v>#DIV/0!</v>
      </c>
      <c r="C60" s="378">
        <f t="shared" si="16"/>
        <v>0</v>
      </c>
      <c r="D60" s="2213">
        <v>0.25</v>
      </c>
      <c r="E60" s="639">
        <v>0</v>
      </c>
      <c r="F60" s="636" t="e">
        <f t="shared" si="15"/>
        <v>#DIV/0!</v>
      </c>
      <c r="G60" s="3471"/>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567</v>
      </c>
      <c r="B61" s="638" t="e">
        <f t="shared" si="17"/>
        <v>#DIV/0!</v>
      </c>
      <c r="C61" s="378">
        <f t="shared" si="16"/>
        <v>0</v>
      </c>
      <c r="D61" s="2213">
        <v>0.25</v>
      </c>
      <c r="E61" s="639">
        <v>0</v>
      </c>
      <c r="F61" s="636" t="e">
        <f t="shared" si="15"/>
        <v>#DIV/0!</v>
      </c>
      <c r="G61" s="3471"/>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568</v>
      </c>
      <c r="B62" s="638" t="e">
        <f t="shared" si="17"/>
        <v>#DIV/0!</v>
      </c>
      <c r="C62" s="378">
        <f t="shared" si="16"/>
        <v>0</v>
      </c>
      <c r="D62" s="2213">
        <v>0.25</v>
      </c>
      <c r="E62" s="639">
        <v>0</v>
      </c>
      <c r="F62" s="636" t="e">
        <f t="shared" si="15"/>
        <v>#DIV/0!</v>
      </c>
      <c r="G62" s="3471"/>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2323</v>
      </c>
      <c r="B63" s="638" t="e">
        <f t="shared" si="17"/>
        <v>#DIV/0!</v>
      </c>
      <c r="C63" s="378">
        <f t="shared" si="16"/>
        <v>0</v>
      </c>
      <c r="D63" s="2213">
        <v>0.25</v>
      </c>
      <c r="E63" s="641">
        <f>'数据-汇总表'!E11</f>
        <v>0</v>
      </c>
      <c r="F63" s="636" t="e">
        <f t="shared" si="15"/>
        <v>#DIV/0!</v>
      </c>
      <c r="G63" s="1929" t="s">
        <v>2278</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569</v>
      </c>
      <c r="B64" s="638" t="e">
        <f t="shared" si="17"/>
        <v>#DIV/0!</v>
      </c>
      <c r="C64" s="378">
        <f t="shared" si="16"/>
        <v>0</v>
      </c>
      <c r="D64" s="2213">
        <v>0.25</v>
      </c>
      <c r="E64" s="641">
        <f>'数据-汇总表'!E12</f>
        <v>0</v>
      </c>
      <c r="F64" s="636" t="e">
        <f t="shared" si="15"/>
        <v>#DIV/0!</v>
      </c>
      <c r="G64" s="1930" t="s">
        <v>1675</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570</v>
      </c>
      <c r="B65" s="638" t="e">
        <f t="shared" si="17"/>
        <v>#DIV/0!</v>
      </c>
      <c r="C65" s="378">
        <f t="shared" si="16"/>
        <v>0</v>
      </c>
      <c r="D65" s="2213">
        <v>0.25</v>
      </c>
      <c r="E65" s="641">
        <f>'数据-汇总表'!E13</f>
        <v>0</v>
      </c>
      <c r="F65" s="636" t="e">
        <f t="shared" si="15"/>
        <v>#DIV/0!</v>
      </c>
      <c r="G65" s="1930" t="s">
        <v>921</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571</v>
      </c>
      <c r="B66" s="638" t="e">
        <f t="shared" si="17"/>
        <v>#DIV/0!</v>
      </c>
      <c r="C66" s="378">
        <f t="shared" si="16"/>
        <v>0</v>
      </c>
      <c r="D66" s="2213">
        <v>0.25</v>
      </c>
      <c r="E66" s="641">
        <f>'数据-汇总表'!E14</f>
        <v>0</v>
      </c>
      <c r="F66" s="636" t="e">
        <f t="shared" si="15"/>
        <v>#DIV/0!</v>
      </c>
      <c r="G66" s="1929" t="s">
        <v>2277</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572</v>
      </c>
      <c r="B67" s="638" t="e">
        <f t="shared" si="17"/>
        <v>#DIV/0!</v>
      </c>
      <c r="C67" s="378">
        <f t="shared" si="16"/>
        <v>0</v>
      </c>
      <c r="D67" s="2213">
        <v>0.25</v>
      </c>
      <c r="E67" s="641">
        <f>'数据-汇总表'!E15</f>
        <v>0</v>
      </c>
      <c r="F67" s="636" t="e">
        <f t="shared" si="15"/>
        <v>#DIV/0!</v>
      </c>
      <c r="G67" s="1931" t="s">
        <v>2278</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573</v>
      </c>
      <c r="B68" s="643" t="s">
        <v>17</v>
      </c>
      <c r="C68" s="643" t="s">
        <v>18</v>
      </c>
      <c r="D68" s="643" t="s">
        <v>2289</v>
      </c>
      <c r="E68" s="643">
        <f>IF(B48="楼面地价",SUM(E58:E67),'数据-汇总表'!D3)</f>
        <v>96343.56</v>
      </c>
      <c r="F68" s="644" t="e">
        <f>IF(B48="楼面地价",SUM(F58:F67),ROUND(C50*E68/10000,0))</f>
        <v>#DIV/0!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2020-6-1</v>
      </c>
      <c r="D70" s="2753">
        <f>EDATE(C70,-3)</f>
        <v>43891</v>
      </c>
      <c r="E70" s="2753">
        <f t="shared" ref="E70:N70" si="18">EDATE(D70,-3)</f>
        <v>43800</v>
      </c>
      <c r="F70" s="2753">
        <f t="shared" si="18"/>
        <v>43709</v>
      </c>
      <c r="G70" s="2753">
        <f t="shared" si="18"/>
        <v>43617</v>
      </c>
      <c r="H70" s="2753">
        <f t="shared" si="18"/>
        <v>43525</v>
      </c>
      <c r="I70" s="2753">
        <f t="shared" si="18"/>
        <v>43435</v>
      </c>
      <c r="J70" s="2753">
        <f t="shared" si="18"/>
        <v>43344</v>
      </c>
      <c r="K70" s="2753">
        <f t="shared" si="18"/>
        <v>43252</v>
      </c>
      <c r="L70" s="2753">
        <f t="shared" si="18"/>
        <v>43160</v>
      </c>
      <c r="M70" s="2753">
        <f t="shared" si="18"/>
        <v>43070</v>
      </c>
      <c r="N70" s="2753">
        <f t="shared" si="18"/>
        <v>42979</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2527</v>
      </c>
      <c r="B72" s="2532"/>
      <c r="C72" s="2749" t="str">
        <f>YEAR(C70)&amp;"-"&amp;ROUNDUP(MONTH(C70)/3,0)</f>
        <v>2020-2</v>
      </c>
      <c r="D72" s="2755" t="str">
        <f>YEAR(D70)&amp;"-"&amp;ROUNDUP(MONTH(D70)/3,0)</f>
        <v>2020-1</v>
      </c>
      <c r="E72" s="2755" t="str">
        <f t="shared" ref="E72:N72" si="19">YEAR(E70)&amp;"-"&amp;ROUNDUP(MONTH(E70)/3,0)</f>
        <v>2019-4</v>
      </c>
      <c r="F72" s="2755" t="str">
        <f t="shared" si="19"/>
        <v>2019-3</v>
      </c>
      <c r="G72" s="2755" t="str">
        <f t="shared" si="19"/>
        <v>2019-2</v>
      </c>
      <c r="H72" s="2755" t="str">
        <f t="shared" si="19"/>
        <v>2019-1</v>
      </c>
      <c r="I72" s="2755" t="str">
        <f t="shared" si="19"/>
        <v>2018-4</v>
      </c>
      <c r="J72" s="2755" t="str">
        <f t="shared" si="19"/>
        <v>2018-3</v>
      </c>
      <c r="K72" s="2755" t="str">
        <f t="shared" si="19"/>
        <v>2018-2</v>
      </c>
      <c r="L72" s="2755" t="str">
        <f t="shared" si="19"/>
        <v>2018-1</v>
      </c>
      <c r="M72" s="2755" t="str">
        <f t="shared" si="19"/>
        <v>2017-4</v>
      </c>
      <c r="N72" s="2755" t="str">
        <f t="shared" si="19"/>
        <v>2017-3</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2641</v>
      </c>
      <c r="B73" s="479" t="str">
        <f>"北京市平均增长率"&amp;TEXT(SUMIF(基准地价!N21:N25,A73,基准地价!P21:P25),"0.00%")</f>
        <v>北京市平均增长率1.85%</v>
      </c>
      <c r="C73" s="893">
        <v>100</v>
      </c>
      <c r="D73" s="730"/>
      <c r="E73" s="730"/>
      <c r="F73" s="730"/>
      <c r="G73" s="730"/>
      <c r="H73" s="730"/>
      <c r="I73" s="730"/>
      <c r="J73" s="730"/>
      <c r="K73" s="730"/>
      <c r="L73" s="730"/>
      <c r="M73" s="2747"/>
      <c r="N73" s="2748"/>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2640</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598"/>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c r="D82" s="541"/>
      <c r="E82" s="541"/>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9"/>
      <c r="B99" s="678"/>
      <c r="C99" s="712">
        <v>100</v>
      </c>
      <c r="D99" s="679">
        <f>C99-$K25</f>
        <v>100</v>
      </c>
      <c r="E99" s="679">
        <f>D99-$K25</f>
        <v>100</v>
      </c>
      <c r="F99" s="679">
        <f>E99-$K25</f>
        <v>100</v>
      </c>
      <c r="G99" s="679">
        <f>F99-$K25</f>
        <v>100</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2543</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60" t="s">
        <v>2545</v>
      </c>
      <c r="C104" s="2561" t="s">
        <v>2546</v>
      </c>
      <c r="D104" s="2561" t="s">
        <v>2547</v>
      </c>
      <c r="E104" s="2561" t="s">
        <v>2548</v>
      </c>
      <c r="F104" s="2561" t="s">
        <v>2549</v>
      </c>
      <c r="G104" s="2561" t="s">
        <v>2550</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37" t="str">
        <f t="shared" si="25"/>
        <v>(含)-</v>
      </c>
      <c r="K118" s="3037" t="str">
        <f t="shared" si="25"/>
        <v>(含)-</v>
      </c>
      <c r="L118" s="3038" t="str">
        <f t="shared" si="25"/>
        <v>(含)-</v>
      </c>
      <c r="M118" s="3039"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c r="D119" s="730"/>
      <c r="E119" s="730"/>
      <c r="F119" s="730"/>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c r="D120" s="726"/>
      <c r="E120" s="726"/>
      <c r="F120" s="726"/>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718"/>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2420</v>
      </c>
      <c r="C125" s="1370"/>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1683</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447" t="s">
        <v>522</v>
      </c>
      <c r="D6" s="3448"/>
      <c r="E6" s="3481" t="s">
        <v>523</v>
      </c>
      <c r="F6" s="3482"/>
      <c r="G6" s="3447" t="s">
        <v>524</v>
      </c>
      <c r="H6" s="3448"/>
      <c r="I6" s="3447" t="s">
        <v>525</v>
      </c>
      <c r="J6" s="3448"/>
      <c r="K6" s="514" t="s">
        <v>526</v>
      </c>
      <c r="L6" s="2117"/>
      <c r="M6" s="2118"/>
      <c r="N6" s="2118"/>
      <c r="O6" s="2118"/>
      <c r="P6" s="3449" t="s">
        <v>527</v>
      </c>
      <c r="Q6" s="3450"/>
      <c r="R6" s="3455" t="s">
        <v>523</v>
      </c>
      <c r="S6" s="3456"/>
      <c r="T6" s="3455" t="s">
        <v>524</v>
      </c>
      <c r="U6" s="3456"/>
      <c r="V6" s="3442" t="s">
        <v>525</v>
      </c>
      <c r="W6" s="3442"/>
      <c r="X6" s="1552"/>
      <c r="Y6" s="3455" t="s">
        <v>527</v>
      </c>
      <c r="Z6" s="3456"/>
      <c r="AA6" s="3444" t="s">
        <v>523</v>
      </c>
      <c r="AB6" s="3445" t="s">
        <v>524</v>
      </c>
      <c r="AC6" s="3444" t="s">
        <v>525</v>
      </c>
    </row>
    <row r="7" spans="1:29" ht="15">
      <c r="A7" s="515"/>
      <c r="B7" s="516"/>
      <c r="C7" s="3463" t="s">
        <v>2923</v>
      </c>
      <c r="D7" s="3464"/>
      <c r="E7" s="3483" t="s">
        <v>2924</v>
      </c>
      <c r="F7" s="3484"/>
      <c r="G7" s="3463" t="s">
        <v>2925</v>
      </c>
      <c r="H7" s="3464"/>
      <c r="I7" s="3463" t="s">
        <v>2926</v>
      </c>
      <c r="J7" s="3464"/>
      <c r="K7" s="514"/>
      <c r="L7" s="2117"/>
      <c r="M7" s="2118"/>
      <c r="N7" s="2118"/>
      <c r="O7" s="2118"/>
      <c r="P7" s="3451"/>
      <c r="Q7" s="3452"/>
      <c r="R7" s="3457"/>
      <c r="S7" s="3458"/>
      <c r="T7" s="3457"/>
      <c r="U7" s="3458"/>
      <c r="V7" s="3442"/>
      <c r="W7" s="3442"/>
      <c r="X7" s="1552"/>
      <c r="Y7" s="3457"/>
      <c r="Z7" s="3458"/>
      <c r="AA7" s="3445"/>
      <c r="AB7" s="3445"/>
      <c r="AC7" s="3445"/>
    </row>
    <row r="8" spans="1:29" ht="15.75" thickBot="1">
      <c r="A8" s="517"/>
      <c r="B8" s="518"/>
      <c r="C8" s="3461" t="s">
        <v>2927</v>
      </c>
      <c r="D8" s="3462"/>
      <c r="E8" s="3479" t="s">
        <v>2927</v>
      </c>
      <c r="F8" s="3480"/>
      <c r="G8" s="3461" t="s">
        <v>2927</v>
      </c>
      <c r="H8" s="3462"/>
      <c r="I8" s="3461" t="s">
        <v>2927</v>
      </c>
      <c r="J8" s="3462"/>
      <c r="K8" s="514" t="s">
        <v>528</v>
      </c>
      <c r="L8" s="2117"/>
      <c r="M8" s="2118"/>
      <c r="N8" s="2118"/>
      <c r="O8" s="2118"/>
      <c r="P8" s="3453"/>
      <c r="Q8" s="3454"/>
      <c r="R8" s="3457"/>
      <c r="S8" s="3458"/>
      <c r="T8" s="3459"/>
      <c r="U8" s="3460"/>
      <c r="V8" s="3442"/>
      <c r="W8" s="3442"/>
      <c r="X8" s="1552"/>
      <c r="Y8" s="3459"/>
      <c r="Z8" s="3460"/>
      <c r="AA8" s="3446"/>
      <c r="AB8" s="3446"/>
      <c r="AC8" s="3446"/>
    </row>
    <row r="9" spans="1:29" s="1214" customFormat="1" ht="15.75" thickBot="1">
      <c r="A9" s="2866"/>
      <c r="B9" s="2873" t="s">
        <v>529</v>
      </c>
      <c r="C9" s="519">
        <f>'数据-取费表'!B2</f>
        <v>44001</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72" t="s">
        <v>530</v>
      </c>
      <c r="Q9" s="3474"/>
      <c r="R9" s="1553" t="s">
        <v>8</v>
      </c>
      <c r="S9" s="1554">
        <f t="shared" ref="S9:S17" si="0">F9</f>
        <v>0</v>
      </c>
      <c r="T9" s="1553" t="s">
        <v>8</v>
      </c>
      <c r="U9" s="1554">
        <f t="shared" ref="U9:U17" si="1">H9</f>
        <v>0</v>
      </c>
      <c r="V9" s="1553" t="s">
        <v>8</v>
      </c>
      <c r="W9" s="1554">
        <f t="shared" ref="W9:W17" si="2">J9</f>
        <v>0</v>
      </c>
      <c r="X9" s="1555"/>
      <c r="Y9" s="3472" t="s">
        <v>530</v>
      </c>
      <c r="Z9" s="3473"/>
      <c r="AA9" s="1556" t="e">
        <f>D9/F9</f>
        <v>#DIV/0!</v>
      </c>
      <c r="AB9" s="1556" t="e">
        <f>D9/H9</f>
        <v>#DIV/0!</v>
      </c>
      <c r="AC9" s="1556" t="e">
        <f>D9/J9</f>
        <v>#DIV/0!</v>
      </c>
    </row>
    <row r="10" spans="1:29" s="1214"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72" t="s">
        <v>533</v>
      </c>
      <c r="Q10" s="3473"/>
      <c r="R10" s="1553" t="s">
        <v>8</v>
      </c>
      <c r="S10" s="1554">
        <f t="shared" si="0"/>
        <v>0</v>
      </c>
      <c r="T10" s="1553" t="s">
        <v>8</v>
      </c>
      <c r="U10" s="1554">
        <f t="shared" si="1"/>
        <v>0</v>
      </c>
      <c r="V10" s="1553" t="s">
        <v>8</v>
      </c>
      <c r="W10" s="1554">
        <f t="shared" si="2"/>
        <v>0</v>
      </c>
      <c r="X10" s="1555"/>
      <c r="Y10" s="3472" t="s">
        <v>533</v>
      </c>
      <c r="Z10" s="3473"/>
      <c r="AA10" s="1556" t="e">
        <f t="shared" ref="AA10:AA42" si="3">D10/F10</f>
        <v>#DIV/0!</v>
      </c>
      <c r="AB10" s="1556" t="e">
        <f t="shared" ref="AB10:AB42" si="4">D10/H10</f>
        <v>#DIV/0!</v>
      </c>
      <c r="AC10" s="1556" t="e">
        <f t="shared" ref="AC10:AC42" si="5">D10/J10</f>
        <v>#DIV/0!</v>
      </c>
    </row>
    <row r="11" spans="1:29" s="1214" customFormat="1" ht="15">
      <c r="A11" s="2868"/>
      <c r="B11" s="2875" t="s">
        <v>2750</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41" t="s">
        <v>535</v>
      </c>
      <c r="Q11" s="1145" t="str">
        <f t="shared" ref="Q11:Q17" si="6">B11</f>
        <v>用途</v>
      </c>
      <c r="R11" s="1553" t="s">
        <v>8</v>
      </c>
      <c r="S11" s="1554">
        <f t="shared" si="0"/>
        <v>100</v>
      </c>
      <c r="T11" s="1553" t="s">
        <v>8</v>
      </c>
      <c r="U11" s="1554">
        <f t="shared" si="1"/>
        <v>100</v>
      </c>
      <c r="V11" s="1553" t="s">
        <v>8</v>
      </c>
      <c r="W11" s="1554">
        <f t="shared" si="2"/>
        <v>100</v>
      </c>
      <c r="X11" s="1555"/>
      <c r="Y11" s="3361" t="s">
        <v>536</v>
      </c>
      <c r="Z11" s="1144" t="str">
        <f t="shared" ref="Z11:Z17" si="7">Q11</f>
        <v>用途</v>
      </c>
      <c r="AA11" s="1556">
        <f t="shared" si="3"/>
        <v>1</v>
      </c>
      <c r="AB11" s="1556">
        <f t="shared" si="4"/>
        <v>1</v>
      </c>
      <c r="AC11" s="1556">
        <f t="shared" si="5"/>
        <v>1</v>
      </c>
    </row>
    <row r="12" spans="1:29" s="1332" customFormat="1" ht="27">
      <c r="A12" s="2869"/>
      <c r="B12" s="2874" t="s">
        <v>2751</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441"/>
      <c r="Q12" s="1145" t="str">
        <f t="shared" si="6"/>
        <v>土地使用年限（年）</v>
      </c>
      <c r="R12" s="1553" t="s">
        <v>8</v>
      </c>
      <c r="S12" s="1554">
        <f t="shared" si="0"/>
        <v>100</v>
      </c>
      <c r="T12" s="1553" t="s">
        <v>8</v>
      </c>
      <c r="U12" s="1554">
        <f t="shared" si="1"/>
        <v>100</v>
      </c>
      <c r="V12" s="1553" t="s">
        <v>8</v>
      </c>
      <c r="W12" s="1554">
        <f t="shared" si="2"/>
        <v>100</v>
      </c>
      <c r="X12" s="1555"/>
      <c r="Y12" s="3361"/>
      <c r="Z12" s="1144" t="str">
        <f t="shared" si="7"/>
        <v>土地使用年限（年）</v>
      </c>
      <c r="AA12" s="1556">
        <f t="shared" si="3"/>
        <v>1</v>
      </c>
      <c r="AB12" s="1556">
        <f t="shared" si="4"/>
        <v>1</v>
      </c>
      <c r="AC12" s="1556">
        <f t="shared" si="5"/>
        <v>1</v>
      </c>
    </row>
    <row r="13" spans="1:29" ht="15">
      <c r="A13" s="2870"/>
      <c r="B13" s="2874"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41"/>
      <c r="Q13" s="1145" t="str">
        <f t="shared" si="6"/>
        <v>容积率</v>
      </c>
      <c r="R13" s="1553" t="s">
        <v>8</v>
      </c>
      <c r="S13" s="1554" t="e">
        <f t="shared" si="0"/>
        <v>#N/A</v>
      </c>
      <c r="T13" s="1553" t="s">
        <v>8</v>
      </c>
      <c r="U13" s="1554" t="e">
        <f t="shared" si="1"/>
        <v>#N/A</v>
      </c>
      <c r="V13" s="1553" t="s">
        <v>8</v>
      </c>
      <c r="W13" s="1554" t="e">
        <f t="shared" si="2"/>
        <v>#N/A</v>
      </c>
      <c r="X13" s="1555"/>
      <c r="Y13" s="3361"/>
      <c r="Z13" s="1144" t="str">
        <f t="shared" si="7"/>
        <v>容积率</v>
      </c>
      <c r="AA13" s="1556" t="e">
        <f t="shared" si="3"/>
        <v>#N/A</v>
      </c>
      <c r="AB13" s="1556" t="e">
        <f t="shared" si="4"/>
        <v>#N/A</v>
      </c>
      <c r="AC13" s="1556" t="e">
        <f t="shared" si="5"/>
        <v>#N/A</v>
      </c>
    </row>
    <row r="14" spans="1:29" s="1214"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41"/>
      <c r="Q14" s="1145">
        <f t="shared" si="6"/>
        <v>111</v>
      </c>
      <c r="R14" s="1553" t="s">
        <v>8</v>
      </c>
      <c r="S14" s="1554">
        <f t="shared" si="0"/>
        <v>100</v>
      </c>
      <c r="T14" s="1553" t="s">
        <v>8</v>
      </c>
      <c r="U14" s="1554">
        <f t="shared" si="1"/>
        <v>100</v>
      </c>
      <c r="V14" s="1553" t="s">
        <v>8</v>
      </c>
      <c r="W14" s="1554">
        <f t="shared" si="2"/>
        <v>100</v>
      </c>
      <c r="X14" s="1555"/>
      <c r="Y14" s="3361"/>
      <c r="Z14" s="1144">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41"/>
      <c r="Q15" s="1145">
        <f t="shared" si="6"/>
        <v>111</v>
      </c>
      <c r="R15" s="1553" t="s">
        <v>8</v>
      </c>
      <c r="S15" s="1554">
        <f t="shared" si="0"/>
        <v>100</v>
      </c>
      <c r="T15" s="1553" t="s">
        <v>8</v>
      </c>
      <c r="U15" s="1554">
        <f t="shared" si="1"/>
        <v>100</v>
      </c>
      <c r="V15" s="1553" t="s">
        <v>8</v>
      </c>
      <c r="W15" s="1554">
        <f t="shared" si="2"/>
        <v>100</v>
      </c>
      <c r="X15" s="1555"/>
      <c r="Y15" s="3361"/>
      <c r="Z15" s="1144">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41"/>
      <c r="Q16" s="1145">
        <f t="shared" si="6"/>
        <v>111</v>
      </c>
      <c r="R16" s="1553" t="s">
        <v>8</v>
      </c>
      <c r="S16" s="1554">
        <f t="shared" si="0"/>
        <v>100</v>
      </c>
      <c r="T16" s="1553" t="s">
        <v>8</v>
      </c>
      <c r="U16" s="1554">
        <f t="shared" si="1"/>
        <v>100</v>
      </c>
      <c r="V16" s="1553" t="s">
        <v>8</v>
      </c>
      <c r="W16" s="1554">
        <f t="shared" si="2"/>
        <v>100</v>
      </c>
      <c r="X16" s="1555"/>
      <c r="Y16" s="3361"/>
      <c r="Z16" s="1144">
        <f t="shared" si="7"/>
        <v>111</v>
      </c>
      <c r="AA16" s="1556">
        <f t="shared" si="3"/>
        <v>1</v>
      </c>
      <c r="AB16" s="1556">
        <f t="shared" si="4"/>
        <v>1</v>
      </c>
      <c r="AC16" s="1556">
        <f t="shared" si="5"/>
        <v>1</v>
      </c>
    </row>
    <row r="17" spans="1:29" ht="57">
      <c r="A17" s="2864" t="s">
        <v>2748</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75" t="s">
        <v>540</v>
      </c>
      <c r="Q17" s="1557" t="str">
        <f t="shared" si="6"/>
        <v>产业集聚程度</v>
      </c>
      <c r="R17" s="1558" t="s">
        <v>8</v>
      </c>
      <c r="S17" s="1559">
        <f t="shared" si="0"/>
        <v>100</v>
      </c>
      <c r="T17" s="1558" t="s">
        <v>8</v>
      </c>
      <c r="U17" s="1559">
        <f t="shared" si="1"/>
        <v>100</v>
      </c>
      <c r="V17" s="1558" t="s">
        <v>8</v>
      </c>
      <c r="W17" s="1559">
        <f t="shared" si="2"/>
        <v>100</v>
      </c>
      <c r="X17" s="1552"/>
      <c r="Y17" s="3475" t="s">
        <v>540</v>
      </c>
      <c r="Z17" s="1560" t="str">
        <f t="shared" si="7"/>
        <v>产业集聚程度</v>
      </c>
      <c r="AA17" s="1561">
        <f t="shared" si="3"/>
        <v>1</v>
      </c>
      <c r="AB17" s="1561">
        <f t="shared" si="4"/>
        <v>1</v>
      </c>
      <c r="AC17" s="1561">
        <f t="shared" si="5"/>
        <v>1</v>
      </c>
    </row>
    <row r="18" spans="1:29" ht="15">
      <c r="A18" s="532"/>
      <c r="B18" s="868"/>
      <c r="C18" s="576"/>
      <c r="D18" s="555"/>
      <c r="E18" s="554"/>
      <c r="F18" s="555"/>
      <c r="G18" s="554"/>
      <c r="H18" s="559"/>
      <c r="I18" s="554"/>
      <c r="J18" s="555"/>
      <c r="K18" s="531"/>
      <c r="L18" s="2126"/>
      <c r="M18" s="2118"/>
      <c r="N18" s="2118"/>
      <c r="O18" s="2125"/>
      <c r="P18" s="3476"/>
      <c r="Q18" s="1557"/>
      <c r="R18" s="1558"/>
      <c r="S18" s="1559"/>
      <c r="T18" s="1558"/>
      <c r="U18" s="1559"/>
      <c r="V18" s="1558"/>
      <c r="W18" s="1559"/>
      <c r="X18" s="1552"/>
      <c r="Y18" s="3476"/>
      <c r="Z18" s="1560"/>
      <c r="AA18" s="1561">
        <v>1</v>
      </c>
      <c r="AB18" s="1561">
        <v>1</v>
      </c>
      <c r="AC18" s="1561">
        <v>1</v>
      </c>
    </row>
    <row r="19" spans="1:29" ht="85.5">
      <c r="A19" s="532"/>
      <c r="B19" s="870" t="s">
        <v>543</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76"/>
      <c r="Q19" s="1557" t="str">
        <f>B19</f>
        <v>交通便捷度</v>
      </c>
      <c r="R19" s="1558" t="s">
        <v>8</v>
      </c>
      <c r="S19" s="1559">
        <f>F19</f>
        <v>100</v>
      </c>
      <c r="T19" s="1558" t="s">
        <v>8</v>
      </c>
      <c r="U19" s="1559">
        <f>H19</f>
        <v>100</v>
      </c>
      <c r="V19" s="1558" t="s">
        <v>8</v>
      </c>
      <c r="W19" s="1559">
        <f>J19</f>
        <v>100</v>
      </c>
      <c r="X19" s="1552"/>
      <c r="Y19" s="3476"/>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476"/>
      <c r="Q20" s="1557"/>
      <c r="R20" s="1558"/>
      <c r="S20" s="1559"/>
      <c r="T20" s="1558"/>
      <c r="U20" s="1559"/>
      <c r="V20" s="1558"/>
      <c r="W20" s="1559"/>
      <c r="X20" s="1552"/>
      <c r="Y20" s="3476"/>
      <c r="Z20" s="1560"/>
      <c r="AA20" s="1561">
        <v>1</v>
      </c>
      <c r="AB20" s="1561">
        <v>1</v>
      </c>
      <c r="AC20" s="1561">
        <v>1</v>
      </c>
    </row>
    <row r="21" spans="1:29" ht="27">
      <c r="A21" s="515"/>
      <c r="B21" s="870" t="s">
        <v>544</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26"/>
      <c r="M21" s="2118"/>
      <c r="N21" s="2118"/>
      <c r="O21" s="2125"/>
      <c r="P21" s="3476"/>
      <c r="Q21" s="1557" t="str">
        <f t="shared" ref="Q21:Q35" si="8">B21</f>
        <v>区域土地利用方向</v>
      </c>
      <c r="R21" s="1558" t="s">
        <v>8</v>
      </c>
      <c r="S21" s="1559">
        <f>F21</f>
        <v>100</v>
      </c>
      <c r="T21" s="1558" t="s">
        <v>8</v>
      </c>
      <c r="U21" s="1559">
        <f>H21</f>
        <v>100</v>
      </c>
      <c r="V21" s="1558" t="s">
        <v>8</v>
      </c>
      <c r="W21" s="1559">
        <f>J21</f>
        <v>100</v>
      </c>
      <c r="X21" s="1552"/>
      <c r="Y21" s="3476"/>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76"/>
      <c r="Q22" s="1557"/>
      <c r="R22" s="1558"/>
      <c r="S22" s="1559"/>
      <c r="T22" s="1558"/>
      <c r="U22" s="1559"/>
      <c r="V22" s="1558"/>
      <c r="W22" s="1559"/>
      <c r="X22" s="1552"/>
      <c r="Y22" s="3476"/>
      <c r="Z22" s="1560"/>
      <c r="AA22" s="1561"/>
      <c r="AB22" s="1561"/>
      <c r="AC22" s="1561"/>
    </row>
    <row r="23" spans="1:29" ht="71.25">
      <c r="A23" s="515"/>
      <c r="B23" s="921" t="s">
        <v>599</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76"/>
      <c r="Q23" s="1557" t="str">
        <f t="shared" si="8"/>
        <v>环境状况</v>
      </c>
      <c r="R23" s="1558" t="s">
        <v>8</v>
      </c>
      <c r="S23" s="1559">
        <f>F23</f>
        <v>100</v>
      </c>
      <c r="T23" s="1558" t="s">
        <v>8</v>
      </c>
      <c r="U23" s="1559">
        <f>H23</f>
        <v>100</v>
      </c>
      <c r="V23" s="1558" t="s">
        <v>8</v>
      </c>
      <c r="W23" s="1559">
        <f>J23</f>
        <v>100</v>
      </c>
      <c r="X23" s="1552"/>
      <c r="Y23" s="3476"/>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76"/>
      <c r="Q24" s="1557"/>
      <c r="R24" s="1558"/>
      <c r="S24" s="1559"/>
      <c r="T24" s="1558"/>
      <c r="U24" s="1559"/>
      <c r="V24" s="1558"/>
      <c r="W24" s="1559"/>
      <c r="X24" s="1552"/>
      <c r="Y24" s="3476"/>
      <c r="Z24" s="1560"/>
      <c r="AA24" s="1561">
        <v>1</v>
      </c>
      <c r="AB24" s="1561">
        <v>1</v>
      </c>
      <c r="AC24" s="1561">
        <v>1</v>
      </c>
    </row>
    <row r="25" spans="1:29" s="1214" customFormat="1" ht="42.75">
      <c r="A25" s="577"/>
      <c r="B25" s="2556" t="s">
        <v>2543</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76"/>
      <c r="Q25" s="1145" t="str">
        <f t="shared" si="8"/>
        <v>公共配套设施</v>
      </c>
      <c r="R25" s="1553" t="s">
        <v>8</v>
      </c>
      <c r="S25" s="1554">
        <f>F25</f>
        <v>100</v>
      </c>
      <c r="T25" s="1553" t="s">
        <v>8</v>
      </c>
      <c r="U25" s="1554">
        <f>H25</f>
        <v>100</v>
      </c>
      <c r="V25" s="1553" t="s">
        <v>8</v>
      </c>
      <c r="W25" s="1554">
        <f>J25</f>
        <v>100</v>
      </c>
      <c r="X25" s="1555"/>
      <c r="Y25" s="3476"/>
      <c r="Z25" s="1144" t="str">
        <f>Q25</f>
        <v>公共配套设施</v>
      </c>
      <c r="AA25" s="1561">
        <f>D25/F25</f>
        <v>1</v>
      </c>
      <c r="AB25" s="1561">
        <f>D25/H25</f>
        <v>1</v>
      </c>
      <c r="AC25" s="1561">
        <f>D25/J25</f>
        <v>1</v>
      </c>
    </row>
    <row r="26" spans="1:29" s="1214" customFormat="1" ht="15">
      <c r="A26" s="577"/>
      <c r="B26" s="595"/>
      <c r="C26" s="2555"/>
      <c r="D26" s="555"/>
      <c r="E26" s="554"/>
      <c r="F26" s="555"/>
      <c r="G26" s="554"/>
      <c r="H26" s="555"/>
      <c r="I26" s="576"/>
      <c r="J26" s="555"/>
      <c r="K26" s="531"/>
      <c r="L26" s="2119"/>
      <c r="M26" s="2120"/>
      <c r="N26" s="2120"/>
      <c r="O26" s="2121"/>
      <c r="P26" s="3476"/>
      <c r="Q26" s="1145"/>
      <c r="R26" s="1553"/>
      <c r="S26" s="1554"/>
      <c r="T26" s="1553"/>
      <c r="U26" s="1554"/>
      <c r="V26" s="1553"/>
      <c r="W26" s="1554"/>
      <c r="X26" s="1555"/>
      <c r="Y26" s="3476"/>
      <c r="Z26" s="1144"/>
      <c r="AA26" s="1556">
        <v>1</v>
      </c>
      <c r="AB26" s="1556">
        <v>1</v>
      </c>
      <c r="AC26" s="1556">
        <v>1</v>
      </c>
    </row>
    <row r="27" spans="1:29" s="1214" customFormat="1" ht="28.5">
      <c r="A27" s="577"/>
      <c r="B27" s="2556" t="s">
        <v>2544</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76"/>
      <c r="Q27" s="2541" t="str">
        <f t="shared" ref="Q27" si="9">B27</f>
        <v>基础设施水平</v>
      </c>
      <c r="R27" s="1553" t="s">
        <v>8</v>
      </c>
      <c r="S27" s="1554">
        <f>F27</f>
        <v>100</v>
      </c>
      <c r="T27" s="1553" t="s">
        <v>8</v>
      </c>
      <c r="U27" s="1554">
        <f>H27</f>
        <v>100</v>
      </c>
      <c r="V27" s="1553" t="s">
        <v>8</v>
      </c>
      <c r="W27" s="1554">
        <f>J27</f>
        <v>100</v>
      </c>
      <c r="X27" s="1555"/>
      <c r="Y27" s="3476"/>
      <c r="Z27" s="2538" t="str">
        <f>Q27</f>
        <v>基础设施水平</v>
      </c>
      <c r="AA27" s="1561">
        <f>D27/F27</f>
        <v>1</v>
      </c>
      <c r="AB27" s="1561">
        <f>D27/H27</f>
        <v>1</v>
      </c>
      <c r="AC27" s="1561">
        <f>D27/J27</f>
        <v>1</v>
      </c>
    </row>
    <row r="28" spans="1:29" s="1214" customFormat="1" ht="15">
      <c r="A28" s="577"/>
      <c r="B28" s="595"/>
      <c r="C28" s="2555"/>
      <c r="D28" s="555"/>
      <c r="E28" s="579"/>
      <c r="F28" s="555"/>
      <c r="G28" s="579"/>
      <c r="H28" s="555"/>
      <c r="I28" s="579"/>
      <c r="J28" s="555"/>
      <c r="K28" s="531"/>
      <c r="L28" s="2119"/>
      <c r="M28" s="2120"/>
      <c r="N28" s="2120"/>
      <c r="O28" s="2121"/>
      <c r="P28" s="3476"/>
      <c r="Q28" s="2541"/>
      <c r="R28" s="1553"/>
      <c r="S28" s="1554"/>
      <c r="T28" s="1553"/>
      <c r="U28" s="1554"/>
      <c r="V28" s="1553"/>
      <c r="W28" s="1554"/>
      <c r="X28" s="1555"/>
      <c r="Y28" s="3476"/>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76"/>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76"/>
      <c r="Z29" s="1560" t="str">
        <f t="shared" ref="Z29:Z42" si="13">Q29</f>
        <v>临街状况</v>
      </c>
      <c r="AA29" s="1561">
        <f t="shared" si="3"/>
        <v>1</v>
      </c>
      <c r="AB29" s="1561">
        <f t="shared" si="4"/>
        <v>1</v>
      </c>
      <c r="AC29" s="1561">
        <f t="shared" si="5"/>
        <v>1</v>
      </c>
    </row>
    <row r="30" spans="1:29" ht="27">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76"/>
      <c r="Q30" s="1557" t="str">
        <f t="shared" si="8"/>
        <v>毗邻道路的类型与等级</v>
      </c>
      <c r="R30" s="1558" t="s">
        <v>8</v>
      </c>
      <c r="S30" s="1559">
        <f t="shared" si="10"/>
        <v>100</v>
      </c>
      <c r="T30" s="1558" t="s">
        <v>8</v>
      </c>
      <c r="U30" s="1559">
        <f t="shared" si="11"/>
        <v>100</v>
      </c>
      <c r="V30" s="1558" t="s">
        <v>8</v>
      </c>
      <c r="W30" s="1559">
        <f t="shared" si="12"/>
        <v>100</v>
      </c>
      <c r="X30" s="1552"/>
      <c r="Y30" s="3476"/>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76"/>
      <c r="Q31" s="1557"/>
      <c r="R31" s="1558"/>
      <c r="S31" s="1559"/>
      <c r="T31" s="1558"/>
      <c r="U31" s="1559"/>
      <c r="V31" s="1558"/>
      <c r="W31" s="1559"/>
      <c r="X31" s="1552"/>
      <c r="Y31" s="3476"/>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76"/>
      <c r="Q32" s="1557" t="str">
        <f t="shared" si="8"/>
        <v>土地级别</v>
      </c>
      <c r="R32" s="1558" t="s">
        <v>8</v>
      </c>
      <c r="S32" s="1559">
        <f t="shared" si="10"/>
        <v>100</v>
      </c>
      <c r="T32" s="1558" t="s">
        <v>8</v>
      </c>
      <c r="U32" s="1559">
        <f t="shared" si="11"/>
        <v>100</v>
      </c>
      <c r="V32" s="1558" t="s">
        <v>8</v>
      </c>
      <c r="W32" s="1559">
        <f t="shared" si="12"/>
        <v>100</v>
      </c>
      <c r="X32" s="1552"/>
      <c r="Y32" s="3476"/>
      <c r="Z32" s="1560" t="str">
        <f t="shared" si="13"/>
        <v>土地级别</v>
      </c>
      <c r="AA32" s="1561">
        <f t="shared" si="3"/>
        <v>1</v>
      </c>
      <c r="AB32" s="1561">
        <f t="shared" si="4"/>
        <v>1</v>
      </c>
      <c r="AC32" s="1561">
        <f t="shared" si="5"/>
        <v>1</v>
      </c>
    </row>
    <row r="33" spans="1:29" ht="15">
      <c r="A33" s="515"/>
      <c r="B33" s="876">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76"/>
      <c r="Q33" s="1557">
        <f t="shared" si="8"/>
        <v>111</v>
      </c>
      <c r="R33" s="1558" t="s">
        <v>8</v>
      </c>
      <c r="S33" s="1559">
        <f t="shared" si="10"/>
        <v>100</v>
      </c>
      <c r="T33" s="1558" t="s">
        <v>8</v>
      </c>
      <c r="U33" s="1559">
        <f t="shared" si="11"/>
        <v>100</v>
      </c>
      <c r="V33" s="1558" t="s">
        <v>8</v>
      </c>
      <c r="W33" s="1559">
        <f t="shared" si="12"/>
        <v>100</v>
      </c>
      <c r="X33" s="1552"/>
      <c r="Y33" s="3476"/>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77" t="s">
        <v>550</v>
      </c>
      <c r="Q34" s="1557">
        <f t="shared" si="8"/>
        <v>111</v>
      </c>
      <c r="R34" s="1558" t="s">
        <v>8</v>
      </c>
      <c r="S34" s="1559">
        <f t="shared" si="10"/>
        <v>100</v>
      </c>
      <c r="T34" s="1558" t="s">
        <v>8</v>
      </c>
      <c r="U34" s="1559">
        <f t="shared" si="11"/>
        <v>100</v>
      </c>
      <c r="V34" s="1558" t="s">
        <v>8</v>
      </c>
      <c r="W34" s="1559">
        <f t="shared" si="12"/>
        <v>100</v>
      </c>
      <c r="X34" s="1552"/>
      <c r="Y34" s="3478" t="s">
        <v>550</v>
      </c>
      <c r="Z34" s="1560">
        <f t="shared" si="13"/>
        <v>111</v>
      </c>
      <c r="AA34" s="1561">
        <f t="shared" si="3"/>
        <v>1</v>
      </c>
      <c r="AB34" s="1561">
        <f t="shared" si="4"/>
        <v>1</v>
      </c>
      <c r="AC34" s="1561">
        <f t="shared" si="5"/>
        <v>1</v>
      </c>
    </row>
    <row r="35" spans="1:29" s="1333"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78"/>
      <c r="Q35" s="1557">
        <f t="shared" si="8"/>
        <v>111</v>
      </c>
      <c r="R35" s="1562" t="s">
        <v>8</v>
      </c>
      <c r="S35" s="1563">
        <f t="shared" si="10"/>
        <v>100</v>
      </c>
      <c r="T35" s="1562" t="s">
        <v>8</v>
      </c>
      <c r="U35" s="1563">
        <f t="shared" si="11"/>
        <v>100</v>
      </c>
      <c r="V35" s="1562" t="s">
        <v>8</v>
      </c>
      <c r="W35" s="1563">
        <f t="shared" si="12"/>
        <v>100</v>
      </c>
      <c r="X35" s="1564"/>
      <c r="Y35" s="3478"/>
      <c r="Z35" s="1565">
        <f t="shared" si="13"/>
        <v>111</v>
      </c>
      <c r="AA35" s="1561">
        <f t="shared" si="3"/>
        <v>1</v>
      </c>
      <c r="AB35" s="1561">
        <f t="shared" si="4"/>
        <v>1</v>
      </c>
      <c r="AC35" s="1561">
        <f t="shared" si="5"/>
        <v>1</v>
      </c>
    </row>
    <row r="36" spans="1:29" ht="15">
      <c r="A36" s="2861"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78"/>
      <c r="Q36" s="1557" t="str">
        <f>B36</f>
        <v>宗地面积</v>
      </c>
      <c r="R36" s="1558" t="s">
        <v>8</v>
      </c>
      <c r="S36" s="1559" t="e">
        <f t="shared" si="10"/>
        <v>#N/A</v>
      </c>
      <c r="T36" s="1558" t="s">
        <v>8</v>
      </c>
      <c r="U36" s="1559" t="e">
        <f t="shared" si="11"/>
        <v>#N/A</v>
      </c>
      <c r="V36" s="1558" t="s">
        <v>8</v>
      </c>
      <c r="W36" s="1559" t="e">
        <f t="shared" si="12"/>
        <v>#N/A</v>
      </c>
      <c r="X36" s="1552"/>
      <c r="Y36" s="3478"/>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78"/>
      <c r="Q37" s="1557" t="str">
        <f t="shared" ref="Q37:Q42" si="14">B37</f>
        <v>宗地形状</v>
      </c>
      <c r="R37" s="1558" t="s">
        <v>8</v>
      </c>
      <c r="S37" s="1559">
        <f t="shared" si="10"/>
        <v>100</v>
      </c>
      <c r="T37" s="1558" t="s">
        <v>8</v>
      </c>
      <c r="U37" s="1559">
        <f t="shared" si="11"/>
        <v>100</v>
      </c>
      <c r="V37" s="1558" t="s">
        <v>8</v>
      </c>
      <c r="W37" s="1559">
        <f t="shared" si="12"/>
        <v>100</v>
      </c>
      <c r="X37" s="1552"/>
      <c r="Y37" s="3478"/>
      <c r="Z37" s="1560" t="str">
        <f t="shared" si="13"/>
        <v>宗地形状</v>
      </c>
      <c r="AA37" s="1561">
        <f t="shared" si="3"/>
        <v>1</v>
      </c>
      <c r="AB37" s="1561">
        <f t="shared" si="4"/>
        <v>1</v>
      </c>
      <c r="AC37" s="1561">
        <f t="shared" si="5"/>
        <v>1</v>
      </c>
    </row>
    <row r="38" spans="1:29" s="1214" customFormat="1" ht="15">
      <c r="A38" s="600"/>
      <c r="B38" s="1879"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78"/>
      <c r="Q38" s="1557" t="str">
        <f t="shared" si="14"/>
        <v>宗地开发程度</v>
      </c>
      <c r="R38" s="1553" t="s">
        <v>8</v>
      </c>
      <c r="S38" s="1554">
        <f t="shared" si="10"/>
        <v>100</v>
      </c>
      <c r="T38" s="1553" t="s">
        <v>8</v>
      </c>
      <c r="U38" s="1554">
        <f t="shared" si="11"/>
        <v>100</v>
      </c>
      <c r="V38" s="1553" t="s">
        <v>8</v>
      </c>
      <c r="W38" s="1554">
        <f t="shared" si="12"/>
        <v>100</v>
      </c>
      <c r="X38" s="1555"/>
      <c r="Y38" s="3478"/>
      <c r="Z38" s="1144"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78" t="s">
        <v>601</v>
      </c>
      <c r="Q39" s="1557" t="str">
        <f t="shared" si="14"/>
        <v>工程地质条件</v>
      </c>
      <c r="R39" s="1558" t="s">
        <v>8</v>
      </c>
      <c r="S39" s="1559">
        <f t="shared" si="10"/>
        <v>100</v>
      </c>
      <c r="T39" s="1558" t="s">
        <v>8</v>
      </c>
      <c r="U39" s="1559">
        <f t="shared" si="11"/>
        <v>100</v>
      </c>
      <c r="V39" s="1558" t="s">
        <v>8</v>
      </c>
      <c r="W39" s="1559">
        <f t="shared" si="12"/>
        <v>100</v>
      </c>
      <c r="X39" s="1552"/>
      <c r="Y39" s="3478"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78"/>
      <c r="Q40" s="1557">
        <f t="shared" si="14"/>
        <v>111</v>
      </c>
      <c r="R40" s="1558" t="s">
        <v>8</v>
      </c>
      <c r="S40" s="1559">
        <f t="shared" si="10"/>
        <v>100</v>
      </c>
      <c r="T40" s="1558" t="s">
        <v>8</v>
      </c>
      <c r="U40" s="1559">
        <f t="shared" si="11"/>
        <v>100</v>
      </c>
      <c r="V40" s="1558" t="s">
        <v>8</v>
      </c>
      <c r="W40" s="1559">
        <f t="shared" si="12"/>
        <v>100</v>
      </c>
      <c r="X40" s="1552"/>
      <c r="Y40" s="3478"/>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78"/>
      <c r="Q41" s="1557">
        <f t="shared" si="14"/>
        <v>111</v>
      </c>
      <c r="R41" s="1558" t="s">
        <v>8</v>
      </c>
      <c r="S41" s="1559">
        <f t="shared" si="10"/>
        <v>100</v>
      </c>
      <c r="T41" s="1558" t="s">
        <v>8</v>
      </c>
      <c r="U41" s="1559">
        <f t="shared" si="11"/>
        <v>100</v>
      </c>
      <c r="V41" s="1558" t="s">
        <v>8</v>
      </c>
      <c r="W41" s="1559">
        <f t="shared" si="12"/>
        <v>100</v>
      </c>
      <c r="X41" s="1552"/>
      <c r="Y41" s="3478"/>
      <c r="Z41" s="1560">
        <f t="shared" si="13"/>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78"/>
      <c r="Q42" s="1557">
        <f t="shared" si="14"/>
        <v>111</v>
      </c>
      <c r="R42" s="1562" t="s">
        <v>8</v>
      </c>
      <c r="S42" s="1563">
        <f t="shared" si="10"/>
        <v>100</v>
      </c>
      <c r="T42" s="1562" t="s">
        <v>8</v>
      </c>
      <c r="U42" s="1563">
        <f t="shared" si="11"/>
        <v>100</v>
      </c>
      <c r="V42" s="1562" t="s">
        <v>8</v>
      </c>
      <c r="W42" s="1563">
        <f t="shared" si="12"/>
        <v>100</v>
      </c>
      <c r="X42" s="1564"/>
      <c r="Y42" s="3478"/>
      <c r="Z42" s="1565">
        <f t="shared" si="13"/>
        <v>111</v>
      </c>
      <c r="AA42" s="1561">
        <f t="shared" si="3"/>
        <v>1</v>
      </c>
      <c r="AB42" s="1561">
        <f t="shared" si="4"/>
        <v>1</v>
      </c>
      <c r="AC42" s="1561">
        <f t="shared" si="5"/>
        <v>1</v>
      </c>
    </row>
    <row r="43" spans="1:29" ht="15">
      <c r="A43" s="607" t="s">
        <v>556</v>
      </c>
      <c r="B43" s="608" t="s">
        <v>2928</v>
      </c>
      <c r="C43" s="609" t="s">
        <v>1</v>
      </c>
      <c r="D43" s="610"/>
      <c r="E43" s="611"/>
      <c r="F43" s="612"/>
      <c r="G43" s="613"/>
      <c r="H43" s="614"/>
      <c r="I43" s="611"/>
      <c r="J43" s="614"/>
      <c r="K43" s="1334"/>
      <c r="L43" s="2128"/>
      <c r="M43" s="2118"/>
      <c r="N43" s="2118"/>
      <c r="O43" s="2129"/>
      <c r="P43" s="3441" t="str">
        <f>A43</f>
        <v>成交单价</v>
      </c>
      <c r="Q43" s="3441"/>
      <c r="R43" s="3442">
        <f>E43</f>
        <v>0</v>
      </c>
      <c r="S43" s="3442"/>
      <c r="T43" s="3442">
        <f>G43</f>
        <v>0</v>
      </c>
      <c r="U43" s="3442"/>
      <c r="V43" s="3442">
        <f>I43</f>
        <v>0</v>
      </c>
      <c r="W43" s="3442"/>
      <c r="X43" s="1544"/>
      <c r="Y43" s="1566"/>
      <c r="Z43" s="1544"/>
      <c r="AA43" s="1544"/>
      <c r="AB43" s="1544"/>
      <c r="AC43" s="1544"/>
    </row>
    <row r="44" spans="1:29" ht="15.75" thickBot="1">
      <c r="A44" s="615" t="s">
        <v>2687</v>
      </c>
      <c r="B44" s="616"/>
      <c r="C44" s="617" t="e">
        <f>R45</f>
        <v>#DIV/0!</v>
      </c>
      <c r="D44" s="618"/>
      <c r="E44" s="617" t="e">
        <f>R44</f>
        <v>#DIV/0!</v>
      </c>
      <c r="F44" s="619"/>
      <c r="G44" s="620" t="e">
        <f>T44</f>
        <v>#DIV/0!</v>
      </c>
      <c r="H44" s="618"/>
      <c r="I44" s="617" t="e">
        <f>V44</f>
        <v>#DIV/0!</v>
      </c>
      <c r="J44" s="618"/>
      <c r="K44" s="1335"/>
      <c r="L44" s="2128"/>
      <c r="M44" s="2118"/>
      <c r="N44" s="2118"/>
      <c r="O44" s="2129"/>
      <c r="P44" s="3441" t="str">
        <f>A44</f>
        <v>比较价格（元/平方米）</v>
      </c>
      <c r="Q44" s="3441"/>
      <c r="R44" s="3443" t="e">
        <f>ROUND(PRODUCT(R43,AA9:AA42),0)</f>
        <v>#DIV/0!</v>
      </c>
      <c r="S44" s="3443"/>
      <c r="T44" s="3443" t="e">
        <f>ROUND(PRODUCT(T43,AB9:AB42),0)</f>
        <v>#DIV/0!</v>
      </c>
      <c r="U44" s="3443"/>
      <c r="V44" s="3443" t="e">
        <f>ROUND(PRODUCT(V43,AC9:AC42),0)</f>
        <v>#DIV/0!</v>
      </c>
      <c r="W44" s="3443"/>
      <c r="X44" s="1544"/>
      <c r="Y44" s="1544"/>
      <c r="Z44" s="1544"/>
      <c r="AA44" s="1544"/>
      <c r="AB44" s="1544"/>
      <c r="AC44" s="1544"/>
    </row>
    <row r="45" spans="1:29" ht="15.75" thickBot="1">
      <c r="A45" s="621" t="s">
        <v>2929</v>
      </c>
      <c r="B45" s="622"/>
      <c r="C45" s="623" t="e">
        <f>R45</f>
        <v>#DIV/0!</v>
      </c>
      <c r="D45" s="623"/>
      <c r="E45" s="623"/>
      <c r="F45" s="623"/>
      <c r="G45" s="623"/>
      <c r="H45" s="623"/>
      <c r="I45" s="623"/>
      <c r="J45" s="623"/>
      <c r="K45" s="1336"/>
      <c r="L45" s="2128"/>
      <c r="M45" s="2118"/>
      <c r="N45" s="2118"/>
      <c r="O45" s="2129"/>
      <c r="P45" s="3438" t="str">
        <f>A45</f>
        <v>估价对象XX用房的比较价格（楼面单价，元/平方米）</v>
      </c>
      <c r="Q45" s="3439"/>
      <c r="R45" s="3440" t="e">
        <f>ROUND(AVERAGE(R44:V44),0)</f>
        <v>#DIV/0!</v>
      </c>
      <c r="S45" s="3440"/>
      <c r="T45" s="3440"/>
      <c r="U45" s="3440"/>
      <c r="V45" s="3440"/>
      <c r="W45" s="3440"/>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1722</v>
      </c>
      <c r="D52" s="2211" t="s">
        <v>2288</v>
      </c>
      <c r="E52" s="631" t="s">
        <v>562</v>
      </c>
      <c r="F52" s="1935" t="s">
        <v>563</v>
      </c>
      <c r="G52" s="3485" t="s">
        <v>2279</v>
      </c>
      <c r="H52" s="3486"/>
      <c r="I52" s="1936" t="s">
        <v>1941</v>
      </c>
      <c r="J52" s="1540">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3" t="s">
        <v>564</v>
      </c>
      <c r="B53" s="634" t="e">
        <f>C45</f>
        <v>#DIV/0!</v>
      </c>
      <c r="C53" s="635">
        <v>1</v>
      </c>
      <c r="D53" s="2212">
        <v>1</v>
      </c>
      <c r="E53" s="635">
        <f>'数据-汇总表'!E8+'数据-汇总表'!E9</f>
        <v>96343.56</v>
      </c>
      <c r="F53" s="1934" t="e">
        <f t="shared" ref="F53:F62" si="15">ROUND(B53*E53/10000,0)</f>
        <v>#DIV/0!</v>
      </c>
      <c r="G53" s="3487"/>
      <c r="H53" s="3488"/>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7" t="s">
        <v>565</v>
      </c>
      <c r="B54" s="638" t="e">
        <f>ROUND($C$45*C54*D54,0)</f>
        <v>#DIV/0!</v>
      </c>
      <c r="C54" s="378">
        <f t="shared" ref="C54:C62" si="16">IF($C$52="北京市系数",I54,J54)</f>
        <v>0</v>
      </c>
      <c r="D54" s="2213">
        <v>0.25</v>
      </c>
      <c r="E54" s="639"/>
      <c r="F54" s="1934" t="e">
        <f t="shared" si="15"/>
        <v>#DIV/0!</v>
      </c>
      <c r="G54" s="3489" t="s">
        <v>2280</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7" t="s">
        <v>566</v>
      </c>
      <c r="B55" s="638" t="e">
        <f t="shared" ref="B55:B62" si="17">ROUND($C$45*C55*D55,0)</f>
        <v>#DIV/0!</v>
      </c>
      <c r="C55" s="378">
        <f t="shared" si="16"/>
        <v>0</v>
      </c>
      <c r="D55" s="2213">
        <v>0.25</v>
      </c>
      <c r="E55" s="639"/>
      <c r="F55" s="1934" t="e">
        <f t="shared" si="15"/>
        <v>#DIV/0!</v>
      </c>
      <c r="G55" s="3489"/>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7" t="s">
        <v>567</v>
      </c>
      <c r="B56" s="638" t="e">
        <f t="shared" si="17"/>
        <v>#DIV/0!</v>
      </c>
      <c r="C56" s="378">
        <f t="shared" si="16"/>
        <v>0</v>
      </c>
      <c r="D56" s="2213">
        <v>0.25</v>
      </c>
      <c r="E56" s="639"/>
      <c r="F56" s="1934" t="e">
        <f t="shared" si="15"/>
        <v>#DIV/0!</v>
      </c>
      <c r="G56" s="3489"/>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7" t="s">
        <v>568</v>
      </c>
      <c r="B57" s="638" t="e">
        <f t="shared" si="17"/>
        <v>#DIV/0!</v>
      </c>
      <c r="C57" s="378">
        <f t="shared" si="16"/>
        <v>0</v>
      </c>
      <c r="D57" s="2213">
        <v>0.25</v>
      </c>
      <c r="E57" s="639"/>
      <c r="F57" s="1934" t="e">
        <f t="shared" si="15"/>
        <v>#DIV/0!</v>
      </c>
      <c r="G57" s="3489"/>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2323</v>
      </c>
      <c r="B58" s="638" t="e">
        <f t="shared" si="17"/>
        <v>#DIV/0!</v>
      </c>
      <c r="C58" s="378">
        <f t="shared" si="16"/>
        <v>0</v>
      </c>
      <c r="D58" s="2213">
        <v>0.25</v>
      </c>
      <c r="E58" s="641">
        <f>'数据-汇总表'!E11</f>
        <v>0</v>
      </c>
      <c r="F58" s="1934" t="e">
        <f t="shared" si="15"/>
        <v>#DIV/0!</v>
      </c>
      <c r="G58" s="1940" t="s">
        <v>2281</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569</v>
      </c>
      <c r="B59" s="638" t="e">
        <f t="shared" si="17"/>
        <v>#DIV/0!</v>
      </c>
      <c r="C59" s="378">
        <f t="shared" si="16"/>
        <v>0</v>
      </c>
      <c r="D59" s="2213">
        <v>0.25</v>
      </c>
      <c r="E59" s="641">
        <f>'数据-汇总表'!E12</f>
        <v>0</v>
      </c>
      <c r="F59" s="1934" t="e">
        <f t="shared" si="15"/>
        <v>#DIV/0!</v>
      </c>
      <c r="G59" s="1930" t="s">
        <v>1675</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570</v>
      </c>
      <c r="B60" s="638" t="e">
        <f t="shared" si="17"/>
        <v>#DIV/0!</v>
      </c>
      <c r="C60" s="378">
        <f t="shared" si="16"/>
        <v>0</v>
      </c>
      <c r="D60" s="2213">
        <v>0.25</v>
      </c>
      <c r="E60" s="641">
        <f>'数据-汇总表'!E13</f>
        <v>0</v>
      </c>
      <c r="F60" s="1934" t="e">
        <f t="shared" si="15"/>
        <v>#DIV/0!</v>
      </c>
      <c r="G60" s="1930" t="s">
        <v>921</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571</v>
      </c>
      <c r="B61" s="638" t="e">
        <f t="shared" si="17"/>
        <v>#DIV/0!</v>
      </c>
      <c r="C61" s="378">
        <f t="shared" si="16"/>
        <v>0</v>
      </c>
      <c r="D61" s="2213">
        <v>0.25</v>
      </c>
      <c r="E61" s="641">
        <f>'数据-汇总表'!E14</f>
        <v>0</v>
      </c>
      <c r="F61" s="1934" t="e">
        <f t="shared" si="15"/>
        <v>#DIV/0!</v>
      </c>
      <c r="G61" s="1940" t="s">
        <v>2280</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7" t="s">
        <v>572</v>
      </c>
      <c r="B62" s="638" t="e">
        <f t="shared" si="17"/>
        <v>#DIV/0!</v>
      </c>
      <c r="C62" s="378">
        <f t="shared" si="16"/>
        <v>0</v>
      </c>
      <c r="D62" s="2213">
        <v>0.25</v>
      </c>
      <c r="E62" s="641">
        <f>'数据-汇总表'!E15</f>
        <v>0</v>
      </c>
      <c r="F62" s="1934" t="e">
        <f t="shared" si="15"/>
        <v>#DIV/0!</v>
      </c>
      <c r="G62" s="1941" t="s">
        <v>2281</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2" t="s">
        <v>573</v>
      </c>
      <c r="B63" s="643" t="s">
        <v>17</v>
      </c>
      <c r="C63" s="643" t="s">
        <v>18</v>
      </c>
      <c r="D63" s="643" t="s">
        <v>2289</v>
      </c>
      <c r="E63" s="643">
        <f>IF(B43="楼面地价",SUM(E53:E62),'数据-汇总表'!D3)</f>
        <v>96343.56</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2020-6-1</v>
      </c>
      <c r="D65" s="2753">
        <f>EDATE(C65,-3)</f>
        <v>43891</v>
      </c>
      <c r="E65" s="2753">
        <f t="shared" ref="E65:N65" si="18">EDATE(D65,-3)</f>
        <v>43800</v>
      </c>
      <c r="F65" s="2753">
        <f t="shared" si="18"/>
        <v>43709</v>
      </c>
      <c r="G65" s="2753">
        <f t="shared" si="18"/>
        <v>43617</v>
      </c>
      <c r="H65" s="2753">
        <f t="shared" si="18"/>
        <v>43525</v>
      </c>
      <c r="I65" s="2753">
        <f t="shared" si="18"/>
        <v>43435</v>
      </c>
      <c r="J65" s="2753">
        <f t="shared" si="18"/>
        <v>43344</v>
      </c>
      <c r="K65" s="2753">
        <f t="shared" si="18"/>
        <v>43252</v>
      </c>
      <c r="L65" s="2753">
        <f t="shared" si="18"/>
        <v>43160</v>
      </c>
      <c r="M65" s="2753">
        <f t="shared" si="18"/>
        <v>43070</v>
      </c>
      <c r="N65" s="2753">
        <f t="shared" si="18"/>
        <v>42979</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2528</v>
      </c>
      <c r="B67" s="646"/>
      <c r="C67" s="2749" t="str">
        <f>YEAR(C65)&amp;"-"&amp;ROUNDUP(MONTH(C65)/3,0)</f>
        <v>2020-2</v>
      </c>
      <c r="D67" s="2755" t="str">
        <f t="shared" ref="D67:N67" si="19">YEAR(D65)&amp;"-"&amp;ROUNDUP(MONTH(D65)/3,0)</f>
        <v>2020-1</v>
      </c>
      <c r="E67" s="2755" t="str">
        <f t="shared" si="19"/>
        <v>2019-4</v>
      </c>
      <c r="F67" s="2755" t="str">
        <f t="shared" si="19"/>
        <v>2019-3</v>
      </c>
      <c r="G67" s="2755" t="str">
        <f t="shared" si="19"/>
        <v>2019-2</v>
      </c>
      <c r="H67" s="2755" t="str">
        <f t="shared" si="19"/>
        <v>2019-1</v>
      </c>
      <c r="I67" s="2755" t="str">
        <f t="shared" si="19"/>
        <v>2018-4</v>
      </c>
      <c r="J67" s="2755" t="str">
        <f t="shared" si="19"/>
        <v>2018-3</v>
      </c>
      <c r="K67" s="2755" t="str">
        <f t="shared" si="19"/>
        <v>2018-2</v>
      </c>
      <c r="L67" s="2755" t="str">
        <f t="shared" si="19"/>
        <v>2018-1</v>
      </c>
      <c r="M67" s="2755" t="str">
        <f t="shared" si="19"/>
        <v>2017-4</v>
      </c>
      <c r="N67" s="2755" t="str">
        <f t="shared" si="19"/>
        <v>2017-3</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2643</v>
      </c>
      <c r="B68" s="479" t="str">
        <f>"北京市平均增长率"&amp;TEXT(基准地价!P24,"0.00%")</f>
        <v>北京市平均增长率1.31%</v>
      </c>
      <c r="C68" s="893">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7"/>
      <c r="B93" s="1880" t="s">
        <v>2543</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7"/>
      <c r="B95" s="2560" t="s">
        <v>2545</v>
      </c>
      <c r="C95" s="2561" t="s">
        <v>2546</v>
      </c>
      <c r="D95" s="2561" t="s">
        <v>2547</v>
      </c>
      <c r="E95" s="2561" t="s">
        <v>2548</v>
      </c>
      <c r="F95" s="2561" t="s">
        <v>2549</v>
      </c>
      <c r="G95" s="2561" t="s">
        <v>2550</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7" t="str">
        <f t="shared" si="25"/>
        <v>(含)-</v>
      </c>
      <c r="L109" s="3038" t="str">
        <f t="shared" si="25"/>
        <v>(含)-</v>
      </c>
      <c r="M109" s="3039"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2420</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1429</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1005</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1027</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1029</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1430</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1431</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1432</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1433</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1434</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1435</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1436</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1437</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1438</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1439</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59" t="s">
        <v>2981</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0" t="s">
        <v>1440</v>
      </c>
      <c r="B16" s="1120"/>
      <c r="C16" s="1121"/>
      <c r="D16" s="1121"/>
      <c r="E16" s="1120"/>
      <c r="F16" s="1121"/>
      <c r="G16" s="1121"/>
    </row>
    <row r="17" spans="1:9" ht="19.5" customHeight="1">
      <c r="A17" s="1062" t="s">
        <v>1441</v>
      </c>
      <c r="B17" s="1122" t="s">
        <v>1442</v>
      </c>
      <c r="C17" s="1122" t="s">
        <v>1641</v>
      </c>
      <c r="D17" s="1123"/>
      <c r="E17" s="1062" t="s">
        <v>1443</v>
      </c>
      <c r="F17" s="1124"/>
      <c r="G17" s="1124"/>
    </row>
    <row r="18" spans="1:9" s="1583" customFormat="1" ht="19.5" customHeight="1">
      <c r="A18" s="3434" t="s">
        <v>1005</v>
      </c>
      <c r="B18" s="1148" t="s">
        <v>1444</v>
      </c>
      <c r="C18" s="1125" t="s">
        <v>1445</v>
      </c>
      <c r="D18" s="1126"/>
      <c r="E18" s="1148">
        <v>1</v>
      </c>
      <c r="F18" s="1127" t="s">
        <v>1446</v>
      </c>
      <c r="G18" s="1128"/>
      <c r="H18" s="1099"/>
      <c r="I18" s="1099"/>
    </row>
    <row r="19" spans="1:9" s="1583" customFormat="1" ht="19.5" customHeight="1">
      <c r="A19" s="3434"/>
      <c r="B19" s="3434" t="s">
        <v>1447</v>
      </c>
      <c r="C19" s="1125" t="s">
        <v>1448</v>
      </c>
      <c r="D19" s="1126"/>
      <c r="E19" s="1148">
        <v>0.9</v>
      </c>
      <c r="F19" s="1127" t="s">
        <v>1449</v>
      </c>
      <c r="G19" s="1128"/>
      <c r="H19" s="1099"/>
      <c r="I19" s="1099"/>
    </row>
    <row r="20" spans="1:9" s="1583" customFormat="1" ht="19.5" customHeight="1">
      <c r="A20" s="3434"/>
      <c r="B20" s="3434"/>
      <c r="C20" s="1125" t="s">
        <v>1450</v>
      </c>
      <c r="D20" s="1126"/>
      <c r="E20" s="1148">
        <v>1.1000000000000001</v>
      </c>
      <c r="F20" s="1127" t="s">
        <v>1451</v>
      </c>
      <c r="G20" s="1128"/>
      <c r="H20" s="1099"/>
      <c r="I20" s="1099"/>
    </row>
    <row r="21" spans="1:9" s="1583" customFormat="1" ht="19.5" customHeight="1">
      <c r="A21" s="3434"/>
      <c r="B21" s="3434"/>
      <c r="C21" s="1125" t="s">
        <v>1452</v>
      </c>
      <c r="D21" s="1126"/>
      <c r="E21" s="1148">
        <v>0.8</v>
      </c>
      <c r="F21" s="1127" t="s">
        <v>1453</v>
      </c>
      <c r="G21" s="1128"/>
      <c r="H21" s="1099"/>
      <c r="I21" s="1099"/>
    </row>
    <row r="22" spans="1:9" s="1583" customFormat="1" ht="19.5" customHeight="1">
      <c r="A22" s="3434"/>
      <c r="B22" s="3434"/>
      <c r="C22" s="1125" t="s">
        <v>1454</v>
      </c>
      <c r="D22" s="1126"/>
      <c r="E22" s="1148">
        <v>0.5</v>
      </c>
      <c r="F22" s="1127"/>
      <c r="G22" s="1128"/>
      <c r="H22" s="1099"/>
      <c r="I22" s="1099"/>
    </row>
    <row r="23" spans="1:9" s="1583" customFormat="1" ht="19.5" customHeight="1">
      <c r="A23" s="3434" t="s">
        <v>1027</v>
      </c>
      <c r="B23" s="1148" t="s">
        <v>1444</v>
      </c>
      <c r="C23" s="1125" t="s">
        <v>1455</v>
      </c>
      <c r="D23" s="1126"/>
      <c r="E23" s="1148">
        <v>1</v>
      </c>
      <c r="F23" s="1127" t="s">
        <v>1456</v>
      </c>
      <c r="G23" s="1128"/>
      <c r="H23" s="1099"/>
      <c r="I23" s="1099"/>
    </row>
    <row r="24" spans="1:9" s="1583" customFormat="1" ht="19.5" customHeight="1">
      <c r="A24" s="3434"/>
      <c r="B24" s="3434" t="s">
        <v>1447</v>
      </c>
      <c r="C24" s="1125" t="s">
        <v>1457</v>
      </c>
      <c r="D24" s="1126"/>
      <c r="E24" s="1148">
        <v>0.5</v>
      </c>
      <c r="F24" s="1127"/>
      <c r="G24" s="1128"/>
      <c r="H24" s="1099"/>
      <c r="I24" s="1099"/>
    </row>
    <row r="25" spans="1:9" s="1583" customFormat="1" ht="19.5" customHeight="1">
      <c r="A25" s="3434"/>
      <c r="B25" s="3434"/>
      <c r="C25" s="1125" t="s">
        <v>1458</v>
      </c>
      <c r="D25" s="1126"/>
      <c r="E25" s="1148">
        <v>1.1000000000000001</v>
      </c>
      <c r="F25" s="1127"/>
      <c r="G25" s="1128"/>
      <c r="H25" s="1099"/>
      <c r="I25" s="1099"/>
    </row>
    <row r="26" spans="1:9" s="1583" customFormat="1" ht="19.5" customHeight="1">
      <c r="A26" s="3434"/>
      <c r="B26" s="3434"/>
      <c r="C26" s="1125" t="s">
        <v>1459</v>
      </c>
      <c r="D26" s="1126"/>
      <c r="E26" s="1148">
        <v>1.1000000000000001</v>
      </c>
      <c r="F26" s="1127"/>
      <c r="G26" s="1128"/>
      <c r="H26" s="1099"/>
      <c r="I26" s="1099"/>
    </row>
    <row r="27" spans="1:9" s="1583" customFormat="1" ht="19.5" customHeight="1">
      <c r="A27" s="3434"/>
      <c r="B27" s="3434"/>
      <c r="C27" s="1125" t="s">
        <v>1460</v>
      </c>
      <c r="D27" s="1126"/>
      <c r="E27" s="1148">
        <v>0.9</v>
      </c>
      <c r="F27" s="1127" t="s">
        <v>1461</v>
      </c>
      <c r="G27" s="1128"/>
      <c r="H27" s="1099"/>
      <c r="I27" s="1099"/>
    </row>
    <row r="28" spans="1:9" s="1583" customFormat="1" ht="19.5" customHeight="1">
      <c r="A28" s="3434"/>
      <c r="B28" s="3434"/>
      <c r="C28" s="1125" t="s">
        <v>1462</v>
      </c>
      <c r="D28" s="1126"/>
      <c r="E28" s="1148">
        <v>0.9</v>
      </c>
      <c r="F28" s="1127" t="s">
        <v>1463</v>
      </c>
      <c r="G28" s="1128"/>
      <c r="H28" s="1099"/>
      <c r="I28" s="1099"/>
    </row>
    <row r="29" spans="1:9" s="1583" customFormat="1" ht="19.5" customHeight="1">
      <c r="A29" s="3434"/>
      <c r="B29" s="3434"/>
      <c r="C29" s="1125" t="s">
        <v>1464</v>
      </c>
      <c r="D29" s="1126"/>
      <c r="E29" s="1148">
        <v>0.9</v>
      </c>
      <c r="F29" s="1127" t="s">
        <v>1465</v>
      </c>
      <c r="G29" s="1128"/>
      <c r="H29" s="1099"/>
      <c r="I29" s="1099"/>
    </row>
    <row r="30" spans="1:9" s="1583" customFormat="1" ht="19.5" customHeight="1">
      <c r="A30" s="3434"/>
      <c r="B30" s="3434"/>
      <c r="C30" s="1125" t="s">
        <v>1466</v>
      </c>
      <c r="D30" s="1126"/>
      <c r="E30" s="1148">
        <v>0.9</v>
      </c>
      <c r="F30" s="1127" t="s">
        <v>1467</v>
      </c>
      <c r="G30" s="1128"/>
      <c r="H30" s="1099"/>
      <c r="I30" s="1099"/>
    </row>
    <row r="31" spans="1:9" s="1583" customFormat="1" ht="19.5" customHeight="1">
      <c r="A31" s="3434"/>
      <c r="B31" s="3434"/>
      <c r="C31" s="1125" t="s">
        <v>1468</v>
      </c>
      <c r="D31" s="1126"/>
      <c r="E31" s="1148">
        <v>0.8</v>
      </c>
      <c r="F31" s="1127" t="s">
        <v>1469</v>
      </c>
      <c r="G31" s="1128"/>
      <c r="H31" s="1099"/>
      <c r="I31" s="1099"/>
    </row>
    <row r="32" spans="1:9" s="1583" customFormat="1" ht="19.5" customHeight="1">
      <c r="A32" s="3434"/>
      <c r="B32" s="3434"/>
      <c r="C32" s="1125" t="s">
        <v>1470</v>
      </c>
      <c r="D32" s="1126"/>
      <c r="E32" s="1148">
        <v>0.8</v>
      </c>
      <c r="F32" s="1127" t="s">
        <v>1471</v>
      </c>
      <c r="G32" s="1128"/>
      <c r="H32" s="1099"/>
      <c r="I32" s="1099"/>
    </row>
    <row r="33" spans="1:9" s="1583" customFormat="1" ht="19.5" customHeight="1">
      <c r="A33" s="3434" t="s">
        <v>1472</v>
      </c>
      <c r="B33" s="1148" t="s">
        <v>1444</v>
      </c>
      <c r="C33" s="1125" t="s">
        <v>1473</v>
      </c>
      <c r="D33" s="1126"/>
      <c r="E33" s="1148">
        <v>1</v>
      </c>
      <c r="F33" s="1127" t="s">
        <v>1474</v>
      </c>
      <c r="G33" s="1128"/>
      <c r="H33" s="1099"/>
      <c r="I33" s="1099"/>
    </row>
    <row r="34" spans="1:9" s="1583" customFormat="1" ht="19.5" customHeight="1">
      <c r="A34" s="3434"/>
      <c r="B34" s="1148" t="s">
        <v>1447</v>
      </c>
      <c r="C34" s="1125" t="s">
        <v>1475</v>
      </c>
      <c r="D34" s="1126"/>
      <c r="E34" s="1148">
        <v>1.5</v>
      </c>
      <c r="F34" s="1127" t="s">
        <v>1476</v>
      </c>
      <c r="G34" s="1128"/>
      <c r="H34" s="1099"/>
      <c r="I34" s="1099"/>
    </row>
    <row r="35" spans="1:9" s="1583" customFormat="1" ht="19.5" customHeight="1">
      <c r="A35" s="3434" t="s">
        <v>1430</v>
      </c>
      <c r="B35" s="1148" t="s">
        <v>1444</v>
      </c>
      <c r="C35" s="1125" t="s">
        <v>1477</v>
      </c>
      <c r="D35" s="1126"/>
      <c r="E35" s="1148">
        <v>1</v>
      </c>
      <c r="F35" s="1127" t="s">
        <v>1478</v>
      </c>
      <c r="G35" s="1128"/>
      <c r="H35" s="1099"/>
      <c r="I35" s="1099"/>
    </row>
    <row r="36" spans="1:9" s="1583" customFormat="1" ht="19.5" customHeight="1">
      <c r="A36" s="3434"/>
      <c r="B36" s="3434" t="s">
        <v>1447</v>
      </c>
      <c r="C36" s="1125" t="s">
        <v>1479</v>
      </c>
      <c r="D36" s="1126"/>
      <c r="E36" s="1148">
        <v>1</v>
      </c>
      <c r="F36" s="1127" t="s">
        <v>1480</v>
      </c>
      <c r="G36" s="1128"/>
      <c r="H36" s="1099"/>
      <c r="I36" s="1099"/>
    </row>
    <row r="37" spans="1:9" s="1583" customFormat="1" ht="19.5" customHeight="1">
      <c r="A37" s="3434"/>
      <c r="B37" s="3434"/>
      <c r="C37" s="1125" t="s">
        <v>1481</v>
      </c>
      <c r="D37" s="1126"/>
      <c r="E37" s="1148">
        <v>1.5</v>
      </c>
      <c r="F37" s="1127" t="s">
        <v>1482</v>
      </c>
      <c r="G37" s="1128"/>
      <c r="H37" s="1099"/>
      <c r="I37" s="1099"/>
    </row>
    <row r="38" spans="1:9" s="1583" customFormat="1" ht="19.5" customHeight="1">
      <c r="A38" s="3434"/>
      <c r="B38" s="3434"/>
      <c r="C38" s="1125" t="s">
        <v>1483</v>
      </c>
      <c r="D38" s="1126"/>
      <c r="E38" s="1148">
        <v>1</v>
      </c>
      <c r="F38" s="1127" t="s">
        <v>1484</v>
      </c>
      <c r="G38" s="1128"/>
      <c r="H38" s="1099"/>
      <c r="I38" s="1099"/>
    </row>
    <row r="39" spans="1:9" s="1583" customFormat="1" ht="19.5" customHeight="1">
      <c r="A39" s="3434"/>
      <c r="B39" s="3434"/>
      <c r="C39" s="1125" t="s">
        <v>1485</v>
      </c>
      <c r="D39" s="1126"/>
      <c r="E39" s="1148">
        <v>1</v>
      </c>
      <c r="F39" s="1127" t="s">
        <v>1486</v>
      </c>
      <c r="G39" s="1128"/>
      <c r="H39" s="1099"/>
      <c r="I39" s="1099"/>
    </row>
    <row r="40" spans="1:9" s="1583" customFormat="1" ht="19.5" customHeight="1">
      <c r="A40" s="1584" t="s">
        <v>1487</v>
      </c>
      <c r="B40" s="1584"/>
      <c r="C40" s="1584"/>
      <c r="D40" s="1584"/>
      <c r="E40" s="1584"/>
      <c r="F40" s="1127"/>
      <c r="G40" s="1127"/>
      <c r="H40" s="1099"/>
      <c r="I40" s="1099"/>
    </row>
    <row r="42" spans="1:9" ht="19.5" customHeight="1">
      <c r="A42" s="1129"/>
      <c r="B42" s="1062" t="s">
        <v>1488</v>
      </c>
      <c r="C42" s="1062" t="s">
        <v>1488</v>
      </c>
      <c r="D42" s="1062" t="s">
        <v>1488</v>
      </c>
      <c r="E42" s="1147" t="s">
        <v>1488</v>
      </c>
      <c r="F42" s="1147" t="s">
        <v>1488</v>
      </c>
      <c r="G42" s="1147" t="s">
        <v>1489</v>
      </c>
      <c r="H42" s="1147" t="s">
        <v>1488</v>
      </c>
    </row>
    <row r="43" spans="1:9" ht="19.5" customHeight="1">
      <c r="A43" s="1130"/>
      <c r="B43" s="1147" t="s">
        <v>1005</v>
      </c>
      <c r="C43" s="1147" t="s">
        <v>1005</v>
      </c>
      <c r="D43" s="1147" t="s">
        <v>1005</v>
      </c>
      <c r="E43" s="1147" t="s">
        <v>1005</v>
      </c>
      <c r="F43" s="1062" t="s">
        <v>1027</v>
      </c>
      <c r="G43" s="1062" t="s">
        <v>1430</v>
      </c>
      <c r="H43" s="1062" t="s">
        <v>1490</v>
      </c>
    </row>
    <row r="44" spans="1:9" ht="19.5" customHeight="1">
      <c r="A44" s="1131"/>
      <c r="B44" s="1062">
        <v>1</v>
      </c>
      <c r="C44" s="1062">
        <v>2</v>
      </c>
      <c r="D44" s="1062">
        <v>3</v>
      </c>
      <c r="E44" s="1147">
        <v>4</v>
      </c>
      <c r="F44" s="1123" t="s">
        <v>1491</v>
      </c>
      <c r="G44" s="1123" t="s">
        <v>1491</v>
      </c>
      <c r="H44" s="1123" t="s">
        <v>1491</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1492</v>
      </c>
      <c r="E58" s="1120"/>
      <c r="F58" s="1120"/>
    </row>
    <row r="59" spans="1:8" s="1099" customFormat="1" ht="19.5" customHeight="1">
      <c r="A59" s="1148" t="s">
        <v>1493</v>
      </c>
      <c r="B59" s="1148" t="s">
        <v>1494</v>
      </c>
      <c r="C59" s="1148" t="s">
        <v>1495</v>
      </c>
      <c r="D59" s="1148" t="s">
        <v>1496</v>
      </c>
      <c r="E59" s="1148" t="s">
        <v>1497</v>
      </c>
      <c r="F59" s="1148" t="s">
        <v>1498</v>
      </c>
    </row>
    <row r="60" spans="1:8" s="1099" customFormat="1" ht="19.5" customHeight="1">
      <c r="A60" s="1148"/>
      <c r="B60" s="1148"/>
      <c r="C60" s="1148" t="s">
        <v>1630</v>
      </c>
      <c r="D60" s="1148"/>
      <c r="E60" s="1133" t="s">
        <v>1439</v>
      </c>
      <c r="F60" s="1148" t="s">
        <v>1439</v>
      </c>
    </row>
    <row r="61" spans="1:8" s="1099" customFormat="1" ht="24">
      <c r="A61" s="1148">
        <v>1</v>
      </c>
      <c r="B61" s="3434" t="s">
        <v>1499</v>
      </c>
      <c r="C61" s="1062" t="s">
        <v>1500</v>
      </c>
      <c r="D61" s="1062" t="s">
        <v>1501</v>
      </c>
      <c r="E61" s="1133">
        <v>0.5</v>
      </c>
      <c r="F61" s="1148">
        <v>80</v>
      </c>
      <c r="H61" s="1099">
        <f>SUMIF(C59:C119,基准地价!C8,E59:E119)</f>
        <v>0</v>
      </c>
    </row>
    <row r="62" spans="1:8" s="1099" customFormat="1" ht="24">
      <c r="A62" s="1148">
        <v>2</v>
      </c>
      <c r="B62" s="3434"/>
      <c r="C62" s="1062" t="s">
        <v>1502</v>
      </c>
      <c r="D62" s="1062" t="s">
        <v>1503</v>
      </c>
      <c r="E62" s="1133">
        <v>0.5</v>
      </c>
      <c r="F62" s="1148">
        <v>80</v>
      </c>
    </row>
    <row r="63" spans="1:8" s="1099" customFormat="1" ht="36">
      <c r="A63" s="1148">
        <v>3</v>
      </c>
      <c r="B63" s="3434"/>
      <c r="C63" s="1062" t="s">
        <v>1504</v>
      </c>
      <c r="D63" s="1062" t="s">
        <v>1505</v>
      </c>
      <c r="E63" s="1133">
        <v>0.5</v>
      </c>
      <c r="F63" s="1148">
        <v>80</v>
      </c>
    </row>
    <row r="64" spans="1:8" s="1099" customFormat="1" ht="36">
      <c r="A64" s="1148">
        <v>4</v>
      </c>
      <c r="B64" s="3434"/>
      <c r="C64" s="1062" t="s">
        <v>1506</v>
      </c>
      <c r="D64" s="1062" t="s">
        <v>1507</v>
      </c>
      <c r="E64" s="1133">
        <v>0.4</v>
      </c>
      <c r="F64" s="1148">
        <v>60</v>
      </c>
    </row>
    <row r="65" spans="1:6" s="1099" customFormat="1" ht="36">
      <c r="A65" s="1148">
        <v>5</v>
      </c>
      <c r="B65" s="3434"/>
      <c r="C65" s="1062" t="s">
        <v>1508</v>
      </c>
      <c r="D65" s="1062" t="s">
        <v>1509</v>
      </c>
      <c r="E65" s="1133">
        <v>0.2</v>
      </c>
      <c r="F65" s="1148">
        <v>30</v>
      </c>
    </row>
    <row r="66" spans="1:6" s="1099" customFormat="1" ht="36">
      <c r="A66" s="1148">
        <v>6</v>
      </c>
      <c r="B66" s="3434"/>
      <c r="C66" s="1062" t="s">
        <v>1510</v>
      </c>
      <c r="D66" s="1062" t="s">
        <v>1511</v>
      </c>
      <c r="E66" s="1133">
        <v>0.3</v>
      </c>
      <c r="F66" s="1148">
        <v>50</v>
      </c>
    </row>
    <row r="67" spans="1:6" s="1099" customFormat="1" ht="36">
      <c r="A67" s="1148">
        <v>7</v>
      </c>
      <c r="B67" s="3434"/>
      <c r="C67" s="1062" t="s">
        <v>1512</v>
      </c>
      <c r="D67" s="1062" t="s">
        <v>1513</v>
      </c>
      <c r="E67" s="1133">
        <v>0.2</v>
      </c>
      <c r="F67" s="1148">
        <v>30</v>
      </c>
    </row>
    <row r="68" spans="1:6" s="1099" customFormat="1" ht="36">
      <c r="A68" s="1148">
        <v>8</v>
      </c>
      <c r="B68" s="3434"/>
      <c r="C68" s="1062" t="s">
        <v>1514</v>
      </c>
      <c r="D68" s="1062" t="s">
        <v>1515</v>
      </c>
      <c r="E68" s="1133">
        <v>0.2</v>
      </c>
      <c r="F68" s="1148">
        <v>30</v>
      </c>
    </row>
    <row r="69" spans="1:6" s="1099" customFormat="1" ht="36">
      <c r="A69" s="1148">
        <v>9</v>
      </c>
      <c r="B69" s="3434"/>
      <c r="C69" s="1062" t="s">
        <v>1516</v>
      </c>
      <c r="D69" s="1062" t="s">
        <v>1517</v>
      </c>
      <c r="E69" s="1133">
        <v>0.2</v>
      </c>
      <c r="F69" s="1148">
        <v>30</v>
      </c>
    </row>
    <row r="70" spans="1:6" s="1099" customFormat="1" ht="48">
      <c r="A70" s="1148">
        <v>10</v>
      </c>
      <c r="B70" s="3434"/>
      <c r="C70" s="1062" t="s">
        <v>1518</v>
      </c>
      <c r="D70" s="1062" t="s">
        <v>1519</v>
      </c>
      <c r="E70" s="1133">
        <v>0.2</v>
      </c>
      <c r="F70" s="1148">
        <v>30</v>
      </c>
    </row>
    <row r="71" spans="1:6" s="1099" customFormat="1" ht="48">
      <c r="A71" s="1148">
        <v>11</v>
      </c>
      <c r="B71" s="3434"/>
      <c r="C71" s="1062" t="s">
        <v>1520</v>
      </c>
      <c r="D71" s="1062" t="s">
        <v>1521</v>
      </c>
      <c r="E71" s="1133">
        <v>0.2</v>
      </c>
      <c r="F71" s="1148">
        <v>30</v>
      </c>
    </row>
    <row r="72" spans="1:6" s="1099" customFormat="1" ht="36">
      <c r="A72" s="1148">
        <v>12</v>
      </c>
      <c r="B72" s="3434"/>
      <c r="C72" s="1062" t="s">
        <v>1522</v>
      </c>
      <c r="D72" s="1062" t="s">
        <v>1523</v>
      </c>
      <c r="E72" s="1133">
        <v>0.5</v>
      </c>
      <c r="F72" s="1148">
        <v>80</v>
      </c>
    </row>
    <row r="73" spans="1:6" s="1099" customFormat="1" ht="24">
      <c r="A73" s="1148">
        <v>13</v>
      </c>
      <c r="B73" s="3434"/>
      <c r="C73" s="1062" t="s">
        <v>1524</v>
      </c>
      <c r="D73" s="1062" t="s">
        <v>1525</v>
      </c>
      <c r="E73" s="1133">
        <v>0.4</v>
      </c>
      <c r="F73" s="1148">
        <v>60</v>
      </c>
    </row>
    <row r="74" spans="1:6" s="1099" customFormat="1" ht="24">
      <c r="A74" s="1148">
        <v>14</v>
      </c>
      <c r="B74" s="3434"/>
      <c r="C74" s="1062" t="s">
        <v>1526</v>
      </c>
      <c r="D74" s="1062" t="s">
        <v>1527</v>
      </c>
      <c r="E74" s="1133">
        <v>0.2</v>
      </c>
      <c r="F74" s="1148">
        <v>30</v>
      </c>
    </row>
    <row r="75" spans="1:6" s="1099" customFormat="1" ht="24">
      <c r="A75" s="1148">
        <v>15</v>
      </c>
      <c r="B75" s="3434"/>
      <c r="C75" s="1062" t="s">
        <v>1528</v>
      </c>
      <c r="D75" s="1062" t="s">
        <v>1529</v>
      </c>
      <c r="E75" s="1133">
        <v>0.2</v>
      </c>
      <c r="F75" s="1148">
        <v>30</v>
      </c>
    </row>
    <row r="76" spans="1:6" s="1099" customFormat="1" ht="24">
      <c r="A76" s="1148">
        <v>16</v>
      </c>
      <c r="B76" s="3434" t="s">
        <v>1530</v>
      </c>
      <c r="C76" s="1062" t="s">
        <v>1531</v>
      </c>
      <c r="D76" s="1062" t="s">
        <v>1532</v>
      </c>
      <c r="E76" s="1133">
        <v>0.5</v>
      </c>
      <c r="F76" s="1148">
        <v>80</v>
      </c>
    </row>
    <row r="77" spans="1:6" s="1099" customFormat="1" ht="24">
      <c r="A77" s="1148">
        <v>17</v>
      </c>
      <c r="B77" s="3434"/>
      <c r="C77" s="1062" t="s">
        <v>1533</v>
      </c>
      <c r="D77" s="1062" t="s">
        <v>1534</v>
      </c>
      <c r="E77" s="1133">
        <v>0.5</v>
      </c>
      <c r="F77" s="1148">
        <v>80</v>
      </c>
    </row>
    <row r="78" spans="1:6" s="1099" customFormat="1" ht="24">
      <c r="A78" s="1148">
        <v>18</v>
      </c>
      <c r="B78" s="3434"/>
      <c r="C78" s="1062" t="s">
        <v>1535</v>
      </c>
      <c r="D78" s="1062" t="s">
        <v>1536</v>
      </c>
      <c r="E78" s="1133">
        <v>0.2</v>
      </c>
      <c r="F78" s="1148">
        <v>30</v>
      </c>
    </row>
    <row r="79" spans="1:6" s="1099" customFormat="1" ht="24">
      <c r="A79" s="1148">
        <v>19</v>
      </c>
      <c r="B79" s="3434"/>
      <c r="C79" s="1062" t="s">
        <v>1537</v>
      </c>
      <c r="D79" s="1062" t="s">
        <v>1538</v>
      </c>
      <c r="E79" s="1133">
        <v>0.5</v>
      </c>
      <c r="F79" s="1148">
        <v>80</v>
      </c>
    </row>
    <row r="80" spans="1:6" s="1099" customFormat="1" ht="36">
      <c r="A80" s="1148">
        <v>20</v>
      </c>
      <c r="B80" s="3434"/>
      <c r="C80" s="1062" t="s">
        <v>1539</v>
      </c>
      <c r="D80" s="1062" t="s">
        <v>1540</v>
      </c>
      <c r="E80" s="1133">
        <v>0.2</v>
      </c>
      <c r="F80" s="1148">
        <v>30</v>
      </c>
    </row>
    <row r="81" spans="1:6" s="1099" customFormat="1" ht="36">
      <c r="A81" s="1148">
        <v>21</v>
      </c>
      <c r="B81" s="3434"/>
      <c r="C81" s="1062" t="s">
        <v>1541</v>
      </c>
      <c r="D81" s="1062" t="s">
        <v>1542</v>
      </c>
      <c r="E81" s="1133">
        <v>0.2</v>
      </c>
      <c r="F81" s="1148">
        <v>30</v>
      </c>
    </row>
    <row r="82" spans="1:6" s="1099" customFormat="1" ht="48">
      <c r="A82" s="1148">
        <v>22</v>
      </c>
      <c r="B82" s="3434"/>
      <c r="C82" s="1062" t="s">
        <v>1543</v>
      </c>
      <c r="D82" s="1062" t="s">
        <v>1544</v>
      </c>
      <c r="E82" s="1133">
        <v>0.2</v>
      </c>
      <c r="F82" s="1148">
        <v>30</v>
      </c>
    </row>
    <row r="83" spans="1:6" s="1099" customFormat="1" ht="48">
      <c r="A83" s="1148">
        <v>23</v>
      </c>
      <c r="B83" s="3434"/>
      <c r="C83" s="1062" t="s">
        <v>1545</v>
      </c>
      <c r="D83" s="1062" t="s">
        <v>1546</v>
      </c>
      <c r="E83" s="1133">
        <v>0.2</v>
      </c>
      <c r="F83" s="1148">
        <v>30</v>
      </c>
    </row>
    <row r="84" spans="1:6" s="1099" customFormat="1" ht="36">
      <c r="A84" s="1148">
        <v>24</v>
      </c>
      <c r="B84" s="3434"/>
      <c r="C84" s="1062" t="s">
        <v>1547</v>
      </c>
      <c r="D84" s="1062" t="s">
        <v>1548</v>
      </c>
      <c r="E84" s="1133">
        <v>0.2</v>
      </c>
      <c r="F84" s="1148">
        <v>30</v>
      </c>
    </row>
    <row r="85" spans="1:6" s="1099" customFormat="1" ht="36">
      <c r="A85" s="1148">
        <v>25</v>
      </c>
      <c r="B85" s="3434"/>
      <c r="C85" s="1062" t="s">
        <v>1549</v>
      </c>
      <c r="D85" s="1062" t="s">
        <v>1550</v>
      </c>
      <c r="E85" s="1133">
        <v>0.5</v>
      </c>
      <c r="F85" s="1148">
        <v>80</v>
      </c>
    </row>
    <row r="86" spans="1:6" s="1099" customFormat="1" ht="36">
      <c r="A86" s="1148">
        <v>26</v>
      </c>
      <c r="B86" s="3434"/>
      <c r="C86" s="1062" t="s">
        <v>1551</v>
      </c>
      <c r="D86" s="1062" t="s">
        <v>1552</v>
      </c>
      <c r="E86" s="1133">
        <v>0.2</v>
      </c>
      <c r="F86" s="1148">
        <v>30</v>
      </c>
    </row>
    <row r="87" spans="1:6" s="1099" customFormat="1" ht="36">
      <c r="A87" s="1148">
        <v>27</v>
      </c>
      <c r="B87" s="3434"/>
      <c r="C87" s="1062" t="s">
        <v>1553</v>
      </c>
      <c r="D87" s="1062" t="s">
        <v>1554</v>
      </c>
      <c r="E87" s="1133">
        <v>0.2</v>
      </c>
      <c r="F87" s="1148">
        <v>30</v>
      </c>
    </row>
    <row r="88" spans="1:6" s="1099" customFormat="1" ht="36">
      <c r="A88" s="1148">
        <v>28</v>
      </c>
      <c r="B88" s="3434"/>
      <c r="C88" s="1062" t="s">
        <v>1555</v>
      </c>
      <c r="D88" s="1062" t="s">
        <v>1556</v>
      </c>
      <c r="E88" s="1133">
        <v>0.2</v>
      </c>
      <c r="F88" s="1148">
        <v>30</v>
      </c>
    </row>
    <row r="89" spans="1:6" s="1099" customFormat="1" ht="24">
      <c r="A89" s="1148">
        <v>29</v>
      </c>
      <c r="B89" s="3434"/>
      <c r="C89" s="1062" t="s">
        <v>1557</v>
      </c>
      <c r="D89" s="1062" t="s">
        <v>1558</v>
      </c>
      <c r="E89" s="1133">
        <v>0.2</v>
      </c>
      <c r="F89" s="1148">
        <v>30</v>
      </c>
    </row>
    <row r="90" spans="1:6" s="1099" customFormat="1" ht="24">
      <c r="A90" s="1148">
        <v>30</v>
      </c>
      <c r="B90" s="3434"/>
      <c r="C90" s="1062" t="s">
        <v>1559</v>
      </c>
      <c r="D90" s="1062" t="s">
        <v>1560</v>
      </c>
      <c r="E90" s="1133">
        <v>0.2</v>
      </c>
      <c r="F90" s="1148">
        <v>30</v>
      </c>
    </row>
    <row r="91" spans="1:6" s="1099" customFormat="1" ht="36">
      <c r="A91" s="1148">
        <v>31</v>
      </c>
      <c r="B91" s="3434"/>
      <c r="C91" s="1062" t="s">
        <v>1561</v>
      </c>
      <c r="D91" s="1062" t="s">
        <v>1562</v>
      </c>
      <c r="E91" s="1133">
        <v>0.2</v>
      </c>
      <c r="F91" s="1148">
        <v>30</v>
      </c>
    </row>
    <row r="92" spans="1:6" s="1099" customFormat="1" ht="24">
      <c r="A92" s="1148">
        <v>32</v>
      </c>
      <c r="B92" s="3434" t="s">
        <v>1563</v>
      </c>
      <c r="C92" s="1148" t="s">
        <v>1564</v>
      </c>
      <c r="D92" s="1062" t="s">
        <v>1565</v>
      </c>
      <c r="E92" s="1133">
        <v>0.2</v>
      </c>
      <c r="F92" s="1148">
        <v>30</v>
      </c>
    </row>
    <row r="93" spans="1:6" s="1099" customFormat="1" ht="36">
      <c r="A93" s="1148">
        <v>33</v>
      </c>
      <c r="B93" s="3434"/>
      <c r="C93" s="1148" t="s">
        <v>1566</v>
      </c>
      <c r="D93" s="1062" t="s">
        <v>1567</v>
      </c>
      <c r="E93" s="1133">
        <v>0.2</v>
      </c>
      <c r="F93" s="1148">
        <v>30</v>
      </c>
    </row>
    <row r="94" spans="1:6" s="1099" customFormat="1" ht="48">
      <c r="A94" s="1148">
        <v>34</v>
      </c>
      <c r="B94" s="3434"/>
      <c r="C94" s="1148" t="s">
        <v>1568</v>
      </c>
      <c r="D94" s="1062" t="s">
        <v>1569</v>
      </c>
      <c r="E94" s="1133">
        <v>0.2</v>
      </c>
      <c r="F94" s="1148">
        <v>30</v>
      </c>
    </row>
    <row r="95" spans="1:6" s="1099" customFormat="1" ht="36">
      <c r="A95" s="1148">
        <v>35</v>
      </c>
      <c r="B95" s="3434"/>
      <c r="C95" s="1148" t="s">
        <v>1570</v>
      </c>
      <c r="D95" s="1062" t="s">
        <v>1571</v>
      </c>
      <c r="E95" s="1133">
        <v>0.2</v>
      </c>
      <c r="F95" s="1148">
        <v>30</v>
      </c>
    </row>
    <row r="96" spans="1:6" s="1099" customFormat="1" ht="48">
      <c r="A96" s="1148">
        <v>36</v>
      </c>
      <c r="B96" s="3434"/>
      <c r="C96" s="1062" t="s">
        <v>1572</v>
      </c>
      <c r="D96" s="1062" t="s">
        <v>1573</v>
      </c>
      <c r="E96" s="1133">
        <v>0.2</v>
      </c>
      <c r="F96" s="1148">
        <v>30</v>
      </c>
    </row>
    <row r="97" spans="1:6" s="1099" customFormat="1" ht="36">
      <c r="A97" s="1148">
        <v>37</v>
      </c>
      <c r="B97" s="3434"/>
      <c r="C97" s="1148" t="s">
        <v>1574</v>
      </c>
      <c r="D97" s="1062" t="s">
        <v>1575</v>
      </c>
      <c r="E97" s="1133">
        <v>0.2</v>
      </c>
      <c r="F97" s="1148">
        <v>30</v>
      </c>
    </row>
    <row r="98" spans="1:6" s="1099" customFormat="1" ht="36">
      <c r="A98" s="1148">
        <v>38</v>
      </c>
      <c r="B98" s="3434"/>
      <c r="C98" s="1148" t="s">
        <v>1576</v>
      </c>
      <c r="D98" s="1062" t="s">
        <v>1577</v>
      </c>
      <c r="E98" s="1133">
        <v>0.2</v>
      </c>
      <c r="F98" s="1148">
        <v>30</v>
      </c>
    </row>
    <row r="99" spans="1:6" s="1099" customFormat="1" ht="36">
      <c r="A99" s="1148">
        <v>39</v>
      </c>
      <c r="B99" s="3434" t="s">
        <v>1578</v>
      </c>
      <c r="C99" s="1148" t="s">
        <v>1579</v>
      </c>
      <c r="D99" s="1062" t="s">
        <v>1580</v>
      </c>
      <c r="E99" s="1133">
        <v>0.3</v>
      </c>
      <c r="F99" s="1148">
        <v>50</v>
      </c>
    </row>
    <row r="100" spans="1:6" s="1099" customFormat="1" ht="24">
      <c r="A100" s="1148">
        <v>40</v>
      </c>
      <c r="B100" s="3434"/>
      <c r="C100" s="1148" t="s">
        <v>1581</v>
      </c>
      <c r="D100" s="1062" t="s">
        <v>1582</v>
      </c>
      <c r="E100" s="1133">
        <v>0.2</v>
      </c>
      <c r="F100" s="1148">
        <v>30</v>
      </c>
    </row>
    <row r="101" spans="1:6" s="1099" customFormat="1" ht="36">
      <c r="A101" s="1148">
        <v>41</v>
      </c>
      <c r="B101" s="3434"/>
      <c r="C101" s="1148" t="s">
        <v>1583</v>
      </c>
      <c r="D101" s="1062" t="s">
        <v>1580</v>
      </c>
      <c r="E101" s="1133">
        <v>0.2</v>
      </c>
      <c r="F101" s="1148">
        <v>30</v>
      </c>
    </row>
    <row r="102" spans="1:6" s="1099" customFormat="1" ht="48">
      <c r="A102" s="1148">
        <v>42</v>
      </c>
      <c r="B102" s="1148" t="s">
        <v>1584</v>
      </c>
      <c r="C102" s="1062" t="s">
        <v>1585</v>
      </c>
      <c r="D102" s="1062" t="s">
        <v>1586</v>
      </c>
      <c r="E102" s="1133">
        <v>0.2</v>
      </c>
      <c r="F102" s="1148">
        <v>30</v>
      </c>
    </row>
    <row r="103" spans="1:6" s="1099" customFormat="1" ht="24">
      <c r="A103" s="1148">
        <v>43</v>
      </c>
      <c r="B103" s="1148" t="s">
        <v>1587</v>
      </c>
      <c r="C103" s="1148" t="s">
        <v>1588</v>
      </c>
      <c r="D103" s="1062" t="s">
        <v>1589</v>
      </c>
      <c r="E103" s="1133">
        <v>0.2</v>
      </c>
      <c r="F103" s="1148">
        <v>30</v>
      </c>
    </row>
    <row r="104" spans="1:6" s="1099" customFormat="1" ht="36">
      <c r="A104" s="1148">
        <v>44</v>
      </c>
      <c r="B104" s="1148" t="s">
        <v>1590</v>
      </c>
      <c r="C104" s="1148" t="s">
        <v>1591</v>
      </c>
      <c r="D104" s="1062" t="s">
        <v>1592</v>
      </c>
      <c r="E104" s="1133">
        <v>0.2</v>
      </c>
      <c r="F104" s="1148">
        <v>30</v>
      </c>
    </row>
    <row r="105" spans="1:6" s="1099" customFormat="1" ht="36">
      <c r="A105" s="1148">
        <v>45</v>
      </c>
      <c r="B105" s="3434" t="s">
        <v>1593</v>
      </c>
      <c r="C105" s="1148" t="s">
        <v>1594</v>
      </c>
      <c r="D105" s="1062" t="s">
        <v>1595</v>
      </c>
      <c r="E105" s="1133">
        <v>0.2</v>
      </c>
      <c r="F105" s="1148">
        <v>30</v>
      </c>
    </row>
    <row r="106" spans="1:6" s="1099" customFormat="1" ht="36">
      <c r="A106" s="1148">
        <v>46</v>
      </c>
      <c r="B106" s="3434"/>
      <c r="C106" s="1148" t="s">
        <v>1596</v>
      </c>
      <c r="D106" s="1062" t="s">
        <v>1597</v>
      </c>
      <c r="E106" s="1133">
        <v>0.2</v>
      </c>
      <c r="F106" s="1148">
        <v>30</v>
      </c>
    </row>
    <row r="107" spans="1:6" s="1099" customFormat="1" ht="36">
      <c r="A107" s="1148">
        <v>47</v>
      </c>
      <c r="B107" s="3434" t="s">
        <v>1598</v>
      </c>
      <c r="C107" s="1148" t="s">
        <v>1599</v>
      </c>
      <c r="D107" s="1062" t="s">
        <v>1600</v>
      </c>
      <c r="E107" s="1133">
        <v>0.3</v>
      </c>
      <c r="F107" s="1148">
        <v>50</v>
      </c>
    </row>
    <row r="108" spans="1:6" s="1099" customFormat="1" ht="36">
      <c r="A108" s="1148">
        <v>48</v>
      </c>
      <c r="B108" s="3434"/>
      <c r="C108" s="1148" t="s">
        <v>1601</v>
      </c>
      <c r="D108" s="1062" t="s">
        <v>1602</v>
      </c>
      <c r="E108" s="1133">
        <v>0.2</v>
      </c>
      <c r="F108" s="1148">
        <v>30</v>
      </c>
    </row>
    <row r="109" spans="1:6" s="1099" customFormat="1" ht="36">
      <c r="A109" s="1148">
        <v>49</v>
      </c>
      <c r="B109" s="1148" t="s">
        <v>1603</v>
      </c>
      <c r="C109" s="1148" t="s">
        <v>1604</v>
      </c>
      <c r="D109" s="1062" t="s">
        <v>1605</v>
      </c>
      <c r="E109" s="1133">
        <v>0.2</v>
      </c>
      <c r="F109" s="1148">
        <v>30</v>
      </c>
    </row>
    <row r="110" spans="1:6" s="1099" customFormat="1" ht="36">
      <c r="A110" s="1148">
        <v>50</v>
      </c>
      <c r="B110" s="1148" t="s">
        <v>1606</v>
      </c>
      <c r="C110" s="1148" t="s">
        <v>1607</v>
      </c>
      <c r="D110" s="1062" t="s">
        <v>1608</v>
      </c>
      <c r="E110" s="1133">
        <v>0.2</v>
      </c>
      <c r="F110" s="1148">
        <v>30</v>
      </c>
    </row>
    <row r="111" spans="1:6" s="1099" customFormat="1" ht="36">
      <c r="A111" s="1148">
        <v>51</v>
      </c>
      <c r="B111" s="3434" t="s">
        <v>1609</v>
      </c>
      <c r="C111" s="1148" t="s">
        <v>1610</v>
      </c>
      <c r="D111" s="1062" t="s">
        <v>1611</v>
      </c>
      <c r="E111" s="1133">
        <v>0.2</v>
      </c>
      <c r="F111" s="1148">
        <v>30</v>
      </c>
    </row>
    <row r="112" spans="1:6" s="1099" customFormat="1" ht="24">
      <c r="A112" s="1148">
        <v>52</v>
      </c>
      <c r="B112" s="3434"/>
      <c r="C112" s="1148" t="s">
        <v>1612</v>
      </c>
      <c r="D112" s="1062" t="s">
        <v>1613</v>
      </c>
      <c r="E112" s="1133">
        <v>0.2</v>
      </c>
      <c r="F112" s="1148">
        <v>30</v>
      </c>
    </row>
    <row r="113" spans="1:14" s="1099" customFormat="1" ht="24">
      <c r="A113" s="1148">
        <v>53</v>
      </c>
      <c r="B113" s="3434"/>
      <c r="C113" s="1148" t="s">
        <v>1614</v>
      </c>
      <c r="D113" s="1062" t="s">
        <v>1615</v>
      </c>
      <c r="E113" s="1133">
        <v>0.2</v>
      </c>
      <c r="F113" s="1148">
        <v>30</v>
      </c>
    </row>
    <row r="114" spans="1:14" ht="36">
      <c r="A114" s="1148">
        <v>54</v>
      </c>
      <c r="B114" s="1148" t="s">
        <v>1616</v>
      </c>
      <c r="C114" s="1148" t="s">
        <v>1617</v>
      </c>
      <c r="D114" s="1062" t="s">
        <v>1618</v>
      </c>
      <c r="E114" s="1133">
        <v>0.2</v>
      </c>
      <c r="F114" s="1148">
        <v>30</v>
      </c>
    </row>
    <row r="115" spans="1:14" ht="24">
      <c r="A115" s="1148">
        <v>55</v>
      </c>
      <c r="B115" s="1148" t="s">
        <v>1619</v>
      </c>
      <c r="C115" s="1148" t="s">
        <v>1620</v>
      </c>
      <c r="D115" s="1062" t="s">
        <v>1621</v>
      </c>
      <c r="E115" s="1133">
        <v>0.2</v>
      </c>
      <c r="F115" s="1148">
        <v>30</v>
      </c>
    </row>
    <row r="116" spans="1:14" ht="24">
      <c r="A116" s="1148">
        <v>56</v>
      </c>
      <c r="B116" s="3434" t="s">
        <v>1622</v>
      </c>
      <c r="C116" s="1148" t="s">
        <v>1623</v>
      </c>
      <c r="D116" s="1062" t="s">
        <v>1624</v>
      </c>
      <c r="E116" s="1133">
        <v>0.2</v>
      </c>
      <c r="F116" s="1148">
        <v>30</v>
      </c>
    </row>
    <row r="117" spans="1:14" ht="36">
      <c r="A117" s="1148">
        <v>57</v>
      </c>
      <c r="B117" s="3434"/>
      <c r="C117" s="1148" t="s">
        <v>1625</v>
      </c>
      <c r="D117" s="1062" t="s">
        <v>1626</v>
      </c>
      <c r="E117" s="1133">
        <v>0.2</v>
      </c>
      <c r="F117" s="1148">
        <v>30</v>
      </c>
    </row>
    <row r="118" spans="1:14" ht="36">
      <c r="A118" s="1148">
        <v>58</v>
      </c>
      <c r="B118" s="1148" t="s">
        <v>1627</v>
      </c>
      <c r="C118" s="1148" t="s">
        <v>1628</v>
      </c>
      <c r="D118" s="1062" t="s">
        <v>1629</v>
      </c>
      <c r="E118" s="1133">
        <v>0.2</v>
      </c>
      <c r="F118" s="1148">
        <v>30</v>
      </c>
    </row>
    <row r="119" spans="1:14" ht="13.5">
      <c r="A119" s="1148"/>
      <c r="B119" s="1148"/>
      <c r="C119" s="1148"/>
      <c r="D119" s="1148"/>
      <c r="E119" s="1133"/>
      <c r="F119" s="1148"/>
    </row>
    <row r="121" spans="1:14" ht="19.5" customHeight="1">
      <c r="A121" s="3433" t="s">
        <v>1631</v>
      </c>
      <c r="B121" s="3433"/>
      <c r="C121" s="3433"/>
      <c r="D121" s="3433"/>
      <c r="E121" s="3433"/>
      <c r="F121" s="3433"/>
      <c r="G121" s="3433"/>
      <c r="H121" s="3433"/>
      <c r="I121" s="3433"/>
      <c r="J121" s="3433"/>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90" t="s">
        <v>1037</v>
      </c>
      <c r="B1" s="3490"/>
      <c r="C1" s="3490"/>
      <c r="D1" s="3490"/>
      <c r="E1" s="3490"/>
      <c r="F1" s="3490"/>
      <c r="H1" s="1064"/>
      <c r="I1" s="1065" t="s">
        <v>1038</v>
      </c>
      <c r="J1" s="1066" t="s">
        <v>1039</v>
      </c>
      <c r="K1" s="1066" t="s">
        <v>1040</v>
      </c>
      <c r="L1" s="1066" t="s">
        <v>1041</v>
      </c>
      <c r="M1" s="1066" t="s">
        <v>1042</v>
      </c>
      <c r="N1" s="1066" t="s">
        <v>1043</v>
      </c>
      <c r="O1" s="1066" t="s">
        <v>1044</v>
      </c>
      <c r="P1" s="1066" t="s">
        <v>1045</v>
      </c>
      <c r="Q1" s="1066" t="s">
        <v>1046</v>
      </c>
      <c r="R1" s="1066" t="s">
        <v>1047</v>
      </c>
      <c r="S1" s="1066" t="s">
        <v>1048</v>
      </c>
      <c r="T1" s="1067" t="s">
        <v>1049</v>
      </c>
    </row>
    <row r="2" spans="1:20" ht="14.25" thickBot="1">
      <c r="A2" s="3491" t="s">
        <v>1050</v>
      </c>
      <c r="B2" s="3491"/>
      <c r="C2" s="3491"/>
      <c r="D2" s="3491"/>
      <c r="E2" s="3491"/>
      <c r="F2" s="3491"/>
      <c r="I2" s="1068" t="s">
        <v>1051</v>
      </c>
      <c r="J2" s="1069" t="s">
        <v>1052</v>
      </c>
      <c r="K2" s="1069" t="s">
        <v>1053</v>
      </c>
      <c r="L2" s="1069" t="s">
        <v>1054</v>
      </c>
      <c r="M2" s="1069" t="s">
        <v>1055</v>
      </c>
      <c r="N2" s="1069" t="s">
        <v>1056</v>
      </c>
      <c r="O2" s="1069" t="s">
        <v>1057</v>
      </c>
      <c r="P2" s="1069" t="s">
        <v>1058</v>
      </c>
      <c r="Q2" s="1069" t="s">
        <v>1059</v>
      </c>
      <c r="R2" s="1069" t="s">
        <v>1060</v>
      </c>
      <c r="S2" s="1069" t="s">
        <v>1061</v>
      </c>
      <c r="T2" s="1069" t="s">
        <v>1062</v>
      </c>
    </row>
    <row r="3" spans="1:20" s="1064" customFormat="1" ht="19.5" customHeight="1">
      <c r="A3" s="3492" t="s">
        <v>1063</v>
      </c>
      <c r="B3" s="1070"/>
      <c r="C3" s="1071" t="s">
        <v>1064</v>
      </c>
      <c r="D3" s="1071" t="s">
        <v>1065</v>
      </c>
      <c r="E3" s="1071" t="s">
        <v>1066</v>
      </c>
      <c r="F3" s="1071" t="s">
        <v>1067</v>
      </c>
      <c r="G3" s="1072"/>
      <c r="I3" s="1068" t="s">
        <v>1068</v>
      </c>
      <c r="J3" s="1069" t="s">
        <v>1069</v>
      </c>
      <c r="K3" s="1069" t="s">
        <v>1070</v>
      </c>
      <c r="L3" s="1069" t="s">
        <v>1071</v>
      </c>
      <c r="M3" s="1069" t="s">
        <v>1072</v>
      </c>
      <c r="N3" s="1069" t="s">
        <v>1073</v>
      </c>
      <c r="O3" s="1069" t="s">
        <v>1074</v>
      </c>
      <c r="P3" s="1069" t="s">
        <v>1075</v>
      </c>
      <c r="Q3" s="1069" t="s">
        <v>1076</v>
      </c>
      <c r="R3" s="1069" t="s">
        <v>1077</v>
      </c>
      <c r="S3" s="1069" t="s">
        <v>1078</v>
      </c>
      <c r="T3" s="1069" t="s">
        <v>1079</v>
      </c>
    </row>
    <row r="4" spans="1:20" s="1064" customFormat="1" ht="19.5" customHeight="1" thickBot="1">
      <c r="A4" s="3493"/>
      <c r="B4" s="1073" t="s">
        <v>1080</v>
      </c>
      <c r="C4" s="1073" t="s">
        <v>1081</v>
      </c>
      <c r="D4" s="1073" t="s">
        <v>1081</v>
      </c>
      <c r="E4" s="1073" t="s">
        <v>1081</v>
      </c>
      <c r="F4" s="1074" t="s">
        <v>1081</v>
      </c>
      <c r="G4" s="1072"/>
      <c r="I4" s="1068" t="s">
        <v>1082</v>
      </c>
      <c r="J4" s="1069" t="s">
        <v>1083</v>
      </c>
      <c r="K4" s="1069" t="s">
        <v>1084</v>
      </c>
      <c r="L4" s="1069" t="s">
        <v>1085</v>
      </c>
      <c r="M4" s="1069" t="s">
        <v>1086</v>
      </c>
      <c r="N4" s="1069" t="s">
        <v>1087</v>
      </c>
      <c r="O4" s="1069" t="s">
        <v>1088</v>
      </c>
      <c r="P4" s="1069" t="s">
        <v>1089</v>
      </c>
      <c r="Q4" s="1069" t="s">
        <v>1090</v>
      </c>
      <c r="R4" s="1069" t="s">
        <v>1091</v>
      </c>
      <c r="S4" s="1069" t="s">
        <v>1092</v>
      </c>
      <c r="T4" s="1069" t="s">
        <v>1093</v>
      </c>
    </row>
    <row r="5" spans="1:20" ht="14.25" customHeight="1" thickBot="1">
      <c r="A5" s="1075" t="s">
        <v>1094</v>
      </c>
      <c r="B5" s="1076" t="s">
        <v>1051</v>
      </c>
      <c r="C5" s="1076">
        <v>29530</v>
      </c>
      <c r="D5" s="1076">
        <v>28130</v>
      </c>
      <c r="E5" s="1076">
        <v>27930</v>
      </c>
      <c r="F5" s="1077">
        <v>11300</v>
      </c>
      <c r="G5" s="1078" t="s">
        <v>1038</v>
      </c>
      <c r="H5" s="1079">
        <f>SUMPRODUCT((B5:B9=基准地价!I2)*(C3:F3=基准地价!E2)*(C5:F9))</f>
        <v>0</v>
      </c>
      <c r="I5" s="1068" t="s">
        <v>1095</v>
      </c>
      <c r="J5" s="1069" t="s">
        <v>1096</v>
      </c>
      <c r="K5" s="1069" t="s">
        <v>1097</v>
      </c>
      <c r="L5" s="1069" t="s">
        <v>1098</v>
      </c>
      <c r="M5" s="1069" t="s">
        <v>1099</v>
      </c>
      <c r="N5" s="1069" t="s">
        <v>1100</v>
      </c>
      <c r="O5" s="1069" t="s">
        <v>1101</v>
      </c>
      <c r="P5" s="1069" t="s">
        <v>1102</v>
      </c>
      <c r="Q5" s="1069" t="s">
        <v>1103</v>
      </c>
      <c r="R5" s="1069" t="s">
        <v>1104</v>
      </c>
      <c r="S5" s="1069" t="s">
        <v>1105</v>
      </c>
      <c r="T5" s="1069" t="s">
        <v>1106</v>
      </c>
    </row>
    <row r="6" spans="1:20" ht="14.25" customHeight="1" thickBot="1">
      <c r="A6" s="1075" t="s">
        <v>1094</v>
      </c>
      <c r="B6" s="1069" t="s">
        <v>1107</v>
      </c>
      <c r="C6" s="1069">
        <v>30290</v>
      </c>
      <c r="D6" s="1069">
        <v>29210</v>
      </c>
      <c r="E6" s="1069">
        <v>28860</v>
      </c>
      <c r="F6" s="1080">
        <v>12600</v>
      </c>
      <c r="G6" s="1081" t="s">
        <v>1108</v>
      </c>
      <c r="H6" s="1082">
        <f>SUMPRODUCT((B10:B28=基准地价!I2)*(C3:F3=基准地价!E2)*(C10:F28))</f>
        <v>0</v>
      </c>
      <c r="I6" s="1068" t="s">
        <v>1109</v>
      </c>
      <c r="J6" s="1069" t="s">
        <v>1110</v>
      </c>
      <c r="K6" s="1069" t="s">
        <v>1111</v>
      </c>
      <c r="L6" s="1069" t="s">
        <v>1112</v>
      </c>
      <c r="M6" s="1069" t="s">
        <v>1113</v>
      </c>
      <c r="N6" s="1069" t="s">
        <v>1114</v>
      </c>
      <c r="O6" s="1069" t="s">
        <v>1115</v>
      </c>
      <c r="P6" s="1069" t="s">
        <v>1116</v>
      </c>
      <c r="Q6" s="1069" t="s">
        <v>1117</v>
      </c>
      <c r="R6" s="1069" t="s">
        <v>1118</v>
      </c>
      <c r="S6" s="1069" t="s">
        <v>1119</v>
      </c>
      <c r="T6" s="1069" t="s">
        <v>1120</v>
      </c>
    </row>
    <row r="7" spans="1:20" ht="14.25" customHeight="1" thickBot="1">
      <c r="A7" s="1075" t="s">
        <v>1094</v>
      </c>
      <c r="B7" s="1083" t="s">
        <v>1082</v>
      </c>
      <c r="C7" s="1069">
        <v>29350</v>
      </c>
      <c r="D7" s="1069">
        <v>28410</v>
      </c>
      <c r="E7" s="1069">
        <v>27990</v>
      </c>
      <c r="F7" s="1080">
        <v>12300</v>
      </c>
      <c r="G7" s="1081" t="s">
        <v>907</v>
      </c>
      <c r="H7" s="1082">
        <f>SUMPRODUCT((B29:B48=基准地价!I2)*(C3:F3=基准地价!E2)*(C29:F48))</f>
        <v>0</v>
      </c>
      <c r="J7" s="1069" t="s">
        <v>1121</v>
      </c>
      <c r="K7" s="1069" t="s">
        <v>1122</v>
      </c>
      <c r="L7" s="1069" t="s">
        <v>1123</v>
      </c>
      <c r="M7" s="1069" t="s">
        <v>1124</v>
      </c>
      <c r="N7" s="1069" t="s">
        <v>1125</v>
      </c>
      <c r="O7" s="1069" t="s">
        <v>1126</v>
      </c>
      <c r="P7" s="1069" t="s">
        <v>1127</v>
      </c>
      <c r="Q7" s="1069" t="s">
        <v>1128</v>
      </c>
      <c r="R7" s="1069" t="s">
        <v>1129</v>
      </c>
      <c r="S7" s="1069" t="s">
        <v>1130</v>
      </c>
      <c r="T7" s="1083" t="s">
        <v>1131</v>
      </c>
    </row>
    <row r="8" spans="1:20" ht="14.25" customHeight="1" thickBot="1">
      <c r="A8" s="1075" t="s">
        <v>1094</v>
      </c>
      <c r="B8" s="1069" t="s">
        <v>1095</v>
      </c>
      <c r="C8" s="1069">
        <v>30890</v>
      </c>
      <c r="D8" s="1069">
        <v>29780</v>
      </c>
      <c r="E8" s="1069">
        <v>29270</v>
      </c>
      <c r="F8" s="1080">
        <v>11600</v>
      </c>
      <c r="G8" s="1081" t="s">
        <v>908</v>
      </c>
      <c r="H8" s="1082">
        <f>SUMPRODUCT((B49:B75=基准地价!I2)*(C3:F3=基准地价!E2)*(C49:F75))</f>
        <v>0</v>
      </c>
      <c r="J8" s="1069" t="s">
        <v>1132</v>
      </c>
      <c r="K8" s="1069" t="s">
        <v>1133</v>
      </c>
      <c r="L8" s="1069" t="s">
        <v>1134</v>
      </c>
      <c r="M8" s="1069" t="s">
        <v>1135</v>
      </c>
      <c r="N8" s="1069" t="s">
        <v>1136</v>
      </c>
      <c r="O8" s="1069" t="s">
        <v>1137</v>
      </c>
      <c r="P8" s="1069" t="s">
        <v>1138</v>
      </c>
      <c r="Q8" s="1069" t="s">
        <v>1139</v>
      </c>
      <c r="R8" s="1069" t="s">
        <v>1140</v>
      </c>
      <c r="S8" s="1069" t="s">
        <v>1141</v>
      </c>
      <c r="T8" s="1069" t="s">
        <v>1142</v>
      </c>
    </row>
    <row r="9" spans="1:20" ht="14.25" customHeight="1" thickBot="1">
      <c r="A9" s="1075" t="s">
        <v>1094</v>
      </c>
      <c r="B9" s="1084" t="s">
        <v>1109</v>
      </c>
      <c r="C9" s="1085">
        <v>28140</v>
      </c>
      <c r="D9" s="1085"/>
      <c r="E9" s="1085"/>
      <c r="F9" s="1086"/>
      <c r="G9" s="1081" t="s">
        <v>909</v>
      </c>
      <c r="H9" s="1082">
        <f>SUMPRODUCT((B76:B109=基准地价!I2)*(C3:F3=基准地价!E2)*(C76:F109))</f>
        <v>0</v>
      </c>
      <c r="J9" s="1069" t="s">
        <v>1143</v>
      </c>
      <c r="K9" s="1069" t="s">
        <v>1144</v>
      </c>
      <c r="L9" s="1069" t="s">
        <v>1145</v>
      </c>
      <c r="M9" s="1069" t="s">
        <v>1146</v>
      </c>
      <c r="N9" s="1069" t="s">
        <v>1147</v>
      </c>
      <c r="O9" s="1069" t="s">
        <v>1148</v>
      </c>
      <c r="P9" s="1069" t="s">
        <v>1149</v>
      </c>
      <c r="Q9" s="1069" t="s">
        <v>1150</v>
      </c>
      <c r="R9" s="1069" t="s">
        <v>1151</v>
      </c>
      <c r="S9" s="1069" t="s">
        <v>1152</v>
      </c>
    </row>
    <row r="10" spans="1:20" ht="14.25" customHeight="1" thickBot="1">
      <c r="A10" s="1075" t="s">
        <v>1153</v>
      </c>
      <c r="B10" s="1076" t="s">
        <v>1154</v>
      </c>
      <c r="C10" s="1076">
        <v>27450</v>
      </c>
      <c r="D10" s="1076">
        <v>26180</v>
      </c>
      <c r="E10" s="1076">
        <v>25980</v>
      </c>
      <c r="F10" s="1077">
        <v>8910</v>
      </c>
      <c r="G10" s="1081" t="s">
        <v>910</v>
      </c>
      <c r="H10" s="1082">
        <f>SUMPRODUCT((B110:B157=基准地价!I2)*(C3:F3=基准地价!E2)*(C110:F157))</f>
        <v>0</v>
      </c>
      <c r="J10" s="1069" t="s">
        <v>1155</v>
      </c>
      <c r="K10" s="1069" t="s">
        <v>1156</v>
      </c>
      <c r="L10" s="1069" t="s">
        <v>1157</v>
      </c>
      <c r="M10" s="1069" t="s">
        <v>1158</v>
      </c>
      <c r="N10" s="1069" t="s">
        <v>1159</v>
      </c>
      <c r="O10" s="1069" t="s">
        <v>1160</v>
      </c>
      <c r="P10" s="1069" t="s">
        <v>1161</v>
      </c>
      <c r="Q10" s="1069" t="s">
        <v>1162</v>
      </c>
      <c r="R10" s="1069" t="s">
        <v>1163</v>
      </c>
      <c r="S10" s="1069" t="s">
        <v>1164</v>
      </c>
    </row>
    <row r="11" spans="1:20" ht="14.25" customHeight="1" thickBot="1">
      <c r="A11" s="1075" t="s">
        <v>1153</v>
      </c>
      <c r="B11" s="1083" t="s">
        <v>1069</v>
      </c>
      <c r="C11" s="1069">
        <v>22950</v>
      </c>
      <c r="D11" s="1069">
        <v>22630</v>
      </c>
      <c r="E11" s="1069">
        <v>22030</v>
      </c>
      <c r="F11" s="1087">
        <v>8330</v>
      </c>
      <c r="G11" s="1081" t="s">
        <v>911</v>
      </c>
      <c r="H11" s="1082">
        <f>SUMPRODUCT((B158:B205=基准地价!I2)*(C3:F3=基准地价!E2)*(C158:F205))</f>
        <v>1540</v>
      </c>
      <c r="J11" s="1069" t="s">
        <v>1165</v>
      </c>
      <c r="K11" s="1069" t="s">
        <v>1166</v>
      </c>
      <c r="L11" s="1069" t="s">
        <v>1167</v>
      </c>
      <c r="M11" s="1069" t="s">
        <v>1168</v>
      </c>
      <c r="N11" s="1069" t="s">
        <v>1169</v>
      </c>
      <c r="O11" s="1069" t="s">
        <v>1170</v>
      </c>
      <c r="P11" s="1069" t="s">
        <v>1171</v>
      </c>
      <c r="Q11" s="1069" t="s">
        <v>1172</v>
      </c>
      <c r="R11" s="1069" t="s">
        <v>1173</v>
      </c>
      <c r="S11" s="1069" t="s">
        <v>1174</v>
      </c>
    </row>
    <row r="12" spans="1:20" ht="14.25" customHeight="1" thickBot="1">
      <c r="A12" s="1075" t="s">
        <v>1153</v>
      </c>
      <c r="B12" s="1083" t="s">
        <v>1083</v>
      </c>
      <c r="C12" s="1069">
        <v>24940</v>
      </c>
      <c r="D12" s="1069">
        <v>23180</v>
      </c>
      <c r="E12" s="1069">
        <v>22910</v>
      </c>
      <c r="F12" s="1087">
        <v>7180</v>
      </c>
      <c r="G12" s="1081" t="s">
        <v>912</v>
      </c>
      <c r="H12" s="1082">
        <f>SUMPRODUCT((B206:B244=基准地价!I2)*(C3:F3=基准地价!E2)*(C206:F244))</f>
        <v>0</v>
      </c>
      <c r="J12" s="1069" t="s">
        <v>1175</v>
      </c>
      <c r="K12" s="1069" t="s">
        <v>1176</v>
      </c>
      <c r="L12" s="1069" t="s">
        <v>1177</v>
      </c>
      <c r="M12" s="1069" t="s">
        <v>1178</v>
      </c>
      <c r="N12" s="1069" t="s">
        <v>1179</v>
      </c>
      <c r="O12" s="1069" t="s">
        <v>1180</v>
      </c>
      <c r="P12" s="1069" t="s">
        <v>1181</v>
      </c>
      <c r="Q12" s="1069" t="s">
        <v>1182</v>
      </c>
      <c r="R12" s="1069" t="s">
        <v>1183</v>
      </c>
      <c r="S12" s="1069" t="s">
        <v>1184</v>
      </c>
    </row>
    <row r="13" spans="1:20" ht="14.25" customHeight="1" thickBot="1">
      <c r="A13" s="1075" t="s">
        <v>1153</v>
      </c>
      <c r="B13" s="1083" t="s">
        <v>1096</v>
      </c>
      <c r="C13" s="1069">
        <v>24140</v>
      </c>
      <c r="D13" s="1069">
        <v>22270</v>
      </c>
      <c r="E13" s="1069">
        <v>21950</v>
      </c>
      <c r="F13" s="1087">
        <v>7600</v>
      </c>
      <c r="G13" s="1081" t="s">
        <v>913</v>
      </c>
      <c r="H13" s="1082">
        <f>SUMPRODUCT((B245:B289=基准地价!I2)*(C3:F3=基准地价!E2)*(C245:F289))</f>
        <v>0</v>
      </c>
      <c r="J13" s="1069" t="s">
        <v>1185</v>
      </c>
      <c r="K13" s="1069" t="s">
        <v>1186</v>
      </c>
      <c r="L13" s="1069" t="s">
        <v>1187</v>
      </c>
      <c r="M13" s="1069" t="s">
        <v>1188</v>
      </c>
      <c r="N13" s="1069" t="s">
        <v>1189</v>
      </c>
      <c r="O13" s="1069" t="s">
        <v>1190</v>
      </c>
      <c r="P13" s="1069" t="s">
        <v>1191</v>
      </c>
      <c r="Q13" s="1069" t="s">
        <v>1192</v>
      </c>
      <c r="R13" s="1069" t="s">
        <v>1193</v>
      </c>
      <c r="S13" s="1069" t="s">
        <v>1194</v>
      </c>
    </row>
    <row r="14" spans="1:20" ht="14.25" customHeight="1" thickBot="1">
      <c r="A14" s="1075" t="s">
        <v>1153</v>
      </c>
      <c r="B14" s="1083" t="s">
        <v>1110</v>
      </c>
      <c r="C14" s="1069">
        <v>25600</v>
      </c>
      <c r="D14" s="1069">
        <v>22260</v>
      </c>
      <c r="E14" s="1069">
        <v>22110</v>
      </c>
      <c r="F14" s="1087">
        <v>7630</v>
      </c>
      <c r="G14" s="1081" t="s">
        <v>914</v>
      </c>
      <c r="H14" s="1082">
        <f>SUMPRODUCT((B290:B316=基准地价!I2)*(C3:F3=基准地价!E2)*(C290:F316))</f>
        <v>0</v>
      </c>
      <c r="J14" s="1069" t="s">
        <v>1195</v>
      </c>
      <c r="K14" s="1069" t="s">
        <v>1196</v>
      </c>
      <c r="L14" s="1069" t="s">
        <v>1197</v>
      </c>
      <c r="M14" s="1069" t="s">
        <v>1198</v>
      </c>
      <c r="N14" s="1069" t="s">
        <v>1199</v>
      </c>
      <c r="O14" s="1069" t="s">
        <v>1200</v>
      </c>
      <c r="P14" s="1069" t="s">
        <v>1201</v>
      </c>
      <c r="Q14" s="1069" t="s">
        <v>1202</v>
      </c>
      <c r="R14" s="1069" t="s">
        <v>1203</v>
      </c>
      <c r="S14" s="1069" t="s">
        <v>1204</v>
      </c>
    </row>
    <row r="15" spans="1:20" ht="14.25" customHeight="1" thickBot="1">
      <c r="A15" s="1075" t="s">
        <v>1153</v>
      </c>
      <c r="B15" s="1083" t="s">
        <v>1121</v>
      </c>
      <c r="C15" s="1069">
        <v>24760</v>
      </c>
      <c r="D15" s="1069">
        <v>24440</v>
      </c>
      <c r="E15" s="1069">
        <v>24130</v>
      </c>
      <c r="F15" s="1087">
        <v>9480</v>
      </c>
      <c r="G15" s="1081" t="s">
        <v>915</v>
      </c>
      <c r="H15" s="1082">
        <f>SUMPRODUCT((B317:B337=基准地价!I2)*(C3:F3=基准地价!E2)*(C317:F337))</f>
        <v>0</v>
      </c>
      <c r="J15" s="1069" t="s">
        <v>1205</v>
      </c>
      <c r="K15" s="1069" t="s">
        <v>1206</v>
      </c>
      <c r="L15" s="1069" t="s">
        <v>1207</v>
      </c>
      <c r="M15" s="1069" t="s">
        <v>1208</v>
      </c>
      <c r="N15" s="1069" t="s">
        <v>1209</v>
      </c>
      <c r="O15" s="1069" t="s">
        <v>1210</v>
      </c>
      <c r="P15" s="1069" t="s">
        <v>1211</v>
      </c>
      <c r="Q15" s="1069" t="s">
        <v>1212</v>
      </c>
      <c r="R15" s="1069" t="s">
        <v>1213</v>
      </c>
      <c r="S15" s="1069" t="s">
        <v>1214</v>
      </c>
    </row>
    <row r="16" spans="1:20" ht="14.25" customHeight="1" thickBot="1">
      <c r="A16" s="1075" t="s">
        <v>1153</v>
      </c>
      <c r="B16" s="1083" t="s">
        <v>1132</v>
      </c>
      <c r="C16" s="1069">
        <v>22220</v>
      </c>
      <c r="D16" s="1069">
        <v>22310</v>
      </c>
      <c r="E16" s="1069">
        <v>22000</v>
      </c>
      <c r="F16" s="1087">
        <v>8900</v>
      </c>
      <c r="G16" s="1088" t="s">
        <v>916</v>
      </c>
      <c r="H16" s="1089">
        <f>SUMPRODUCT((B338:B344=基准地价!I2)*(C3:F3=基准地价!E2)*(C338:F344))</f>
        <v>0</v>
      </c>
      <c r="J16" s="1069" t="s">
        <v>1215</v>
      </c>
      <c r="K16" s="1069" t="s">
        <v>1216</v>
      </c>
      <c r="L16" s="1069" t="s">
        <v>1217</v>
      </c>
      <c r="M16" s="1069" t="s">
        <v>1218</v>
      </c>
      <c r="N16" s="1069" t="s">
        <v>1219</v>
      </c>
      <c r="O16" s="1069" t="s">
        <v>1220</v>
      </c>
      <c r="P16" s="1069" t="s">
        <v>1221</v>
      </c>
      <c r="Q16" s="1069" t="s">
        <v>1222</v>
      </c>
      <c r="R16" s="1069" t="s">
        <v>1223</v>
      </c>
      <c r="S16" s="1069" t="s">
        <v>1224</v>
      </c>
    </row>
    <row r="17" spans="1:19" ht="14.25" customHeight="1" thickBot="1">
      <c r="A17" s="1075" t="s">
        <v>1153</v>
      </c>
      <c r="B17" s="1083" t="s">
        <v>1143</v>
      </c>
      <c r="C17" s="1069">
        <v>24700</v>
      </c>
      <c r="D17" s="1069">
        <v>25150</v>
      </c>
      <c r="E17" s="1069">
        <v>24700</v>
      </c>
      <c r="F17" s="1090"/>
      <c r="H17" s="1091"/>
      <c r="J17" s="1069" t="s">
        <v>1225</v>
      </c>
      <c r="K17" s="1069" t="s">
        <v>1226</v>
      </c>
      <c r="L17" s="1069" t="s">
        <v>1227</v>
      </c>
      <c r="M17" s="1069" t="s">
        <v>1228</v>
      </c>
      <c r="N17" s="1069" t="s">
        <v>1229</v>
      </c>
      <c r="O17" s="1069" t="s">
        <v>1230</v>
      </c>
      <c r="P17" s="1069" t="s">
        <v>1231</v>
      </c>
      <c r="Q17" s="1069" t="s">
        <v>1232</v>
      </c>
      <c r="R17" s="1069" t="s">
        <v>1233</v>
      </c>
      <c r="S17" s="1069" t="s">
        <v>1234</v>
      </c>
    </row>
    <row r="18" spans="1:19" ht="14.25" customHeight="1" thickBot="1">
      <c r="A18" s="1075" t="s">
        <v>1153</v>
      </c>
      <c r="B18" s="1083" t="s">
        <v>1155</v>
      </c>
      <c r="C18" s="1069">
        <v>22350</v>
      </c>
      <c r="D18" s="1069">
        <v>24340</v>
      </c>
      <c r="E18" s="1069">
        <v>24100</v>
      </c>
      <c r="F18" s="1090"/>
      <c r="H18" s="1091"/>
      <c r="J18" s="1069" t="s">
        <v>1235</v>
      </c>
      <c r="K18" s="1069" t="s">
        <v>1236</v>
      </c>
      <c r="L18" s="1069" t="s">
        <v>1237</v>
      </c>
      <c r="M18" s="1069" t="s">
        <v>1238</v>
      </c>
      <c r="N18" s="1069" t="s">
        <v>1239</v>
      </c>
      <c r="O18" s="1069" t="s">
        <v>1240</v>
      </c>
      <c r="P18" s="1069" t="s">
        <v>1241</v>
      </c>
      <c r="Q18" s="1069" t="s">
        <v>1242</v>
      </c>
      <c r="R18" s="1069" t="s">
        <v>1243</v>
      </c>
      <c r="S18" s="1069" t="s">
        <v>1244</v>
      </c>
    </row>
    <row r="19" spans="1:19" ht="14.25" customHeight="1" thickBot="1">
      <c r="A19" s="1075" t="s">
        <v>1153</v>
      </c>
      <c r="B19" s="1083" t="s">
        <v>1165</v>
      </c>
      <c r="C19" s="1069">
        <v>23430</v>
      </c>
      <c r="D19" s="1069">
        <v>21580</v>
      </c>
      <c r="E19" s="1069">
        <v>21350</v>
      </c>
      <c r="F19" s="1090"/>
      <c r="H19" s="1091"/>
      <c r="J19" s="1069" t="s">
        <v>1245</v>
      </c>
      <c r="K19" s="1069" t="s">
        <v>1246</v>
      </c>
      <c r="L19" s="1069" t="s">
        <v>1247</v>
      </c>
      <c r="M19" s="1069" t="s">
        <v>1248</v>
      </c>
      <c r="N19" s="1069" t="s">
        <v>1249</v>
      </c>
      <c r="O19" s="1069" t="s">
        <v>1250</v>
      </c>
      <c r="P19" s="1069" t="s">
        <v>1251</v>
      </c>
      <c r="Q19" s="1069" t="s">
        <v>1252</v>
      </c>
      <c r="R19" s="1069" t="s">
        <v>1253</v>
      </c>
      <c r="S19" s="1069" t="s">
        <v>1254</v>
      </c>
    </row>
    <row r="20" spans="1:19" ht="14.25" customHeight="1" thickBot="1">
      <c r="A20" s="1075" t="s">
        <v>1153</v>
      </c>
      <c r="B20" s="1083" t="s">
        <v>1175</v>
      </c>
      <c r="C20" s="1069">
        <v>27660</v>
      </c>
      <c r="D20" s="1069">
        <v>24240</v>
      </c>
      <c r="E20" s="1069">
        <v>24020</v>
      </c>
      <c r="F20" s="1090"/>
      <c r="J20" s="1069" t="s">
        <v>1255</v>
      </c>
      <c r="K20" s="1069" t="s">
        <v>1256</v>
      </c>
      <c r="L20" s="1069" t="s">
        <v>1257</v>
      </c>
      <c r="M20" s="1069" t="s">
        <v>1258</v>
      </c>
      <c r="N20" s="1069" t="s">
        <v>1259</v>
      </c>
      <c r="O20" s="1069" t="s">
        <v>1260</v>
      </c>
      <c r="P20" s="1069" t="s">
        <v>1261</v>
      </c>
      <c r="Q20" s="1069" t="s">
        <v>1262</v>
      </c>
      <c r="R20" s="1069" t="s">
        <v>1263</v>
      </c>
      <c r="S20" s="1069" t="s">
        <v>1264</v>
      </c>
    </row>
    <row r="21" spans="1:19" ht="14.25" customHeight="1" thickBot="1">
      <c r="A21" s="1075" t="s">
        <v>1153</v>
      </c>
      <c r="B21" s="1083" t="s">
        <v>1185</v>
      </c>
      <c r="C21" s="1069">
        <v>24720</v>
      </c>
      <c r="D21" s="1069">
        <v>21670</v>
      </c>
      <c r="E21" s="1069">
        <v>21510</v>
      </c>
      <c r="F21" s="1090"/>
      <c r="K21" s="1069" t="s">
        <v>1265</v>
      </c>
      <c r="L21" s="1069" t="s">
        <v>1266</v>
      </c>
      <c r="M21" s="1069" t="s">
        <v>1267</v>
      </c>
      <c r="N21" s="1069" t="s">
        <v>1268</v>
      </c>
      <c r="O21" s="1069" t="s">
        <v>1269</v>
      </c>
      <c r="P21" s="1069" t="s">
        <v>1270</v>
      </c>
      <c r="Q21" s="1069" t="s">
        <v>1271</v>
      </c>
      <c r="R21" s="1069" t="s">
        <v>1272</v>
      </c>
      <c r="S21" s="1069" t="s">
        <v>1273</v>
      </c>
    </row>
    <row r="22" spans="1:19" ht="14.25" customHeight="1" thickBot="1">
      <c r="A22" s="1075" t="s">
        <v>1153</v>
      </c>
      <c r="B22" s="1083" t="s">
        <v>1274</v>
      </c>
      <c r="C22" s="1069">
        <v>26530</v>
      </c>
      <c r="D22" s="1069">
        <v>22980</v>
      </c>
      <c r="E22" s="1069">
        <v>22650</v>
      </c>
      <c r="F22" s="1090"/>
      <c r="L22" s="1069" t="s">
        <v>1275</v>
      </c>
      <c r="M22" s="1069" t="s">
        <v>1276</v>
      </c>
      <c r="N22" s="1069" t="s">
        <v>1277</v>
      </c>
      <c r="O22" s="1069" t="s">
        <v>1278</v>
      </c>
      <c r="P22" s="1069" t="s">
        <v>1279</v>
      </c>
      <c r="Q22" s="1069" t="s">
        <v>1280</v>
      </c>
      <c r="R22" s="1069" t="s">
        <v>1281</v>
      </c>
      <c r="S22" s="1083" t="s">
        <v>1282</v>
      </c>
    </row>
    <row r="23" spans="1:19" ht="14.25" customHeight="1" thickBot="1">
      <c r="A23" s="1075" t="s">
        <v>1153</v>
      </c>
      <c r="B23" s="1083" t="s">
        <v>1205</v>
      </c>
      <c r="C23" s="1069">
        <v>24700</v>
      </c>
      <c r="D23" s="1069">
        <v>27290</v>
      </c>
      <c r="E23" s="1069">
        <v>26710</v>
      </c>
      <c r="F23" s="1090"/>
      <c r="L23" s="1069" t="s">
        <v>1283</v>
      </c>
      <c r="M23" s="1069" t="s">
        <v>1284</v>
      </c>
      <c r="N23" s="1069" t="s">
        <v>1285</v>
      </c>
      <c r="O23" s="1069" t="s">
        <v>1286</v>
      </c>
      <c r="P23" s="1069" t="s">
        <v>1287</v>
      </c>
      <c r="Q23" s="1069" t="s">
        <v>1288</v>
      </c>
      <c r="R23" s="1069" t="s">
        <v>1289</v>
      </c>
    </row>
    <row r="24" spans="1:19" ht="14.25" customHeight="1" thickBot="1">
      <c r="A24" s="1075" t="s">
        <v>1153</v>
      </c>
      <c r="B24" s="1083" t="s">
        <v>1215</v>
      </c>
      <c r="C24" s="1069">
        <v>23070</v>
      </c>
      <c r="D24" s="1069">
        <v>24130</v>
      </c>
      <c r="E24" s="1069">
        <v>23860</v>
      </c>
      <c r="F24" s="1090"/>
      <c r="L24" s="1069" t="s">
        <v>1290</v>
      </c>
      <c r="M24" s="1069" t="s">
        <v>1291</v>
      </c>
      <c r="N24" s="1069" t="s">
        <v>1292</v>
      </c>
      <c r="O24" s="1069" t="s">
        <v>1293</v>
      </c>
      <c r="P24" s="1069" t="s">
        <v>1294</v>
      </c>
      <c r="Q24" s="1069" t="s">
        <v>1295</v>
      </c>
      <c r="R24" s="1069" t="s">
        <v>1296</v>
      </c>
    </row>
    <row r="25" spans="1:19" ht="14.25" customHeight="1" thickBot="1">
      <c r="A25" s="1075" t="s">
        <v>1153</v>
      </c>
      <c r="B25" s="1083" t="s">
        <v>1225</v>
      </c>
      <c r="C25" s="1069">
        <v>27550</v>
      </c>
      <c r="D25" s="1069">
        <v>25850</v>
      </c>
      <c r="E25" s="1069">
        <v>25340</v>
      </c>
      <c r="F25" s="1090"/>
      <c r="L25" s="1069" t="s">
        <v>1297</v>
      </c>
      <c r="M25" s="1069" t="s">
        <v>1298</v>
      </c>
      <c r="N25" s="1069" t="s">
        <v>1299</v>
      </c>
      <c r="O25" s="1069" t="s">
        <v>1300</v>
      </c>
      <c r="P25" s="1069" t="s">
        <v>1301</v>
      </c>
      <c r="Q25" s="1069" t="s">
        <v>1302</v>
      </c>
      <c r="R25" s="1069" t="s">
        <v>1303</v>
      </c>
    </row>
    <row r="26" spans="1:19" ht="14.25" customHeight="1" thickBot="1">
      <c r="A26" s="1075" t="s">
        <v>1153</v>
      </c>
      <c r="B26" s="1083" t="s">
        <v>1235</v>
      </c>
      <c r="C26" s="1069"/>
      <c r="D26" s="1069">
        <v>23900</v>
      </c>
      <c r="E26" s="1069">
        <v>23590</v>
      </c>
      <c r="F26" s="1090"/>
      <c r="L26" s="1069" t="s">
        <v>1304</v>
      </c>
      <c r="M26" s="1069" t="s">
        <v>1305</v>
      </c>
      <c r="N26" s="1069" t="s">
        <v>1306</v>
      </c>
      <c r="O26" s="1069" t="s">
        <v>1307</v>
      </c>
      <c r="P26" s="1069" t="s">
        <v>1308</v>
      </c>
      <c r="Q26" s="1069" t="s">
        <v>1309</v>
      </c>
      <c r="R26" s="1069" t="s">
        <v>1310</v>
      </c>
    </row>
    <row r="27" spans="1:19" ht="14.25" customHeight="1" thickBot="1">
      <c r="A27" s="1075" t="s">
        <v>1153</v>
      </c>
      <c r="B27" s="1083" t="s">
        <v>1245</v>
      </c>
      <c r="C27" s="1069"/>
      <c r="D27" s="1069">
        <v>22850</v>
      </c>
      <c r="E27" s="1069">
        <v>21920</v>
      </c>
      <c r="F27" s="1090"/>
      <c r="L27" s="1069" t="s">
        <v>1311</v>
      </c>
      <c r="M27" s="1069" t="s">
        <v>1312</v>
      </c>
      <c r="N27" s="1069" t="s">
        <v>1313</v>
      </c>
      <c r="O27" s="1069" t="s">
        <v>1314</v>
      </c>
      <c r="P27" s="1069" t="s">
        <v>1315</v>
      </c>
      <c r="Q27" s="1069" t="s">
        <v>1316</v>
      </c>
      <c r="R27" s="1069" t="s">
        <v>1317</v>
      </c>
    </row>
    <row r="28" spans="1:19" ht="14.25" customHeight="1" thickBot="1">
      <c r="A28" s="1092" t="s">
        <v>1153</v>
      </c>
      <c r="B28" s="1084" t="s">
        <v>1255</v>
      </c>
      <c r="C28" s="1085"/>
      <c r="D28" s="1085">
        <v>26610</v>
      </c>
      <c r="E28" s="1085">
        <v>26370</v>
      </c>
      <c r="F28" s="1086"/>
      <c r="L28" s="1069" t="s">
        <v>1318</v>
      </c>
      <c r="M28" s="1069" t="s">
        <v>1319</v>
      </c>
      <c r="N28" s="1069" t="s">
        <v>1320</v>
      </c>
      <c r="O28" s="1069" t="s">
        <v>1321</v>
      </c>
      <c r="P28" s="1069" t="s">
        <v>1322</v>
      </c>
      <c r="Q28" s="1069" t="s">
        <v>1323</v>
      </c>
    </row>
    <row r="29" spans="1:19" ht="14.25" customHeight="1" thickBot="1">
      <c r="A29" s="1075" t="s">
        <v>1324</v>
      </c>
      <c r="B29" s="1076" t="s">
        <v>1325</v>
      </c>
      <c r="C29" s="1076">
        <v>22090</v>
      </c>
      <c r="D29" s="1076">
        <v>21860</v>
      </c>
      <c r="E29" s="1076">
        <v>19380</v>
      </c>
      <c r="F29" s="1077">
        <v>6610</v>
      </c>
      <c r="M29" s="1069" t="s">
        <v>1326</v>
      </c>
      <c r="N29" s="1069" t="s">
        <v>1327</v>
      </c>
      <c r="O29" s="1069" t="s">
        <v>1328</v>
      </c>
      <c r="P29" s="1069" t="s">
        <v>1329</v>
      </c>
      <c r="Q29" s="1069" t="s">
        <v>1330</v>
      </c>
    </row>
    <row r="30" spans="1:19" ht="14.25" customHeight="1" thickBot="1">
      <c r="A30" s="1075" t="s">
        <v>1324</v>
      </c>
      <c r="B30" s="1083" t="s">
        <v>1070</v>
      </c>
      <c r="C30" s="1069">
        <v>21380</v>
      </c>
      <c r="D30" s="1069">
        <v>19930</v>
      </c>
      <c r="E30" s="1069">
        <v>19860</v>
      </c>
      <c r="F30" s="1087">
        <v>6010</v>
      </c>
      <c r="H30" s="1091"/>
      <c r="M30" s="1069" t="s">
        <v>1331</v>
      </c>
      <c r="N30" s="1069" t="s">
        <v>1332</v>
      </c>
      <c r="O30" s="1069" t="s">
        <v>1333</v>
      </c>
      <c r="P30" s="1069" t="s">
        <v>2417</v>
      </c>
      <c r="Q30" s="1069" t="s">
        <v>1334</v>
      </c>
    </row>
    <row r="31" spans="1:19" ht="14.25" customHeight="1" thickBot="1">
      <c r="A31" s="1075" t="s">
        <v>1324</v>
      </c>
      <c r="B31" s="1083" t="s">
        <v>1084</v>
      </c>
      <c r="C31" s="1069">
        <v>21670</v>
      </c>
      <c r="D31" s="1069">
        <v>20660</v>
      </c>
      <c r="E31" s="1069">
        <v>20290</v>
      </c>
      <c r="F31" s="1087">
        <v>5840</v>
      </c>
      <c r="H31" s="1091"/>
      <c r="M31" s="1069" t="s">
        <v>1335</v>
      </c>
      <c r="N31" s="1069" t="s">
        <v>1336</v>
      </c>
      <c r="O31" s="1069" t="s">
        <v>1337</v>
      </c>
      <c r="P31" s="1069" t="s">
        <v>1338</v>
      </c>
      <c r="Q31" s="1069" t="s">
        <v>1339</v>
      </c>
    </row>
    <row r="32" spans="1:19" ht="14.25" customHeight="1" thickBot="1">
      <c r="A32" s="1075" t="s">
        <v>1324</v>
      </c>
      <c r="B32" s="1083" t="s">
        <v>1097</v>
      </c>
      <c r="C32" s="1069">
        <v>22280</v>
      </c>
      <c r="D32" s="1069">
        <v>21800</v>
      </c>
      <c r="E32" s="1069">
        <v>17650</v>
      </c>
      <c r="F32" s="1087">
        <v>4690</v>
      </c>
      <c r="H32" s="1091"/>
      <c r="M32" s="1069" t="s">
        <v>1340</v>
      </c>
      <c r="N32" s="1069" t="s">
        <v>1341</v>
      </c>
      <c r="O32" s="1069" t="s">
        <v>1342</v>
      </c>
      <c r="P32" s="1069" t="s">
        <v>1343</v>
      </c>
      <c r="Q32" s="1069" t="s">
        <v>1344</v>
      </c>
    </row>
    <row r="33" spans="1:17" ht="14.25" customHeight="1" thickBot="1">
      <c r="A33" s="1075" t="s">
        <v>1324</v>
      </c>
      <c r="B33" s="1083" t="s">
        <v>1111</v>
      </c>
      <c r="C33" s="1069">
        <v>22130</v>
      </c>
      <c r="D33" s="1069">
        <v>20460</v>
      </c>
      <c r="E33" s="1069">
        <v>18500</v>
      </c>
      <c r="F33" s="1087">
        <v>5340</v>
      </c>
      <c r="H33" s="1091"/>
      <c r="M33" s="1069" t="s">
        <v>1345</v>
      </c>
      <c r="N33" s="1069" t="s">
        <v>1346</v>
      </c>
      <c r="O33" s="1069" t="s">
        <v>1347</v>
      </c>
      <c r="P33" s="1069" t="s">
        <v>1348</v>
      </c>
      <c r="Q33" s="1069" t="s">
        <v>1349</v>
      </c>
    </row>
    <row r="34" spans="1:17" ht="14.25" customHeight="1" thickBot="1">
      <c r="A34" s="1075" t="s">
        <v>1324</v>
      </c>
      <c r="B34" s="1083" t="s">
        <v>1122</v>
      </c>
      <c r="C34" s="1069">
        <v>22070</v>
      </c>
      <c r="D34" s="1069">
        <v>20110</v>
      </c>
      <c r="E34" s="1069">
        <v>18830</v>
      </c>
      <c r="F34" s="1087">
        <v>5190</v>
      </c>
      <c r="H34" s="1091"/>
      <c r="M34" s="1069" t="s">
        <v>1350</v>
      </c>
      <c r="N34" s="1069" t="s">
        <v>1351</v>
      </c>
      <c r="O34" s="1069" t="s">
        <v>1352</v>
      </c>
      <c r="P34" s="1069" t="s">
        <v>1353</v>
      </c>
      <c r="Q34" s="1069" t="s">
        <v>1354</v>
      </c>
    </row>
    <row r="35" spans="1:17" ht="14.25" customHeight="1" thickBot="1">
      <c r="A35" s="1075" t="s">
        <v>1324</v>
      </c>
      <c r="B35" s="1083" t="s">
        <v>1133</v>
      </c>
      <c r="C35" s="1069">
        <v>22240</v>
      </c>
      <c r="D35" s="1069">
        <v>19550</v>
      </c>
      <c r="E35" s="1069">
        <v>19220</v>
      </c>
      <c r="F35" s="1087">
        <v>5800</v>
      </c>
      <c r="H35" s="1091"/>
      <c r="M35" s="1069" t="s">
        <v>1355</v>
      </c>
      <c r="N35" s="1069" t="s">
        <v>1356</v>
      </c>
      <c r="O35" s="1069" t="s">
        <v>1357</v>
      </c>
      <c r="P35" s="1069" t="s">
        <v>1358</v>
      </c>
      <c r="Q35" s="1069" t="s">
        <v>1359</v>
      </c>
    </row>
    <row r="36" spans="1:17" ht="14.25" customHeight="1" thickBot="1">
      <c r="A36" s="1075" t="s">
        <v>1324</v>
      </c>
      <c r="B36" s="1083" t="s">
        <v>1144</v>
      </c>
      <c r="C36" s="1069">
        <v>19750</v>
      </c>
      <c r="D36" s="1069">
        <v>19790</v>
      </c>
      <c r="E36" s="1069">
        <v>18510</v>
      </c>
      <c r="F36" s="1087">
        <v>6520</v>
      </c>
      <c r="H36" s="1091"/>
      <c r="N36" s="1069" t="s">
        <v>1360</v>
      </c>
      <c r="O36" s="1069" t="s">
        <v>1361</v>
      </c>
      <c r="P36" s="1069" t="s">
        <v>1362</v>
      </c>
      <c r="Q36" s="1069" t="s">
        <v>1363</v>
      </c>
    </row>
    <row r="37" spans="1:17" ht="14.25" customHeight="1" thickBot="1">
      <c r="A37" s="1075" t="s">
        <v>1324</v>
      </c>
      <c r="B37" s="1083" t="s">
        <v>1156</v>
      </c>
      <c r="C37" s="1069">
        <v>22380</v>
      </c>
      <c r="D37" s="1069">
        <v>18530</v>
      </c>
      <c r="E37" s="1069">
        <v>17930</v>
      </c>
      <c r="F37" s="1087">
        <v>6270</v>
      </c>
      <c r="H37" s="1093"/>
      <c r="N37" s="1069" t="s">
        <v>1364</v>
      </c>
      <c r="O37" s="1069" t="s">
        <v>1365</v>
      </c>
      <c r="P37" s="1069" t="s">
        <v>1366</v>
      </c>
      <c r="Q37" s="1069" t="s">
        <v>1367</v>
      </c>
    </row>
    <row r="38" spans="1:17" ht="14.25" customHeight="1" thickBot="1">
      <c r="A38" s="1075" t="s">
        <v>1324</v>
      </c>
      <c r="B38" s="1083" t="s">
        <v>1166</v>
      </c>
      <c r="C38" s="1069">
        <v>20200</v>
      </c>
      <c r="D38" s="1069">
        <v>20070</v>
      </c>
      <c r="E38" s="1069">
        <v>19950</v>
      </c>
      <c r="F38" s="1087"/>
      <c r="H38" s="1094"/>
      <c r="N38" s="1069" t="s">
        <v>1368</v>
      </c>
      <c r="O38" s="1069" t="s">
        <v>1369</v>
      </c>
      <c r="P38" s="1069" t="s">
        <v>1370</v>
      </c>
      <c r="Q38" s="1069" t="s">
        <v>1371</v>
      </c>
    </row>
    <row r="39" spans="1:17" ht="14.25" customHeight="1" thickBot="1">
      <c r="A39" s="1075" t="s">
        <v>1324</v>
      </c>
      <c r="B39" s="1083" t="s">
        <v>1176</v>
      </c>
      <c r="C39" s="1069">
        <v>19300</v>
      </c>
      <c r="D39" s="1069">
        <v>20360</v>
      </c>
      <c r="E39" s="1069">
        <v>20230</v>
      </c>
      <c r="F39" s="1087"/>
      <c r="H39" s="1094"/>
      <c r="N39" s="1069" t="s">
        <v>1372</v>
      </c>
      <c r="O39" s="1069" t="s">
        <v>1373</v>
      </c>
      <c r="P39" s="1069" t="s">
        <v>1374</v>
      </c>
      <c r="Q39" s="1069" t="s">
        <v>1375</v>
      </c>
    </row>
    <row r="40" spans="1:17" ht="14.25" customHeight="1" thickBot="1">
      <c r="A40" s="1075" t="s">
        <v>1324</v>
      </c>
      <c r="B40" s="1083" t="s">
        <v>1186</v>
      </c>
      <c r="C40" s="1069">
        <v>20210</v>
      </c>
      <c r="D40" s="1069">
        <v>19060</v>
      </c>
      <c r="E40" s="1069">
        <v>18890</v>
      </c>
      <c r="F40" s="1087"/>
      <c r="H40" s="1094"/>
      <c r="N40" s="1069" t="s">
        <v>1376</v>
      </c>
      <c r="O40" s="1069" t="s">
        <v>1377</v>
      </c>
      <c r="P40" s="1069" t="s">
        <v>1378</v>
      </c>
      <c r="Q40" s="1069" t="s">
        <v>1379</v>
      </c>
    </row>
    <row r="41" spans="1:17" ht="14.25" customHeight="1" thickBot="1">
      <c r="A41" s="1075" t="s">
        <v>1324</v>
      </c>
      <c r="B41" s="1083" t="s">
        <v>1196</v>
      </c>
      <c r="C41" s="1069">
        <v>20560</v>
      </c>
      <c r="D41" s="1069">
        <v>21040</v>
      </c>
      <c r="E41" s="1069">
        <v>20740</v>
      </c>
      <c r="F41" s="1087"/>
      <c r="H41" s="1094"/>
      <c r="N41" s="1083" t="s">
        <v>1380</v>
      </c>
      <c r="O41" s="1083" t="s">
        <v>1381</v>
      </c>
      <c r="Q41" s="1083" t="s">
        <v>1382</v>
      </c>
    </row>
    <row r="42" spans="1:17" ht="14.25" customHeight="1" thickBot="1">
      <c r="A42" s="1075" t="s">
        <v>1324</v>
      </c>
      <c r="B42" s="1083" t="s">
        <v>1206</v>
      </c>
      <c r="C42" s="1069">
        <v>19280</v>
      </c>
      <c r="D42" s="1069">
        <v>22940</v>
      </c>
      <c r="E42" s="1069">
        <v>22500</v>
      </c>
      <c r="F42" s="1087"/>
      <c r="H42" s="1094"/>
      <c r="N42" s="1069" t="s">
        <v>1383</v>
      </c>
      <c r="O42" s="1069" t="s">
        <v>1384</v>
      </c>
      <c r="Q42" s="1069" t="s">
        <v>1385</v>
      </c>
    </row>
    <row r="43" spans="1:17" ht="14.25" customHeight="1" thickBot="1">
      <c r="A43" s="1075" t="s">
        <v>1324</v>
      </c>
      <c r="B43" s="1083" t="s">
        <v>1216</v>
      </c>
      <c r="C43" s="1069">
        <v>21520</v>
      </c>
      <c r="D43" s="1069">
        <v>19230</v>
      </c>
      <c r="E43" s="1069">
        <v>18540</v>
      </c>
      <c r="F43" s="1087"/>
      <c r="H43" s="1094"/>
      <c r="N43" s="1069" t="s">
        <v>1386</v>
      </c>
      <c r="O43" s="1069" t="s">
        <v>1387</v>
      </c>
      <c r="Q43" s="1069" t="s">
        <v>1388</v>
      </c>
    </row>
    <row r="44" spans="1:17" ht="14.25" customHeight="1" thickBot="1">
      <c r="A44" s="1075" t="s">
        <v>1324</v>
      </c>
      <c r="B44" s="1083" t="s">
        <v>1226</v>
      </c>
      <c r="C44" s="1069">
        <v>23260</v>
      </c>
      <c r="D44" s="1069">
        <v>21180</v>
      </c>
      <c r="E44" s="1069">
        <v>20730</v>
      </c>
      <c r="F44" s="1087"/>
      <c r="H44" s="1094"/>
      <c r="N44" s="1069" t="s">
        <v>1389</v>
      </c>
      <c r="O44" s="1069" t="s">
        <v>1390</v>
      </c>
      <c r="Q44" s="1069" t="s">
        <v>1391</v>
      </c>
    </row>
    <row r="45" spans="1:17" ht="14.25" customHeight="1" thickBot="1">
      <c r="A45" s="1075" t="s">
        <v>1324</v>
      </c>
      <c r="B45" s="1083" t="s">
        <v>1236</v>
      </c>
      <c r="C45" s="1069">
        <v>19610</v>
      </c>
      <c r="D45" s="1069">
        <v>18090</v>
      </c>
      <c r="E45" s="1069">
        <v>17970</v>
      </c>
      <c r="F45" s="1087"/>
      <c r="H45" s="1091"/>
      <c r="N45" s="1069" t="s">
        <v>1392</v>
      </c>
      <c r="O45" s="1069" t="s">
        <v>1393</v>
      </c>
      <c r="Q45" s="1069" t="s">
        <v>1394</v>
      </c>
    </row>
    <row r="46" spans="1:17" ht="14.25" customHeight="1" thickBot="1">
      <c r="A46" s="1075" t="s">
        <v>1324</v>
      </c>
      <c r="B46" s="1083" t="s">
        <v>1246</v>
      </c>
      <c r="C46" s="1069">
        <v>21660</v>
      </c>
      <c r="D46" s="1069">
        <v>19190</v>
      </c>
      <c r="E46" s="1069">
        <v>19790</v>
      </c>
      <c r="F46" s="1087"/>
      <c r="H46" s="1094"/>
      <c r="N46" s="1069" t="s">
        <v>1395</v>
      </c>
      <c r="O46" s="1069" t="s">
        <v>1396</v>
      </c>
      <c r="Q46" s="1069" t="s">
        <v>1397</v>
      </c>
    </row>
    <row r="47" spans="1:17" ht="14.25" customHeight="1" thickBot="1">
      <c r="A47" s="1075" t="s">
        <v>1324</v>
      </c>
      <c r="B47" s="1083" t="s">
        <v>1256</v>
      </c>
      <c r="C47" s="1069">
        <v>18220</v>
      </c>
      <c r="D47" s="1069"/>
      <c r="E47" s="1069">
        <v>17220</v>
      </c>
      <c r="F47" s="1087"/>
      <c r="H47" s="1094"/>
      <c r="N47" s="1069" t="s">
        <v>1398</v>
      </c>
      <c r="O47" s="1069" t="s">
        <v>1399</v>
      </c>
    </row>
    <row r="48" spans="1:17" ht="14.25" customHeight="1" thickBot="1">
      <c r="A48" s="1075" t="s">
        <v>1324</v>
      </c>
      <c r="B48" s="1084" t="s">
        <v>1265</v>
      </c>
      <c r="C48" s="1085">
        <v>19430</v>
      </c>
      <c r="D48" s="1085"/>
      <c r="E48" s="1085">
        <v>17830</v>
      </c>
      <c r="F48" s="1095"/>
      <c r="H48" s="1091"/>
      <c r="N48" s="1069" t="s">
        <v>1400</v>
      </c>
      <c r="O48" s="1069" t="s">
        <v>1401</v>
      </c>
    </row>
    <row r="49" spans="1:15" ht="14.25" customHeight="1" thickBot="1">
      <c r="A49" s="1075" t="s">
        <v>923</v>
      </c>
      <c r="B49" s="1076" t="s">
        <v>1402</v>
      </c>
      <c r="C49" s="1076">
        <v>17090</v>
      </c>
      <c r="D49" s="1076">
        <v>16950</v>
      </c>
      <c r="E49" s="1076">
        <v>16310</v>
      </c>
      <c r="F49" s="1077">
        <v>4540</v>
      </c>
      <c r="H49" s="1094"/>
      <c r="N49" s="1069" t="s">
        <v>1403</v>
      </c>
      <c r="O49" s="1069" t="s">
        <v>1404</v>
      </c>
    </row>
    <row r="50" spans="1:15" ht="14.25" customHeight="1" thickBot="1">
      <c r="A50" s="1075" t="s">
        <v>923</v>
      </c>
      <c r="B50" s="1069" t="s">
        <v>1071</v>
      </c>
      <c r="C50" s="1069">
        <v>19040</v>
      </c>
      <c r="D50" s="1069">
        <v>16960</v>
      </c>
      <c r="E50" s="1069">
        <v>14800</v>
      </c>
      <c r="F50" s="1087">
        <v>3940</v>
      </c>
      <c r="H50" s="1094"/>
    </row>
    <row r="51" spans="1:15" ht="14.25" customHeight="1" thickBot="1">
      <c r="A51" s="1075" t="s">
        <v>923</v>
      </c>
      <c r="B51" s="1069" t="s">
        <v>1085</v>
      </c>
      <c r="C51" s="1069">
        <v>17040</v>
      </c>
      <c r="D51" s="1069">
        <v>16930</v>
      </c>
      <c r="E51" s="1069">
        <v>15030</v>
      </c>
      <c r="F51" s="1087">
        <v>4120</v>
      </c>
      <c r="H51" s="1094"/>
    </row>
    <row r="52" spans="1:15" ht="14.25" customHeight="1" thickBot="1">
      <c r="A52" s="1075" t="s">
        <v>923</v>
      </c>
      <c r="B52" s="1069" t="s">
        <v>1098</v>
      </c>
      <c r="C52" s="1069">
        <v>17110</v>
      </c>
      <c r="D52" s="1069">
        <v>17750</v>
      </c>
      <c r="E52" s="1069">
        <v>17310</v>
      </c>
      <c r="F52" s="1087">
        <v>3220</v>
      </c>
      <c r="H52" s="1094"/>
    </row>
    <row r="53" spans="1:15" ht="14.25" customHeight="1" thickBot="1">
      <c r="A53" s="1075" t="s">
        <v>923</v>
      </c>
      <c r="B53" s="1069" t="s">
        <v>1112</v>
      </c>
      <c r="C53" s="1069">
        <v>17810</v>
      </c>
      <c r="D53" s="1069">
        <v>17260</v>
      </c>
      <c r="E53" s="1069">
        <v>17090</v>
      </c>
      <c r="F53" s="1087">
        <v>3520</v>
      </c>
      <c r="H53" s="1094"/>
    </row>
    <row r="54" spans="1:15" ht="14.25" customHeight="1" thickBot="1">
      <c r="A54" s="1075" t="s">
        <v>923</v>
      </c>
      <c r="B54" s="1069" t="s">
        <v>1123</v>
      </c>
      <c r="C54" s="1069">
        <v>17410</v>
      </c>
      <c r="D54" s="1069">
        <v>16780</v>
      </c>
      <c r="E54" s="1069">
        <v>16370</v>
      </c>
      <c r="F54" s="1087">
        <v>3410</v>
      </c>
      <c r="H54" s="1094"/>
    </row>
    <row r="55" spans="1:15" ht="14.25" customHeight="1" thickBot="1">
      <c r="A55" s="1075" t="s">
        <v>923</v>
      </c>
      <c r="B55" s="1069" t="s">
        <v>1134</v>
      </c>
      <c r="C55" s="1069">
        <v>16930</v>
      </c>
      <c r="D55" s="1069">
        <v>14720</v>
      </c>
      <c r="E55" s="1069">
        <v>15000</v>
      </c>
      <c r="F55" s="1087">
        <v>3710</v>
      </c>
      <c r="H55" s="1094"/>
    </row>
    <row r="56" spans="1:15" ht="14.25" customHeight="1" thickBot="1">
      <c r="A56" s="1075" t="s">
        <v>923</v>
      </c>
      <c r="B56" s="1069" t="s">
        <v>1145</v>
      </c>
      <c r="C56" s="1069">
        <v>14930</v>
      </c>
      <c r="D56" s="1069">
        <v>15850</v>
      </c>
      <c r="E56" s="1069">
        <v>14320</v>
      </c>
      <c r="F56" s="1087">
        <v>3960</v>
      </c>
      <c r="H56" s="1094"/>
    </row>
    <row r="57" spans="1:15" ht="14.25" customHeight="1" thickBot="1">
      <c r="A57" s="1075" t="s">
        <v>923</v>
      </c>
      <c r="B57" s="1069" t="s">
        <v>1157</v>
      </c>
      <c r="C57" s="1069">
        <v>16160</v>
      </c>
      <c r="D57" s="1069">
        <v>16190</v>
      </c>
      <c r="E57" s="1069">
        <v>15650</v>
      </c>
      <c r="F57" s="1087">
        <v>4200</v>
      </c>
      <c r="H57" s="1094"/>
    </row>
    <row r="58" spans="1:15" ht="14.25" customHeight="1" thickBot="1">
      <c r="A58" s="1075" t="s">
        <v>923</v>
      </c>
      <c r="B58" s="1069" t="s">
        <v>1167</v>
      </c>
      <c r="C58" s="1069">
        <v>16360</v>
      </c>
      <c r="D58" s="1069">
        <v>14050</v>
      </c>
      <c r="E58" s="1069">
        <v>16070</v>
      </c>
      <c r="F58" s="1087">
        <v>3990</v>
      </c>
      <c r="H58" s="1094"/>
    </row>
    <row r="59" spans="1:15" ht="14.25" customHeight="1" thickBot="1">
      <c r="A59" s="1075" t="s">
        <v>923</v>
      </c>
      <c r="B59" s="1069" t="s">
        <v>1177</v>
      </c>
      <c r="C59" s="1069">
        <v>14160</v>
      </c>
      <c r="D59" s="1069">
        <v>16620</v>
      </c>
      <c r="E59" s="1069">
        <v>13940</v>
      </c>
      <c r="F59" s="1087">
        <v>4260</v>
      </c>
      <c r="H59" s="1094"/>
    </row>
    <row r="60" spans="1:15" ht="14.25" customHeight="1" thickBot="1">
      <c r="A60" s="1075" t="s">
        <v>923</v>
      </c>
      <c r="B60" s="1069" t="s">
        <v>1187</v>
      </c>
      <c r="C60" s="1069">
        <v>16750</v>
      </c>
      <c r="D60" s="1069">
        <v>13910</v>
      </c>
      <c r="E60" s="1069">
        <v>16550</v>
      </c>
      <c r="F60" s="1087">
        <v>4550</v>
      </c>
      <c r="H60" s="1094"/>
    </row>
    <row r="61" spans="1:15" ht="14.25" customHeight="1" thickBot="1">
      <c r="A61" s="1075" t="s">
        <v>923</v>
      </c>
      <c r="B61" s="1069" t="s">
        <v>1197</v>
      </c>
      <c r="C61" s="1069">
        <v>14000</v>
      </c>
      <c r="D61" s="1069">
        <v>14550</v>
      </c>
      <c r="E61" s="1069">
        <v>13860</v>
      </c>
      <c r="F61" s="1096"/>
      <c r="H61" s="1094"/>
    </row>
    <row r="62" spans="1:15" ht="14.25" customHeight="1" thickBot="1">
      <c r="A62" s="1075" t="s">
        <v>923</v>
      </c>
      <c r="B62" s="1069" t="s">
        <v>1207</v>
      </c>
      <c r="C62" s="1069">
        <v>14660</v>
      </c>
      <c r="D62" s="1069">
        <v>17450</v>
      </c>
      <c r="E62" s="1069">
        <v>14470</v>
      </c>
      <c r="F62" s="1096"/>
      <c r="H62" s="1094"/>
    </row>
    <row r="63" spans="1:15" ht="14.25" customHeight="1" thickBot="1">
      <c r="A63" s="1075" t="s">
        <v>923</v>
      </c>
      <c r="B63" s="1069" t="s">
        <v>1217</v>
      </c>
      <c r="C63" s="1069">
        <v>17610</v>
      </c>
      <c r="D63" s="1069">
        <v>16500</v>
      </c>
      <c r="E63" s="1069">
        <v>17330</v>
      </c>
      <c r="F63" s="1096"/>
      <c r="H63" s="1094"/>
    </row>
    <row r="64" spans="1:15" ht="14.25" customHeight="1" thickBot="1">
      <c r="A64" s="1075" t="s">
        <v>923</v>
      </c>
      <c r="B64" s="1069" t="s">
        <v>1227</v>
      </c>
      <c r="C64" s="1069">
        <v>16590</v>
      </c>
      <c r="D64" s="1069">
        <v>15130</v>
      </c>
      <c r="E64" s="1069">
        <v>16420</v>
      </c>
      <c r="F64" s="1096"/>
      <c r="H64" s="1094"/>
    </row>
    <row r="65" spans="1:8" s="1063" customFormat="1" ht="14.25" customHeight="1" thickBot="1">
      <c r="A65" s="1075" t="s">
        <v>923</v>
      </c>
      <c r="B65" s="1069" t="s">
        <v>1237</v>
      </c>
      <c r="C65" s="1069">
        <v>15220</v>
      </c>
      <c r="D65" s="1069">
        <v>14660</v>
      </c>
      <c r="E65" s="1069">
        <v>15060</v>
      </c>
      <c r="F65" s="1087"/>
      <c r="H65" s="1094"/>
    </row>
    <row r="66" spans="1:8" s="1063" customFormat="1" ht="14.25" customHeight="1" thickBot="1">
      <c r="A66" s="1075" t="s">
        <v>923</v>
      </c>
      <c r="B66" s="1069" t="s">
        <v>1247</v>
      </c>
      <c r="C66" s="1069">
        <v>14720</v>
      </c>
      <c r="D66" s="1069">
        <v>15970</v>
      </c>
      <c r="E66" s="1069">
        <v>14610</v>
      </c>
      <c r="F66" s="1087"/>
      <c r="H66" s="1094"/>
    </row>
    <row r="67" spans="1:8" s="1063" customFormat="1" ht="14.25" customHeight="1" thickBot="1">
      <c r="A67" s="1075" t="s">
        <v>923</v>
      </c>
      <c r="B67" s="1069" t="s">
        <v>1257</v>
      </c>
      <c r="C67" s="1069">
        <v>16080</v>
      </c>
      <c r="D67" s="1069">
        <v>14840</v>
      </c>
      <c r="E67" s="1069">
        <v>15630</v>
      </c>
      <c r="F67" s="1087"/>
      <c r="H67" s="1094"/>
    </row>
    <row r="68" spans="1:8" s="1063" customFormat="1" ht="14.25" customHeight="1" thickBot="1">
      <c r="A68" s="1075" t="s">
        <v>923</v>
      </c>
      <c r="B68" s="1069" t="s">
        <v>1266</v>
      </c>
      <c r="C68" s="1069">
        <v>14940</v>
      </c>
      <c r="D68" s="1069">
        <v>18000</v>
      </c>
      <c r="E68" s="1069">
        <v>14040</v>
      </c>
      <c r="F68" s="1087"/>
      <c r="H68" s="1094"/>
    </row>
    <row r="69" spans="1:8" s="1063" customFormat="1" ht="14.25" customHeight="1" thickBot="1">
      <c r="A69" s="1075" t="s">
        <v>923</v>
      </c>
      <c r="B69" s="1069" t="s">
        <v>1275</v>
      </c>
      <c r="C69" s="1069">
        <v>18810</v>
      </c>
      <c r="D69" s="1069">
        <v>15100</v>
      </c>
      <c r="E69" s="1069">
        <v>14710</v>
      </c>
      <c r="F69" s="1087"/>
      <c r="H69" s="1094"/>
    </row>
    <row r="70" spans="1:8" s="1063" customFormat="1" ht="14.25" customHeight="1" thickBot="1">
      <c r="A70" s="1075" t="s">
        <v>923</v>
      </c>
      <c r="B70" s="1069" t="s">
        <v>1283</v>
      </c>
      <c r="C70" s="1069">
        <v>18270</v>
      </c>
      <c r="D70" s="1069"/>
      <c r="E70" s="1069"/>
      <c r="F70" s="1087"/>
      <c r="H70" s="1094"/>
    </row>
    <row r="71" spans="1:8" s="1063" customFormat="1" ht="14.25" customHeight="1" thickBot="1">
      <c r="A71" s="1075" t="s">
        <v>923</v>
      </c>
      <c r="B71" s="1069" t="s">
        <v>1290</v>
      </c>
      <c r="C71" s="1069">
        <v>15230</v>
      </c>
      <c r="D71" s="1069"/>
      <c r="E71" s="1069"/>
      <c r="F71" s="1087"/>
      <c r="H71" s="1094"/>
    </row>
    <row r="72" spans="1:8" s="1063" customFormat="1" ht="14.25" customHeight="1" thickBot="1">
      <c r="A72" s="1075" t="s">
        <v>923</v>
      </c>
      <c r="B72" s="1069" t="s">
        <v>1297</v>
      </c>
      <c r="C72" s="1069"/>
      <c r="D72" s="1069"/>
      <c r="E72" s="1069"/>
      <c r="F72" s="1087">
        <v>4120</v>
      </c>
      <c r="H72" s="1094"/>
    </row>
    <row r="73" spans="1:8" s="1063" customFormat="1" ht="14.25" customHeight="1" thickBot="1">
      <c r="A73" s="1075" t="s">
        <v>923</v>
      </c>
      <c r="B73" s="1069" t="s">
        <v>1304</v>
      </c>
      <c r="C73" s="1069"/>
      <c r="D73" s="1069"/>
      <c r="E73" s="1069"/>
      <c r="F73" s="1087">
        <v>3930</v>
      </c>
      <c r="H73" s="1094"/>
    </row>
    <row r="74" spans="1:8" s="1063" customFormat="1" ht="14.25" customHeight="1" thickBot="1">
      <c r="A74" s="1075" t="s">
        <v>923</v>
      </c>
      <c r="B74" s="1069" t="s">
        <v>1311</v>
      </c>
      <c r="C74" s="1069"/>
      <c r="D74" s="1069"/>
      <c r="E74" s="1069"/>
      <c r="F74" s="1087">
        <v>4060</v>
      </c>
      <c r="H74" s="1094"/>
    </row>
    <row r="75" spans="1:8" s="1063" customFormat="1" ht="14.25" customHeight="1" thickBot="1">
      <c r="A75" s="1075" t="s">
        <v>923</v>
      </c>
      <c r="B75" s="1085" t="s">
        <v>1318</v>
      </c>
      <c r="C75" s="1085"/>
      <c r="D75" s="1085"/>
      <c r="E75" s="1085"/>
      <c r="F75" s="1095">
        <v>3750</v>
      </c>
      <c r="H75" s="1094"/>
    </row>
    <row r="76" spans="1:8" s="1063" customFormat="1" ht="14.25" customHeight="1" thickBot="1">
      <c r="A76" s="1075" t="s">
        <v>1405</v>
      </c>
      <c r="B76" s="1076" t="s">
        <v>1406</v>
      </c>
      <c r="C76" s="1076">
        <v>14690</v>
      </c>
      <c r="D76" s="1076">
        <v>14640</v>
      </c>
      <c r="E76" s="1076">
        <v>14590</v>
      </c>
      <c r="F76" s="1077">
        <v>3060</v>
      </c>
      <c r="H76" s="1094"/>
    </row>
    <row r="77" spans="1:8" s="1063" customFormat="1" ht="14.25" customHeight="1" thickBot="1">
      <c r="A77" s="1075" t="s">
        <v>1405</v>
      </c>
      <c r="B77" s="1069" t="s">
        <v>1072</v>
      </c>
      <c r="C77" s="1069">
        <v>12550</v>
      </c>
      <c r="D77" s="1069">
        <v>12480</v>
      </c>
      <c r="E77" s="1069">
        <v>12450</v>
      </c>
      <c r="F77" s="1087">
        <v>2590</v>
      </c>
      <c r="H77" s="1094"/>
    </row>
    <row r="78" spans="1:8" s="1063" customFormat="1" ht="14.25" customHeight="1" thickBot="1">
      <c r="A78" s="1075" t="s">
        <v>1405</v>
      </c>
      <c r="B78" s="1069" t="s">
        <v>1086</v>
      </c>
      <c r="C78" s="1069">
        <v>14360</v>
      </c>
      <c r="D78" s="1069">
        <v>14320</v>
      </c>
      <c r="E78" s="1069">
        <v>12510</v>
      </c>
      <c r="F78" s="1087">
        <v>2700</v>
      </c>
      <c r="H78" s="1094"/>
    </row>
    <row r="79" spans="1:8" s="1063" customFormat="1" ht="14.25" customHeight="1" thickBot="1">
      <c r="A79" s="1075" t="s">
        <v>1405</v>
      </c>
      <c r="B79" s="1069" t="s">
        <v>1099</v>
      </c>
      <c r="C79" s="1069">
        <v>12590</v>
      </c>
      <c r="D79" s="1069">
        <v>12540</v>
      </c>
      <c r="E79" s="1069">
        <v>12350</v>
      </c>
      <c r="F79" s="1087">
        <v>2740</v>
      </c>
      <c r="H79" s="1094"/>
    </row>
    <row r="80" spans="1:8" s="1063" customFormat="1" ht="14.25" customHeight="1" thickBot="1">
      <c r="A80" s="1075" t="s">
        <v>1405</v>
      </c>
      <c r="B80" s="1069" t="s">
        <v>1113</v>
      </c>
      <c r="C80" s="1069">
        <v>12450</v>
      </c>
      <c r="D80" s="1069">
        <v>12370</v>
      </c>
      <c r="E80" s="1069">
        <v>10790</v>
      </c>
      <c r="F80" s="1087">
        <v>2290</v>
      </c>
      <c r="H80" s="1094"/>
    </row>
    <row r="81" spans="1:8" s="1063" customFormat="1" ht="14.25" customHeight="1" thickBot="1">
      <c r="A81" s="1075" t="s">
        <v>1405</v>
      </c>
      <c r="B81" s="1069" t="s">
        <v>1124</v>
      </c>
      <c r="C81" s="1069">
        <v>14210</v>
      </c>
      <c r="D81" s="1069">
        <v>14150</v>
      </c>
      <c r="E81" s="1069">
        <v>12730</v>
      </c>
      <c r="F81" s="1087">
        <v>2240</v>
      </c>
      <c r="H81" s="1094"/>
    </row>
    <row r="82" spans="1:8" s="1063" customFormat="1" ht="14.25" customHeight="1" thickBot="1">
      <c r="A82" s="1075" t="s">
        <v>1405</v>
      </c>
      <c r="B82" s="1069" t="s">
        <v>1135</v>
      </c>
      <c r="C82" s="1069">
        <v>10860</v>
      </c>
      <c r="D82" s="1069">
        <v>10820</v>
      </c>
      <c r="E82" s="1069">
        <v>14720</v>
      </c>
      <c r="F82" s="1087">
        <v>2490</v>
      </c>
      <c r="H82" s="1094"/>
    </row>
    <row r="83" spans="1:8" s="1063" customFormat="1" ht="14.25" customHeight="1" thickBot="1">
      <c r="A83" s="1075" t="s">
        <v>1405</v>
      </c>
      <c r="B83" s="1069" t="s">
        <v>1146</v>
      </c>
      <c r="C83" s="1069">
        <v>12810</v>
      </c>
      <c r="D83" s="1069">
        <v>12760</v>
      </c>
      <c r="E83" s="1069">
        <v>14830</v>
      </c>
      <c r="F83" s="1087">
        <v>2450</v>
      </c>
      <c r="H83" s="1094"/>
    </row>
    <row r="84" spans="1:8" s="1063" customFormat="1" ht="14.25" customHeight="1" thickBot="1">
      <c r="A84" s="1075" t="s">
        <v>1405</v>
      </c>
      <c r="B84" s="1069" t="s">
        <v>1158</v>
      </c>
      <c r="C84" s="1069">
        <v>14950</v>
      </c>
      <c r="D84" s="1069">
        <v>14810</v>
      </c>
      <c r="E84" s="1069">
        <v>12590</v>
      </c>
      <c r="F84" s="1087">
        <v>2540</v>
      </c>
      <c r="H84" s="1094"/>
    </row>
    <row r="85" spans="1:8" s="1063" customFormat="1" ht="14.25" customHeight="1" thickBot="1">
      <c r="A85" s="1075" t="s">
        <v>1405</v>
      </c>
      <c r="B85" s="1069" t="s">
        <v>1168</v>
      </c>
      <c r="C85" s="1069">
        <v>14960</v>
      </c>
      <c r="D85" s="1069">
        <v>14890</v>
      </c>
      <c r="E85" s="1069">
        <v>12840</v>
      </c>
      <c r="F85" s="1087">
        <v>2840</v>
      </c>
      <c r="H85" s="1094"/>
    </row>
    <row r="86" spans="1:8" s="1063" customFormat="1" ht="14.25" customHeight="1" thickBot="1">
      <c r="A86" s="1075" t="s">
        <v>1405</v>
      </c>
      <c r="B86" s="1069" t="s">
        <v>1178</v>
      </c>
      <c r="C86" s="1069">
        <v>12730</v>
      </c>
      <c r="D86" s="1069">
        <v>12660</v>
      </c>
      <c r="E86" s="1069">
        <v>13310</v>
      </c>
      <c r="F86" s="1087">
        <v>3140</v>
      </c>
      <c r="H86" s="1094"/>
    </row>
    <row r="87" spans="1:8" s="1063" customFormat="1" ht="14.25" customHeight="1" thickBot="1">
      <c r="A87" s="1075" t="s">
        <v>1405</v>
      </c>
      <c r="B87" s="1069" t="s">
        <v>1188</v>
      </c>
      <c r="C87" s="1069">
        <v>12940</v>
      </c>
      <c r="D87" s="1069">
        <v>12890</v>
      </c>
      <c r="E87" s="1069">
        <v>11580</v>
      </c>
      <c r="F87" s="1096"/>
      <c r="H87" s="1094"/>
    </row>
    <row r="88" spans="1:8" s="1063" customFormat="1" ht="14.25" customHeight="1" thickBot="1">
      <c r="A88" s="1075" t="s">
        <v>1405</v>
      </c>
      <c r="B88" s="1069" t="s">
        <v>1198</v>
      </c>
      <c r="C88" s="1069">
        <v>13430</v>
      </c>
      <c r="D88" s="1069">
        <v>13360</v>
      </c>
      <c r="E88" s="1069">
        <v>12790</v>
      </c>
      <c r="F88" s="1096"/>
      <c r="H88" s="1094"/>
    </row>
    <row r="89" spans="1:8" s="1063" customFormat="1" ht="14.25" customHeight="1" thickBot="1">
      <c r="A89" s="1075" t="s">
        <v>1405</v>
      </c>
      <c r="B89" s="1069" t="s">
        <v>1208</v>
      </c>
      <c r="C89" s="1069">
        <v>11680</v>
      </c>
      <c r="D89" s="1069">
        <v>11630</v>
      </c>
      <c r="E89" s="1069">
        <v>11320</v>
      </c>
      <c r="F89" s="1096"/>
      <c r="H89" s="1094"/>
    </row>
    <row r="90" spans="1:8" s="1063" customFormat="1" ht="14.25" customHeight="1" thickBot="1">
      <c r="A90" s="1075" t="s">
        <v>1405</v>
      </c>
      <c r="B90" s="1069" t="s">
        <v>1218</v>
      </c>
      <c r="C90" s="1069">
        <v>12890</v>
      </c>
      <c r="D90" s="1069">
        <v>12820</v>
      </c>
      <c r="E90" s="1069">
        <v>12710</v>
      </c>
      <c r="F90" s="1096"/>
      <c r="H90" s="1094"/>
    </row>
    <row r="91" spans="1:8" s="1063" customFormat="1" ht="14.25" customHeight="1" thickBot="1">
      <c r="A91" s="1075" t="s">
        <v>1405</v>
      </c>
      <c r="B91" s="1069" t="s">
        <v>1228</v>
      </c>
      <c r="C91" s="1069">
        <v>11410</v>
      </c>
      <c r="D91" s="1069">
        <v>11360</v>
      </c>
      <c r="E91" s="1069">
        <v>12670</v>
      </c>
      <c r="F91" s="1096"/>
      <c r="H91" s="1094"/>
    </row>
    <row r="92" spans="1:8" s="1063" customFormat="1" ht="14.25" customHeight="1" thickBot="1">
      <c r="A92" s="1075" t="s">
        <v>1405</v>
      </c>
      <c r="B92" s="1069" t="s">
        <v>1238</v>
      </c>
      <c r="C92" s="1069">
        <v>12770</v>
      </c>
      <c r="D92" s="1069">
        <v>12740</v>
      </c>
      <c r="E92" s="1069">
        <v>11970</v>
      </c>
      <c r="F92" s="1096"/>
      <c r="H92" s="1094"/>
    </row>
    <row r="93" spans="1:8" s="1063" customFormat="1" ht="14.25" customHeight="1" thickBot="1">
      <c r="A93" s="1075" t="s">
        <v>1405</v>
      </c>
      <c r="B93" s="1069" t="s">
        <v>1248</v>
      </c>
      <c r="C93" s="1069">
        <v>12740</v>
      </c>
      <c r="D93" s="1069">
        <v>12700</v>
      </c>
      <c r="E93" s="1069">
        <v>12540</v>
      </c>
      <c r="F93" s="1096"/>
      <c r="H93" s="1094"/>
    </row>
    <row r="94" spans="1:8" s="1063" customFormat="1" ht="14.25" customHeight="1" thickBot="1">
      <c r="A94" s="1075" t="s">
        <v>1405</v>
      </c>
      <c r="B94" s="1069" t="s">
        <v>1258</v>
      </c>
      <c r="C94" s="1069">
        <v>12020</v>
      </c>
      <c r="D94" s="1069">
        <v>11990</v>
      </c>
      <c r="E94" s="1069">
        <v>13110</v>
      </c>
      <c r="F94" s="1096"/>
      <c r="H94" s="1094"/>
    </row>
    <row r="95" spans="1:8" s="1063" customFormat="1" ht="14.25" customHeight="1" thickBot="1">
      <c r="A95" s="1075" t="s">
        <v>1405</v>
      </c>
      <c r="B95" s="1069" t="s">
        <v>1267</v>
      </c>
      <c r="C95" s="1069">
        <v>12620</v>
      </c>
      <c r="D95" s="1069">
        <v>12580</v>
      </c>
      <c r="E95" s="1069">
        <v>13160</v>
      </c>
      <c r="F95" s="1087"/>
      <c r="H95" s="1094"/>
    </row>
    <row r="96" spans="1:8" s="1063" customFormat="1" ht="14.25" customHeight="1" thickBot="1">
      <c r="A96" s="1075" t="s">
        <v>1405</v>
      </c>
      <c r="B96" s="1069" t="s">
        <v>1276</v>
      </c>
      <c r="C96" s="1069">
        <v>13200</v>
      </c>
      <c r="D96" s="1069">
        <v>13150</v>
      </c>
      <c r="E96" s="1069">
        <v>12900</v>
      </c>
      <c r="F96" s="1087"/>
      <c r="H96" s="1094"/>
    </row>
    <row r="97" spans="1:8" s="1063" customFormat="1" ht="14.25" customHeight="1" thickBot="1">
      <c r="A97" s="1075" t="s">
        <v>1405</v>
      </c>
      <c r="B97" s="1069" t="s">
        <v>1284</v>
      </c>
      <c r="C97" s="1069">
        <v>13270</v>
      </c>
      <c r="D97" s="1069">
        <v>13210</v>
      </c>
      <c r="E97" s="1069">
        <v>11080</v>
      </c>
      <c r="F97" s="1087"/>
      <c r="H97" s="1094"/>
    </row>
    <row r="98" spans="1:8" s="1063" customFormat="1" ht="14.25" customHeight="1" thickBot="1">
      <c r="A98" s="1075" t="s">
        <v>1405</v>
      </c>
      <c r="B98" s="1069" t="s">
        <v>1291</v>
      </c>
      <c r="C98" s="1069">
        <v>13010</v>
      </c>
      <c r="D98" s="1069">
        <v>12930</v>
      </c>
      <c r="E98" s="1069">
        <v>12840</v>
      </c>
      <c r="F98" s="1087"/>
      <c r="H98" s="1094"/>
    </row>
    <row r="99" spans="1:8" s="1063" customFormat="1" ht="14.25" customHeight="1" thickBot="1">
      <c r="A99" s="1075" t="s">
        <v>1405</v>
      </c>
      <c r="B99" s="1069" t="s">
        <v>1298</v>
      </c>
      <c r="C99" s="1069">
        <v>11190</v>
      </c>
      <c r="D99" s="1069">
        <v>11130</v>
      </c>
      <c r="E99" s="1069"/>
      <c r="F99" s="1087"/>
      <c r="H99" s="1094"/>
    </row>
    <row r="100" spans="1:8" s="1063" customFormat="1" ht="14.25" customHeight="1" thickBot="1">
      <c r="A100" s="1075" t="s">
        <v>1405</v>
      </c>
      <c r="B100" s="1069" t="s">
        <v>1305</v>
      </c>
      <c r="C100" s="1069">
        <v>14280</v>
      </c>
      <c r="D100" s="1069">
        <v>14180</v>
      </c>
      <c r="E100" s="1069"/>
      <c r="F100" s="1087"/>
      <c r="H100" s="1094"/>
    </row>
    <row r="101" spans="1:8" s="1063" customFormat="1" ht="14.25" customHeight="1" thickBot="1">
      <c r="A101" s="1075" t="s">
        <v>1405</v>
      </c>
      <c r="B101" s="1069" t="s">
        <v>1312</v>
      </c>
      <c r="C101" s="1069">
        <v>12960</v>
      </c>
      <c r="D101" s="1069">
        <v>12890</v>
      </c>
      <c r="E101" s="1069"/>
      <c r="F101" s="1087"/>
      <c r="H101" s="1094"/>
    </row>
    <row r="102" spans="1:8" s="1063" customFormat="1" ht="14.25" customHeight="1" thickBot="1">
      <c r="A102" s="1075" t="s">
        <v>1405</v>
      </c>
      <c r="B102" s="1069" t="s">
        <v>1319</v>
      </c>
      <c r="C102" s="1069"/>
      <c r="D102" s="1069"/>
      <c r="E102" s="1069"/>
      <c r="F102" s="1087">
        <v>3100</v>
      </c>
      <c r="H102" s="1094"/>
    </row>
    <row r="103" spans="1:8" s="1063" customFormat="1" ht="14.25" customHeight="1" thickBot="1">
      <c r="A103" s="1075" t="s">
        <v>1405</v>
      </c>
      <c r="B103" s="1069" t="s">
        <v>1326</v>
      </c>
      <c r="C103" s="1069"/>
      <c r="D103" s="1069"/>
      <c r="E103" s="1069"/>
      <c r="F103" s="1087">
        <v>2320</v>
      </c>
      <c r="H103" s="1094"/>
    </row>
    <row r="104" spans="1:8" s="1063" customFormat="1" ht="14.25" customHeight="1" thickBot="1">
      <c r="A104" s="1075" t="s">
        <v>1405</v>
      </c>
      <c r="B104" s="1069" t="s">
        <v>1331</v>
      </c>
      <c r="C104" s="1069"/>
      <c r="D104" s="1069"/>
      <c r="E104" s="1069"/>
      <c r="F104" s="1087">
        <v>2320</v>
      </c>
      <c r="H104" s="1094"/>
    </row>
    <row r="105" spans="1:8" s="1063" customFormat="1" ht="14.25" customHeight="1" thickBot="1">
      <c r="A105" s="1075" t="s">
        <v>1405</v>
      </c>
      <c r="B105" s="1069" t="s">
        <v>1335</v>
      </c>
      <c r="C105" s="1069"/>
      <c r="D105" s="1069"/>
      <c r="E105" s="1069"/>
      <c r="F105" s="1087">
        <v>2320</v>
      </c>
      <c r="H105" s="1094"/>
    </row>
    <row r="106" spans="1:8" s="1063" customFormat="1" ht="14.25" customHeight="1" thickBot="1">
      <c r="A106" s="1075" t="s">
        <v>1405</v>
      </c>
      <c r="B106" s="1069" t="s">
        <v>1340</v>
      </c>
      <c r="C106" s="1069"/>
      <c r="D106" s="1069"/>
      <c r="E106" s="1069"/>
      <c r="F106" s="1087">
        <v>2320</v>
      </c>
      <c r="H106" s="1094"/>
    </row>
    <row r="107" spans="1:8" s="1063" customFormat="1" ht="14.25" customHeight="1" thickBot="1">
      <c r="A107" s="1075" t="s">
        <v>1405</v>
      </c>
      <c r="B107" s="1069" t="s">
        <v>1345</v>
      </c>
      <c r="C107" s="1069"/>
      <c r="D107" s="1069"/>
      <c r="E107" s="1069"/>
      <c r="F107" s="1087">
        <v>2280</v>
      </c>
      <c r="H107" s="1094"/>
    </row>
    <row r="108" spans="1:8" s="1063" customFormat="1" ht="14.25" customHeight="1" thickBot="1">
      <c r="A108" s="1075" t="s">
        <v>1405</v>
      </c>
      <c r="B108" s="1069" t="s">
        <v>1350</v>
      </c>
      <c r="C108" s="1069"/>
      <c r="D108" s="1069"/>
      <c r="E108" s="1069"/>
      <c r="F108" s="1087">
        <v>2280</v>
      </c>
      <c r="H108" s="1094"/>
    </row>
    <row r="109" spans="1:8" s="1063" customFormat="1" ht="14.25" customHeight="1" thickBot="1">
      <c r="A109" s="1075" t="s">
        <v>1405</v>
      </c>
      <c r="B109" s="1085" t="s">
        <v>1355</v>
      </c>
      <c r="C109" s="1085"/>
      <c r="D109" s="1085"/>
      <c r="E109" s="1085"/>
      <c r="F109" s="1095">
        <v>2280</v>
      </c>
      <c r="H109" s="1094"/>
    </row>
    <row r="110" spans="1:8" s="1063" customFormat="1" ht="14.25" customHeight="1" thickBot="1">
      <c r="A110" s="1075" t="s">
        <v>1407</v>
      </c>
      <c r="B110" s="1076" t="s">
        <v>1408</v>
      </c>
      <c r="C110" s="1076">
        <v>10520</v>
      </c>
      <c r="D110" s="1076">
        <v>10490</v>
      </c>
      <c r="E110" s="1076">
        <v>10760</v>
      </c>
      <c r="F110" s="1077">
        <v>2160</v>
      </c>
      <c r="H110" s="1094"/>
    </row>
    <row r="111" spans="1:8" s="1063" customFormat="1" ht="14.25" customHeight="1" thickBot="1">
      <c r="A111" s="1075" t="s">
        <v>1407</v>
      </c>
      <c r="B111" s="1069" t="s">
        <v>1073</v>
      </c>
      <c r="C111" s="1069">
        <v>10090</v>
      </c>
      <c r="D111" s="1069">
        <v>10060</v>
      </c>
      <c r="E111" s="1069">
        <v>10300</v>
      </c>
      <c r="F111" s="1087">
        <v>2010</v>
      </c>
      <c r="H111" s="1094"/>
    </row>
    <row r="112" spans="1:8" s="1063" customFormat="1" ht="14.25" customHeight="1" thickBot="1">
      <c r="A112" s="1075" t="s">
        <v>1407</v>
      </c>
      <c r="B112" s="1069" t="s">
        <v>1087</v>
      </c>
      <c r="C112" s="1069">
        <v>9910</v>
      </c>
      <c r="D112" s="1069">
        <v>9850</v>
      </c>
      <c r="E112" s="1069">
        <v>9960</v>
      </c>
      <c r="F112" s="1087">
        <v>2090</v>
      </c>
      <c r="H112" s="1094"/>
    </row>
    <row r="113" spans="1:8" s="1063" customFormat="1" ht="14.25" customHeight="1" thickBot="1">
      <c r="A113" s="1075" t="s">
        <v>1407</v>
      </c>
      <c r="B113" s="1069" t="s">
        <v>1100</v>
      </c>
      <c r="C113" s="1069">
        <v>11430</v>
      </c>
      <c r="D113" s="1069">
        <v>11400</v>
      </c>
      <c r="E113" s="1069">
        <v>11710</v>
      </c>
      <c r="F113" s="1087">
        <v>2050</v>
      </c>
      <c r="H113" s="1094"/>
    </row>
    <row r="114" spans="1:8" s="1063" customFormat="1" ht="14.25" customHeight="1" thickBot="1">
      <c r="A114" s="1075" t="s">
        <v>1407</v>
      </c>
      <c r="B114" s="1069" t="s">
        <v>1114</v>
      </c>
      <c r="C114" s="1069">
        <v>11390</v>
      </c>
      <c r="D114" s="1069">
        <v>11350</v>
      </c>
      <c r="E114" s="1069">
        <v>11640</v>
      </c>
      <c r="F114" s="1087">
        <v>1620</v>
      </c>
      <c r="H114" s="1094"/>
    </row>
    <row r="115" spans="1:8" s="1063" customFormat="1" ht="14.25" customHeight="1" thickBot="1">
      <c r="A115" s="1075" t="s">
        <v>1407</v>
      </c>
      <c r="B115" s="1069" t="s">
        <v>1125</v>
      </c>
      <c r="C115" s="1069">
        <v>9930</v>
      </c>
      <c r="D115" s="1069">
        <v>9900</v>
      </c>
      <c r="E115" s="1069">
        <v>10160</v>
      </c>
      <c r="F115" s="1087">
        <v>1580</v>
      </c>
      <c r="H115" s="1094"/>
    </row>
    <row r="116" spans="1:8" s="1063" customFormat="1" ht="14.25" customHeight="1" thickBot="1">
      <c r="A116" s="1075" t="s">
        <v>1407</v>
      </c>
      <c r="B116" s="1069" t="s">
        <v>1136</v>
      </c>
      <c r="C116" s="1069">
        <v>9150</v>
      </c>
      <c r="D116" s="1069">
        <v>9120</v>
      </c>
      <c r="E116" s="1069">
        <v>9380</v>
      </c>
      <c r="F116" s="1087">
        <v>1750</v>
      </c>
      <c r="H116" s="1094"/>
    </row>
    <row r="117" spans="1:8" s="1063" customFormat="1" ht="14.25" customHeight="1" thickBot="1">
      <c r="A117" s="1075" t="s">
        <v>1407</v>
      </c>
      <c r="B117" s="1069" t="s">
        <v>1147</v>
      </c>
      <c r="C117" s="1069">
        <v>10680</v>
      </c>
      <c r="D117" s="1069">
        <v>10650</v>
      </c>
      <c r="E117" s="1069">
        <v>10970</v>
      </c>
      <c r="F117" s="1087">
        <v>1730</v>
      </c>
      <c r="H117" s="1094"/>
    </row>
    <row r="118" spans="1:8" s="1063" customFormat="1" ht="14.25" customHeight="1" thickBot="1">
      <c r="A118" s="1075" t="s">
        <v>1407</v>
      </c>
      <c r="B118" s="1069" t="s">
        <v>1159</v>
      </c>
      <c r="C118" s="1069">
        <v>10080</v>
      </c>
      <c r="D118" s="1069">
        <v>10050</v>
      </c>
      <c r="E118" s="1069">
        <v>10350</v>
      </c>
      <c r="F118" s="1087">
        <v>1920</v>
      </c>
      <c r="H118" s="1094"/>
    </row>
    <row r="119" spans="1:8" s="1063" customFormat="1" ht="14.25" customHeight="1" thickBot="1">
      <c r="A119" s="1075" t="s">
        <v>1407</v>
      </c>
      <c r="B119" s="1069" t="s">
        <v>1169</v>
      </c>
      <c r="C119" s="1069">
        <v>9450</v>
      </c>
      <c r="D119" s="1069">
        <v>9410</v>
      </c>
      <c r="E119" s="1069">
        <v>9680</v>
      </c>
      <c r="F119" s="1087">
        <v>1880</v>
      </c>
      <c r="H119" s="1094"/>
    </row>
    <row r="120" spans="1:8" s="1063" customFormat="1" ht="14.25" customHeight="1" thickBot="1">
      <c r="A120" s="1075" t="s">
        <v>1407</v>
      </c>
      <c r="B120" s="1069" t="s">
        <v>1179</v>
      </c>
      <c r="C120" s="1069">
        <v>8730</v>
      </c>
      <c r="D120" s="1069">
        <v>8700</v>
      </c>
      <c r="E120" s="1069">
        <v>8950</v>
      </c>
      <c r="F120" s="1087">
        <v>1830</v>
      </c>
      <c r="H120" s="1094"/>
    </row>
    <row r="121" spans="1:8" s="1063" customFormat="1" ht="14.25" customHeight="1" thickBot="1">
      <c r="A121" s="1075" t="s">
        <v>1407</v>
      </c>
      <c r="B121" s="1069" t="s">
        <v>1189</v>
      </c>
      <c r="C121" s="1069">
        <v>10070</v>
      </c>
      <c r="D121" s="1069">
        <v>10040</v>
      </c>
      <c r="E121" s="1069">
        <v>10270</v>
      </c>
      <c r="F121" s="1087">
        <v>1960</v>
      </c>
      <c r="H121" s="1094"/>
    </row>
    <row r="122" spans="1:8" s="1063" customFormat="1" ht="14.25" customHeight="1" thickBot="1">
      <c r="A122" s="1075" t="s">
        <v>1407</v>
      </c>
      <c r="B122" s="1069" t="s">
        <v>1199</v>
      </c>
      <c r="C122" s="1069">
        <v>10500</v>
      </c>
      <c r="D122" s="1069">
        <v>10470</v>
      </c>
      <c r="E122" s="1069">
        <v>10780</v>
      </c>
      <c r="F122" s="1087">
        <v>2180</v>
      </c>
      <c r="H122" s="1094"/>
    </row>
    <row r="123" spans="1:8" s="1063" customFormat="1" ht="14.25" customHeight="1" thickBot="1">
      <c r="A123" s="1075" t="s">
        <v>1407</v>
      </c>
      <c r="B123" s="1069" t="s">
        <v>1209</v>
      </c>
      <c r="C123" s="1069">
        <v>10390</v>
      </c>
      <c r="D123" s="1069">
        <v>10360</v>
      </c>
      <c r="E123" s="1069">
        <v>10660</v>
      </c>
      <c r="F123" s="1087">
        <v>2040</v>
      </c>
      <c r="H123" s="1094"/>
    </row>
    <row r="124" spans="1:8" s="1063" customFormat="1" ht="14.25" customHeight="1" thickBot="1">
      <c r="A124" s="1075" t="s">
        <v>1407</v>
      </c>
      <c r="B124" s="1069" t="s">
        <v>1219</v>
      </c>
      <c r="C124" s="1069">
        <v>10390</v>
      </c>
      <c r="D124" s="1069">
        <v>10360</v>
      </c>
      <c r="E124" s="1069">
        <v>10680</v>
      </c>
      <c r="F124" s="1096"/>
      <c r="H124" s="1094"/>
    </row>
    <row r="125" spans="1:8" s="1063" customFormat="1" ht="14.25" customHeight="1" thickBot="1">
      <c r="A125" s="1075" t="s">
        <v>1407</v>
      </c>
      <c r="B125" s="1069" t="s">
        <v>1229</v>
      </c>
      <c r="C125" s="1069">
        <v>10440</v>
      </c>
      <c r="D125" s="1069">
        <v>10410</v>
      </c>
      <c r="E125" s="1069">
        <v>10710</v>
      </c>
      <c r="F125" s="1096"/>
      <c r="H125" s="1094"/>
    </row>
    <row r="126" spans="1:8" s="1063" customFormat="1" ht="14.25" customHeight="1" thickBot="1">
      <c r="A126" s="1075" t="s">
        <v>1407</v>
      </c>
      <c r="B126" s="1069" t="s">
        <v>1239</v>
      </c>
      <c r="C126" s="1069">
        <v>10780</v>
      </c>
      <c r="D126" s="1069">
        <v>10750</v>
      </c>
      <c r="E126" s="1069">
        <v>11080</v>
      </c>
      <c r="F126" s="1096"/>
      <c r="H126" s="1094"/>
    </row>
    <row r="127" spans="1:8" s="1063" customFormat="1" ht="14.25" customHeight="1" thickBot="1">
      <c r="A127" s="1075" t="s">
        <v>1407</v>
      </c>
      <c r="B127" s="1069" t="s">
        <v>1249</v>
      </c>
      <c r="C127" s="1069">
        <v>10100</v>
      </c>
      <c r="D127" s="1069">
        <v>10070</v>
      </c>
      <c r="E127" s="1069">
        <v>10350</v>
      </c>
      <c r="F127" s="1096"/>
      <c r="H127" s="1094"/>
    </row>
    <row r="128" spans="1:8" s="1063" customFormat="1" ht="14.25" customHeight="1" thickBot="1">
      <c r="A128" s="1075" t="s">
        <v>1407</v>
      </c>
      <c r="B128" s="1069" t="s">
        <v>1259</v>
      </c>
      <c r="C128" s="1069">
        <v>9200</v>
      </c>
      <c r="D128" s="1069">
        <v>9160</v>
      </c>
      <c r="E128" s="1069">
        <v>9660</v>
      </c>
      <c r="F128" s="1096"/>
      <c r="H128" s="1094"/>
    </row>
    <row r="129" spans="1:8" s="1063" customFormat="1" ht="14.25" customHeight="1" thickBot="1">
      <c r="A129" s="1075" t="s">
        <v>1407</v>
      </c>
      <c r="B129" s="1069" t="s">
        <v>1268</v>
      </c>
      <c r="C129" s="1069">
        <v>10340</v>
      </c>
      <c r="D129" s="1069">
        <v>10310</v>
      </c>
      <c r="E129" s="1069">
        <v>10580</v>
      </c>
      <c r="F129" s="1096"/>
      <c r="H129" s="1094"/>
    </row>
    <row r="130" spans="1:8" s="1063" customFormat="1" ht="14.25" customHeight="1" thickBot="1">
      <c r="A130" s="1075" t="s">
        <v>1407</v>
      </c>
      <c r="B130" s="1069" t="s">
        <v>1277</v>
      </c>
      <c r="C130" s="1069">
        <v>9680</v>
      </c>
      <c r="D130" s="1069">
        <v>9660</v>
      </c>
      <c r="E130" s="1069">
        <v>9950</v>
      </c>
      <c r="F130" s="1096"/>
      <c r="H130" s="1094"/>
    </row>
    <row r="131" spans="1:8" s="1063" customFormat="1" ht="14.25" customHeight="1" thickBot="1">
      <c r="A131" s="1075" t="s">
        <v>1407</v>
      </c>
      <c r="B131" s="1069" t="s">
        <v>1285</v>
      </c>
      <c r="C131" s="1069">
        <v>9540</v>
      </c>
      <c r="D131" s="1069">
        <v>9510</v>
      </c>
      <c r="E131" s="1069">
        <v>9790</v>
      </c>
      <c r="F131" s="1096"/>
      <c r="H131" s="1094"/>
    </row>
    <row r="132" spans="1:8" s="1063" customFormat="1" ht="14.25" customHeight="1" thickBot="1">
      <c r="A132" s="1075" t="s">
        <v>1407</v>
      </c>
      <c r="B132" s="1069" t="s">
        <v>1292</v>
      </c>
      <c r="C132" s="1069">
        <v>9320</v>
      </c>
      <c r="D132" s="1069">
        <v>9290</v>
      </c>
      <c r="E132" s="1069">
        <v>9570</v>
      </c>
      <c r="F132" s="1096"/>
      <c r="H132" s="1094"/>
    </row>
    <row r="133" spans="1:8" s="1063" customFormat="1" ht="14.25" customHeight="1" thickBot="1">
      <c r="A133" s="1075" t="s">
        <v>1407</v>
      </c>
      <c r="B133" s="1069" t="s">
        <v>1299</v>
      </c>
      <c r="C133" s="1069">
        <v>10310</v>
      </c>
      <c r="D133" s="1069">
        <v>10280</v>
      </c>
      <c r="E133" s="1069">
        <v>10530</v>
      </c>
      <c r="F133" s="1096"/>
      <c r="H133" s="1094"/>
    </row>
    <row r="134" spans="1:8" s="1063" customFormat="1" ht="14.25" customHeight="1" thickBot="1">
      <c r="A134" s="1075" t="s">
        <v>1407</v>
      </c>
      <c r="B134" s="1069" t="s">
        <v>1306</v>
      </c>
      <c r="C134" s="1069">
        <v>10370</v>
      </c>
      <c r="D134" s="1069">
        <v>10310</v>
      </c>
      <c r="E134" s="1069">
        <v>10240</v>
      </c>
      <c r="F134" s="1087">
        <v>2060</v>
      </c>
      <c r="H134" s="1094"/>
    </row>
    <row r="135" spans="1:8" s="1063" customFormat="1" ht="14.25" customHeight="1" thickBot="1">
      <c r="A135" s="1075" t="s">
        <v>1407</v>
      </c>
      <c r="B135" s="1069" t="s">
        <v>1313</v>
      </c>
      <c r="C135" s="1069">
        <v>9300</v>
      </c>
      <c r="D135" s="1069">
        <v>9270</v>
      </c>
      <c r="E135" s="1069">
        <v>9350</v>
      </c>
      <c r="F135" s="1096"/>
      <c r="H135" s="1094"/>
    </row>
    <row r="136" spans="1:8" s="1063" customFormat="1" ht="14.25" customHeight="1" thickBot="1">
      <c r="A136" s="1075" t="s">
        <v>1407</v>
      </c>
      <c r="B136" s="1069" t="s">
        <v>1320</v>
      </c>
      <c r="C136" s="1069">
        <v>10160</v>
      </c>
      <c r="D136" s="1069">
        <v>10110</v>
      </c>
      <c r="E136" s="1069">
        <v>10080</v>
      </c>
      <c r="F136" s="1096"/>
      <c r="H136" s="1094"/>
    </row>
    <row r="137" spans="1:8" s="1063" customFormat="1" ht="14.25" customHeight="1" thickBot="1">
      <c r="A137" s="1075" t="s">
        <v>1407</v>
      </c>
      <c r="B137" s="1069" t="s">
        <v>1327</v>
      </c>
      <c r="C137" s="1069">
        <v>9200</v>
      </c>
      <c r="D137" s="1069">
        <v>9170</v>
      </c>
      <c r="E137" s="1069">
        <v>9450</v>
      </c>
      <c r="F137" s="1096"/>
      <c r="H137" s="1094"/>
    </row>
    <row r="138" spans="1:8" s="1063" customFormat="1" ht="14.25" customHeight="1" thickBot="1">
      <c r="A138" s="1075" t="s">
        <v>1407</v>
      </c>
      <c r="B138" s="1069" t="s">
        <v>1332</v>
      </c>
      <c r="C138" s="1069">
        <v>9690</v>
      </c>
      <c r="D138" s="1069">
        <v>9660</v>
      </c>
      <c r="E138" s="1069">
        <v>9840</v>
      </c>
      <c r="F138" s="1096"/>
      <c r="H138" s="1094"/>
    </row>
    <row r="139" spans="1:8" s="1063" customFormat="1" ht="14.25" customHeight="1" thickBot="1">
      <c r="A139" s="1075" t="s">
        <v>1407</v>
      </c>
      <c r="B139" s="1069" t="s">
        <v>1336</v>
      </c>
      <c r="C139" s="1069">
        <v>10290</v>
      </c>
      <c r="D139" s="1069">
        <v>10260</v>
      </c>
      <c r="E139" s="1069">
        <v>10550</v>
      </c>
      <c r="F139" s="1087">
        <v>1700</v>
      </c>
      <c r="H139" s="1094"/>
    </row>
    <row r="140" spans="1:8" s="1063" customFormat="1" ht="14.25" customHeight="1" thickBot="1">
      <c r="A140" s="1075" t="s">
        <v>1407</v>
      </c>
      <c r="B140" s="1069" t="s">
        <v>1341</v>
      </c>
      <c r="C140" s="1069">
        <v>9740</v>
      </c>
      <c r="D140" s="1069">
        <v>9710</v>
      </c>
      <c r="E140" s="1069">
        <v>10000</v>
      </c>
      <c r="F140" s="1087">
        <v>2000</v>
      </c>
      <c r="H140" s="1094"/>
    </row>
    <row r="141" spans="1:8" s="1063" customFormat="1" ht="14.25" customHeight="1" thickBot="1">
      <c r="A141" s="1075" t="s">
        <v>1407</v>
      </c>
      <c r="B141" s="1069" t="s">
        <v>1346</v>
      </c>
      <c r="C141" s="1069">
        <v>9810</v>
      </c>
      <c r="D141" s="1069">
        <v>9770</v>
      </c>
      <c r="E141" s="1069">
        <v>10060</v>
      </c>
      <c r="F141" s="1096"/>
      <c r="H141" s="1094"/>
    </row>
    <row r="142" spans="1:8" s="1063" customFormat="1" ht="14.25" customHeight="1" thickBot="1">
      <c r="A142" s="1075" t="s">
        <v>1407</v>
      </c>
      <c r="B142" s="1069" t="s">
        <v>1351</v>
      </c>
      <c r="C142" s="1069">
        <v>9300</v>
      </c>
      <c r="D142" s="1069">
        <v>9270</v>
      </c>
      <c r="E142" s="1069">
        <v>9530</v>
      </c>
      <c r="F142" s="1096"/>
      <c r="H142" s="1094"/>
    </row>
    <row r="143" spans="1:8" s="1063" customFormat="1" ht="14.25" customHeight="1" thickBot="1">
      <c r="A143" s="1075" t="s">
        <v>1407</v>
      </c>
      <c r="B143" s="1069" t="s">
        <v>1356</v>
      </c>
      <c r="C143" s="1069">
        <v>10080</v>
      </c>
      <c r="D143" s="1069">
        <v>10050</v>
      </c>
      <c r="E143" s="1069">
        <v>10340</v>
      </c>
      <c r="F143" s="1096"/>
      <c r="H143" s="1094"/>
    </row>
    <row r="144" spans="1:8" s="1063" customFormat="1" ht="14.25" customHeight="1" thickBot="1">
      <c r="A144" s="1075" t="s">
        <v>1407</v>
      </c>
      <c r="B144" s="1069" t="s">
        <v>1360</v>
      </c>
      <c r="C144" s="1069">
        <v>9820</v>
      </c>
      <c r="D144" s="1069">
        <v>9750</v>
      </c>
      <c r="E144" s="1069">
        <v>9900</v>
      </c>
      <c r="F144" s="1096"/>
      <c r="H144" s="1094"/>
    </row>
    <row r="145" spans="1:8" s="1063" customFormat="1" ht="14.25" customHeight="1" thickBot="1">
      <c r="A145" s="1075" t="s">
        <v>1407</v>
      </c>
      <c r="B145" s="1069" t="s">
        <v>1364</v>
      </c>
      <c r="C145" s="1069"/>
      <c r="D145" s="1069"/>
      <c r="E145" s="1069"/>
      <c r="F145" s="1087">
        <v>1740</v>
      </c>
      <c r="H145" s="1094"/>
    </row>
    <row r="146" spans="1:8" s="1063" customFormat="1" ht="14.25" customHeight="1" thickBot="1">
      <c r="A146" s="1075" t="s">
        <v>1407</v>
      </c>
      <c r="B146" s="1069" t="s">
        <v>1368</v>
      </c>
      <c r="C146" s="1069"/>
      <c r="D146" s="1069"/>
      <c r="E146" s="1069"/>
      <c r="F146" s="1087">
        <v>1740</v>
      </c>
      <c r="H146" s="1094"/>
    </row>
    <row r="147" spans="1:8" s="1063" customFormat="1" ht="14.25" customHeight="1" thickBot="1">
      <c r="A147" s="1075" t="s">
        <v>1407</v>
      </c>
      <c r="B147" s="1069" t="s">
        <v>1372</v>
      </c>
      <c r="C147" s="1069"/>
      <c r="D147" s="1069"/>
      <c r="E147" s="1069"/>
      <c r="F147" s="1087">
        <v>1740</v>
      </c>
      <c r="H147" s="1094"/>
    </row>
    <row r="148" spans="1:8" s="1063" customFormat="1" ht="14.25" customHeight="1" thickBot="1">
      <c r="A148" s="1075" t="s">
        <v>1407</v>
      </c>
      <c r="B148" s="1069" t="s">
        <v>1376</v>
      </c>
      <c r="C148" s="1069"/>
      <c r="D148" s="1069"/>
      <c r="E148" s="1069"/>
      <c r="F148" s="1087">
        <v>1740</v>
      </c>
      <c r="H148" s="1094"/>
    </row>
    <row r="149" spans="1:8" s="1063" customFormat="1" ht="14.25" customHeight="1" thickBot="1">
      <c r="A149" s="1075" t="s">
        <v>1407</v>
      </c>
      <c r="B149" s="1069" t="s">
        <v>1380</v>
      </c>
      <c r="C149" s="1069"/>
      <c r="D149" s="1069"/>
      <c r="E149" s="1069"/>
      <c r="F149" s="1087">
        <v>1740</v>
      </c>
      <c r="H149" s="1094"/>
    </row>
    <row r="150" spans="1:8" s="1063" customFormat="1" ht="14.25" customHeight="1" thickBot="1">
      <c r="A150" s="1075" t="s">
        <v>1407</v>
      </c>
      <c r="B150" s="1069" t="s">
        <v>1383</v>
      </c>
      <c r="C150" s="1069"/>
      <c r="D150" s="1069"/>
      <c r="E150" s="1069"/>
      <c r="F150" s="1087">
        <v>1610</v>
      </c>
      <c r="H150" s="1094"/>
    </row>
    <row r="151" spans="1:8" s="1063" customFormat="1" ht="14.25" customHeight="1" thickBot="1">
      <c r="A151" s="1075" t="s">
        <v>1407</v>
      </c>
      <c r="B151" s="1069" t="s">
        <v>1386</v>
      </c>
      <c r="C151" s="1069"/>
      <c r="D151" s="1069"/>
      <c r="E151" s="1069"/>
      <c r="F151" s="1087">
        <v>1610</v>
      </c>
      <c r="H151" s="1094"/>
    </row>
    <row r="152" spans="1:8" s="1063" customFormat="1" ht="14.25" customHeight="1" thickBot="1">
      <c r="A152" s="1075" t="s">
        <v>1407</v>
      </c>
      <c r="B152" s="1069" t="s">
        <v>1389</v>
      </c>
      <c r="C152" s="1069"/>
      <c r="D152" s="1069"/>
      <c r="E152" s="1069"/>
      <c r="F152" s="1087">
        <v>1610</v>
      </c>
      <c r="H152" s="1094"/>
    </row>
    <row r="153" spans="1:8" s="1063" customFormat="1" ht="14.25" customHeight="1" thickBot="1">
      <c r="A153" s="1075" t="s">
        <v>1407</v>
      </c>
      <c r="B153" s="1069" t="s">
        <v>1392</v>
      </c>
      <c r="C153" s="1069"/>
      <c r="D153" s="1069"/>
      <c r="E153" s="1069"/>
      <c r="F153" s="1087">
        <v>1610</v>
      </c>
      <c r="H153" s="1094"/>
    </row>
    <row r="154" spans="1:8" s="1063" customFormat="1" ht="14.25" customHeight="1" thickBot="1">
      <c r="A154" s="1075" t="s">
        <v>1407</v>
      </c>
      <c r="B154" s="1069" t="s">
        <v>1395</v>
      </c>
      <c r="C154" s="1069"/>
      <c r="D154" s="1069"/>
      <c r="E154" s="1069"/>
      <c r="F154" s="1087">
        <v>1610</v>
      </c>
      <c r="H154" s="1094"/>
    </row>
    <row r="155" spans="1:8" s="1063" customFormat="1" ht="14.25" customHeight="1" thickBot="1">
      <c r="A155" s="1075" t="s">
        <v>1407</v>
      </c>
      <c r="B155" s="1069" t="s">
        <v>1398</v>
      </c>
      <c r="C155" s="1069"/>
      <c r="D155" s="1069"/>
      <c r="E155" s="1069"/>
      <c r="F155" s="1087">
        <v>1800</v>
      </c>
      <c r="H155" s="1094"/>
    </row>
    <row r="156" spans="1:8" s="1063" customFormat="1" ht="14.25" customHeight="1" thickBot="1">
      <c r="A156" s="1075" t="s">
        <v>1407</v>
      </c>
      <c r="B156" s="1069" t="s">
        <v>1400</v>
      </c>
      <c r="C156" s="1069"/>
      <c r="D156" s="1069"/>
      <c r="E156" s="1069"/>
      <c r="F156" s="1087">
        <v>1910</v>
      </c>
      <c r="H156" s="1094"/>
    </row>
    <row r="157" spans="1:8" s="1063" customFormat="1" ht="14.25" customHeight="1" thickBot="1">
      <c r="A157" s="1075" t="s">
        <v>1407</v>
      </c>
      <c r="B157" s="1085" t="s">
        <v>1403</v>
      </c>
      <c r="C157" s="1085"/>
      <c r="D157" s="1085"/>
      <c r="E157" s="1085"/>
      <c r="F157" s="1095">
        <v>1500</v>
      </c>
      <c r="H157" s="1094"/>
    </row>
    <row r="158" spans="1:8" s="1063" customFormat="1" ht="14.25" customHeight="1" thickBot="1">
      <c r="A158" s="1075" t="s">
        <v>1409</v>
      </c>
      <c r="B158" s="1076" t="s">
        <v>1410</v>
      </c>
      <c r="C158" s="1076">
        <v>8170</v>
      </c>
      <c r="D158" s="1076">
        <v>8140</v>
      </c>
      <c r="E158" s="1076">
        <v>8590</v>
      </c>
      <c r="F158" s="1077">
        <v>1450</v>
      </c>
      <c r="H158" s="1094"/>
    </row>
    <row r="159" spans="1:8" s="1063" customFormat="1" ht="14.25" customHeight="1" thickBot="1">
      <c r="A159" s="1075" t="s">
        <v>1409</v>
      </c>
      <c r="B159" s="1069" t="s">
        <v>1074</v>
      </c>
      <c r="C159" s="1069">
        <v>7410</v>
      </c>
      <c r="D159" s="1069">
        <v>7370</v>
      </c>
      <c r="E159" s="1069">
        <v>8030</v>
      </c>
      <c r="F159" s="1087">
        <v>1510</v>
      </c>
      <c r="H159" s="1094"/>
    </row>
    <row r="160" spans="1:8" s="1063" customFormat="1" ht="14.25" customHeight="1" thickBot="1">
      <c r="A160" s="1075" t="s">
        <v>1409</v>
      </c>
      <c r="B160" s="1069" t="s">
        <v>1088</v>
      </c>
      <c r="C160" s="1069">
        <v>7240</v>
      </c>
      <c r="D160" s="1069">
        <v>7210</v>
      </c>
      <c r="E160" s="1069">
        <v>7860</v>
      </c>
      <c r="F160" s="1087">
        <v>1370</v>
      </c>
      <c r="H160" s="1094"/>
    </row>
    <row r="161" spans="1:8" s="1063" customFormat="1" ht="14.25" customHeight="1" thickBot="1">
      <c r="A161" s="1075" t="s">
        <v>1409</v>
      </c>
      <c r="B161" s="1069" t="s">
        <v>1101</v>
      </c>
      <c r="C161" s="1069">
        <v>7720</v>
      </c>
      <c r="D161" s="1069">
        <v>7690</v>
      </c>
      <c r="E161" s="1069">
        <v>8200</v>
      </c>
      <c r="F161" s="1087">
        <v>1190</v>
      </c>
      <c r="H161" s="1094"/>
    </row>
    <row r="162" spans="1:8" s="1063" customFormat="1" ht="14.25" customHeight="1" thickBot="1">
      <c r="A162" s="1075" t="s">
        <v>1409</v>
      </c>
      <c r="B162" s="1069" t="s">
        <v>1115</v>
      </c>
      <c r="C162" s="1069">
        <v>6900</v>
      </c>
      <c r="D162" s="1069">
        <v>6870</v>
      </c>
      <c r="E162" s="1069">
        <v>7500</v>
      </c>
      <c r="F162" s="1087">
        <v>1390</v>
      </c>
      <c r="H162" s="1094"/>
    </row>
    <row r="163" spans="1:8" s="1063" customFormat="1" ht="14.25" customHeight="1" thickBot="1">
      <c r="A163" s="1075" t="s">
        <v>1409</v>
      </c>
      <c r="B163" s="1069" t="s">
        <v>1126</v>
      </c>
      <c r="C163" s="1069">
        <v>7120</v>
      </c>
      <c r="D163" s="1069">
        <v>7090</v>
      </c>
      <c r="E163" s="1069">
        <v>7690</v>
      </c>
      <c r="F163" s="1087">
        <v>1230</v>
      </c>
      <c r="H163" s="1094"/>
    </row>
    <row r="164" spans="1:8" s="1063" customFormat="1" ht="14.25" customHeight="1" thickBot="1">
      <c r="A164" s="1075" t="s">
        <v>1409</v>
      </c>
      <c r="B164" s="1069" t="s">
        <v>1137</v>
      </c>
      <c r="C164" s="1069">
        <v>6560</v>
      </c>
      <c r="D164" s="1069">
        <v>6530</v>
      </c>
      <c r="E164" s="1069">
        <v>7110</v>
      </c>
      <c r="F164" s="1087">
        <v>1340</v>
      </c>
      <c r="H164" s="1094"/>
    </row>
    <row r="165" spans="1:8" s="1063" customFormat="1" ht="14.25" customHeight="1" thickBot="1">
      <c r="A165" s="1075" t="s">
        <v>1409</v>
      </c>
      <c r="B165" s="1069" t="s">
        <v>1148</v>
      </c>
      <c r="C165" s="1069">
        <v>7450</v>
      </c>
      <c r="D165" s="1069">
        <v>7430</v>
      </c>
      <c r="E165" s="1069">
        <v>8110</v>
      </c>
      <c r="F165" s="1087">
        <v>1290</v>
      </c>
      <c r="H165" s="1094"/>
    </row>
    <row r="166" spans="1:8" s="1063" customFormat="1" ht="14.25" customHeight="1" thickBot="1">
      <c r="A166" s="1075" t="s">
        <v>1409</v>
      </c>
      <c r="B166" s="1069" t="s">
        <v>1160</v>
      </c>
      <c r="C166" s="1069">
        <v>7490</v>
      </c>
      <c r="D166" s="1069">
        <v>7460</v>
      </c>
      <c r="E166" s="1069">
        <v>8150</v>
      </c>
      <c r="F166" s="1087">
        <v>1350</v>
      </c>
      <c r="H166" s="1094"/>
    </row>
    <row r="167" spans="1:8" s="1063" customFormat="1" ht="14.25" customHeight="1" thickBot="1">
      <c r="A167" s="1075" t="s">
        <v>1409</v>
      </c>
      <c r="B167" s="1069" t="s">
        <v>1170</v>
      </c>
      <c r="C167" s="1069">
        <v>7540</v>
      </c>
      <c r="D167" s="1069">
        <v>7510</v>
      </c>
      <c r="E167" s="1069">
        <v>8030</v>
      </c>
      <c r="F167" s="1096"/>
      <c r="H167" s="1094"/>
    </row>
    <row r="168" spans="1:8" s="1063" customFormat="1" ht="14.25" customHeight="1" thickBot="1">
      <c r="A168" s="1075" t="s">
        <v>1409</v>
      </c>
      <c r="B168" s="1069" t="s">
        <v>1180</v>
      </c>
      <c r="C168" s="1069">
        <v>7210</v>
      </c>
      <c r="D168" s="1069">
        <v>7180</v>
      </c>
      <c r="E168" s="1069">
        <v>7830</v>
      </c>
      <c r="F168" s="1096"/>
      <c r="H168" s="1094"/>
    </row>
    <row r="169" spans="1:8" s="1063" customFormat="1" ht="14.25" customHeight="1" thickBot="1">
      <c r="A169" s="1075" t="s">
        <v>1409</v>
      </c>
      <c r="B169" s="1069" t="s">
        <v>1190</v>
      </c>
      <c r="C169" s="1069">
        <v>7040</v>
      </c>
      <c r="D169" s="1069">
        <v>7020</v>
      </c>
      <c r="E169" s="1069">
        <v>7670</v>
      </c>
      <c r="F169" s="1096"/>
      <c r="H169" s="1094"/>
    </row>
    <row r="170" spans="1:8" s="1063" customFormat="1" ht="14.25" customHeight="1" thickBot="1">
      <c r="A170" s="1075" t="s">
        <v>1409</v>
      </c>
      <c r="B170" s="1069" t="s">
        <v>1200</v>
      </c>
      <c r="C170" s="1069">
        <v>8040</v>
      </c>
      <c r="D170" s="1069">
        <v>7190</v>
      </c>
      <c r="E170" s="1069">
        <v>7850</v>
      </c>
      <c r="F170" s="1096"/>
      <c r="H170" s="1094"/>
    </row>
    <row r="171" spans="1:8" s="1063" customFormat="1" ht="14.25" customHeight="1" thickBot="1">
      <c r="A171" s="1075" t="s">
        <v>1409</v>
      </c>
      <c r="B171" s="1069" t="s">
        <v>1210</v>
      </c>
      <c r="C171" s="1069">
        <v>7860</v>
      </c>
      <c r="D171" s="1069">
        <v>7720</v>
      </c>
      <c r="E171" s="1069">
        <v>8150</v>
      </c>
      <c r="F171" s="1087">
        <v>1110</v>
      </c>
      <c r="H171" s="1094"/>
    </row>
    <row r="172" spans="1:8" s="1063" customFormat="1" ht="14.25" customHeight="1" thickBot="1">
      <c r="A172" s="1075" t="s">
        <v>1409</v>
      </c>
      <c r="B172" s="1069" t="s">
        <v>1220</v>
      </c>
      <c r="C172" s="1069">
        <v>7210</v>
      </c>
      <c r="D172" s="1069">
        <v>7170</v>
      </c>
      <c r="E172" s="1069">
        <v>7320</v>
      </c>
      <c r="F172" s="1096"/>
      <c r="H172" s="1094"/>
    </row>
    <row r="173" spans="1:8" s="1063" customFormat="1" ht="14.25" customHeight="1" thickBot="1">
      <c r="A173" s="1075" t="s">
        <v>1409</v>
      </c>
      <c r="B173" s="1069" t="s">
        <v>1230</v>
      </c>
      <c r="C173" s="1069">
        <v>6860</v>
      </c>
      <c r="D173" s="1069">
        <v>6810</v>
      </c>
      <c r="E173" s="1069">
        <v>7440</v>
      </c>
      <c r="F173" s="1096"/>
      <c r="H173" s="1094"/>
    </row>
    <row r="174" spans="1:8" s="1063" customFormat="1" ht="14.25" customHeight="1" thickBot="1">
      <c r="A174" s="1075" t="s">
        <v>1409</v>
      </c>
      <c r="B174" s="1069" t="s">
        <v>1240</v>
      </c>
      <c r="C174" s="1069">
        <v>7120</v>
      </c>
      <c r="D174" s="1069">
        <v>7090</v>
      </c>
      <c r="E174" s="1069">
        <v>7500</v>
      </c>
      <c r="F174" s="1087">
        <v>1490</v>
      </c>
      <c r="H174" s="1094"/>
    </row>
    <row r="175" spans="1:8" s="1063" customFormat="1" ht="14.25" customHeight="1" thickBot="1">
      <c r="A175" s="1075" t="s">
        <v>1409</v>
      </c>
      <c r="B175" s="1069" t="s">
        <v>1250</v>
      </c>
      <c r="C175" s="1069">
        <v>7850</v>
      </c>
      <c r="D175" s="1069">
        <v>7820</v>
      </c>
      <c r="E175" s="1069">
        <v>8120</v>
      </c>
      <c r="F175" s="1087">
        <v>1530</v>
      </c>
      <c r="H175" s="1094"/>
    </row>
    <row r="176" spans="1:8" s="1063" customFormat="1" ht="14.25" customHeight="1" thickBot="1">
      <c r="A176" s="1075" t="s">
        <v>1409</v>
      </c>
      <c r="B176" s="1069" t="s">
        <v>1260</v>
      </c>
      <c r="C176" s="1069">
        <v>7620</v>
      </c>
      <c r="D176" s="1069">
        <v>7570</v>
      </c>
      <c r="E176" s="1069">
        <v>7990</v>
      </c>
      <c r="F176" s="1087">
        <v>1480</v>
      </c>
      <c r="H176" s="1094"/>
    </row>
    <row r="177" spans="1:8" s="1063" customFormat="1" ht="14.25" customHeight="1" thickBot="1">
      <c r="A177" s="1075" t="s">
        <v>1409</v>
      </c>
      <c r="B177" s="1069" t="s">
        <v>1269</v>
      </c>
      <c r="C177" s="1069">
        <v>8590</v>
      </c>
      <c r="D177" s="1069">
        <v>8570</v>
      </c>
      <c r="E177" s="1069">
        <v>8740</v>
      </c>
      <c r="F177" s="1087">
        <v>1540</v>
      </c>
      <c r="H177" s="1094"/>
    </row>
    <row r="178" spans="1:8" s="1063" customFormat="1" ht="14.25" customHeight="1" thickBot="1">
      <c r="A178" s="1075" t="s">
        <v>1409</v>
      </c>
      <c r="B178" s="1069" t="s">
        <v>1278</v>
      </c>
      <c r="C178" s="1069">
        <v>7510</v>
      </c>
      <c r="D178" s="1069">
        <v>7470</v>
      </c>
      <c r="E178" s="1069">
        <v>8090</v>
      </c>
      <c r="F178" s="1087">
        <v>1320</v>
      </c>
      <c r="H178" s="1094"/>
    </row>
    <row r="179" spans="1:8" s="1063" customFormat="1" ht="14.25" customHeight="1" thickBot="1">
      <c r="A179" s="1075" t="s">
        <v>1409</v>
      </c>
      <c r="B179" s="1069" t="s">
        <v>1286</v>
      </c>
      <c r="C179" s="1069">
        <v>6380</v>
      </c>
      <c r="D179" s="1069">
        <v>6340</v>
      </c>
      <c r="E179" s="1069">
        <v>6810</v>
      </c>
      <c r="F179" s="1096"/>
      <c r="H179" s="1094"/>
    </row>
    <row r="180" spans="1:8" s="1063" customFormat="1" ht="14.25" customHeight="1" thickBot="1">
      <c r="A180" s="1075" t="s">
        <v>1409</v>
      </c>
      <c r="B180" s="1069" t="s">
        <v>1293</v>
      </c>
      <c r="C180" s="1069">
        <v>7830</v>
      </c>
      <c r="D180" s="1069">
        <v>7800</v>
      </c>
      <c r="E180" s="1069">
        <v>7780</v>
      </c>
      <c r="F180" s="1087">
        <v>1440</v>
      </c>
      <c r="H180" s="1094"/>
    </row>
    <row r="181" spans="1:8" s="1063" customFormat="1" ht="14.25" customHeight="1" thickBot="1">
      <c r="A181" s="1075" t="s">
        <v>1409</v>
      </c>
      <c r="B181" s="1069" t="s">
        <v>1300</v>
      </c>
      <c r="C181" s="1069">
        <v>7110</v>
      </c>
      <c r="D181" s="1069">
        <v>7080</v>
      </c>
      <c r="E181" s="1069">
        <v>7730</v>
      </c>
      <c r="F181" s="1087">
        <v>1350</v>
      </c>
      <c r="H181" s="1094"/>
    </row>
    <row r="182" spans="1:8" s="1063" customFormat="1" ht="14.25" customHeight="1" thickBot="1">
      <c r="A182" s="1075" t="s">
        <v>1409</v>
      </c>
      <c r="B182" s="1069" t="s">
        <v>1307</v>
      </c>
      <c r="C182" s="1069">
        <v>7310</v>
      </c>
      <c r="D182" s="1069">
        <v>7280</v>
      </c>
      <c r="E182" s="1069">
        <v>7950</v>
      </c>
      <c r="F182" s="1087">
        <v>1220</v>
      </c>
      <c r="H182" s="1094"/>
    </row>
    <row r="183" spans="1:8" s="1063" customFormat="1" ht="14.25" customHeight="1" thickBot="1">
      <c r="A183" s="1075" t="s">
        <v>1409</v>
      </c>
      <c r="B183" s="1069" t="s">
        <v>1314</v>
      </c>
      <c r="C183" s="1069">
        <v>7470</v>
      </c>
      <c r="D183" s="1069">
        <v>7440</v>
      </c>
      <c r="E183" s="1069">
        <v>7880</v>
      </c>
      <c r="F183" s="1096"/>
      <c r="H183" s="1094"/>
    </row>
    <row r="184" spans="1:8" s="1063" customFormat="1" ht="14.25" customHeight="1" thickBot="1">
      <c r="A184" s="1075" t="s">
        <v>1409</v>
      </c>
      <c r="B184" s="1069" t="s">
        <v>1321</v>
      </c>
      <c r="C184" s="1069">
        <v>6960</v>
      </c>
      <c r="D184" s="1069">
        <v>6930</v>
      </c>
      <c r="E184" s="1069">
        <v>7570</v>
      </c>
      <c r="F184" s="1096"/>
      <c r="H184" s="1094"/>
    </row>
    <row r="185" spans="1:8" s="1063" customFormat="1" ht="14.25" customHeight="1" thickBot="1">
      <c r="A185" s="1075" t="s">
        <v>1409</v>
      </c>
      <c r="B185" s="1069" t="s">
        <v>1328</v>
      </c>
      <c r="C185" s="1069">
        <v>7260</v>
      </c>
      <c r="D185" s="1069">
        <v>7230</v>
      </c>
      <c r="E185" s="1069">
        <v>7710</v>
      </c>
      <c r="F185" s="1087">
        <v>1360</v>
      </c>
      <c r="H185" s="1094"/>
    </row>
    <row r="186" spans="1:8" s="1063" customFormat="1" ht="14.25" customHeight="1" thickBot="1">
      <c r="A186" s="1075" t="s">
        <v>1409</v>
      </c>
      <c r="B186" s="1069" t="s">
        <v>1333</v>
      </c>
      <c r="C186" s="1069"/>
      <c r="D186" s="1069"/>
      <c r="E186" s="1069"/>
      <c r="F186" s="1087">
        <v>1560</v>
      </c>
      <c r="H186" s="1094"/>
    </row>
    <row r="187" spans="1:8" s="1063" customFormat="1" ht="14.25" customHeight="1" thickBot="1">
      <c r="A187" s="1075" t="s">
        <v>1409</v>
      </c>
      <c r="B187" s="1069" t="s">
        <v>1337</v>
      </c>
      <c r="C187" s="1069"/>
      <c r="D187" s="1069"/>
      <c r="E187" s="1069"/>
      <c r="F187" s="1087">
        <v>1560</v>
      </c>
      <c r="H187" s="1094"/>
    </row>
    <row r="188" spans="1:8" s="1063" customFormat="1" ht="14.25" customHeight="1" thickBot="1">
      <c r="A188" s="1075" t="s">
        <v>1409</v>
      </c>
      <c r="B188" s="1069" t="s">
        <v>1342</v>
      </c>
      <c r="C188" s="1069"/>
      <c r="D188" s="1069"/>
      <c r="E188" s="1069"/>
      <c r="F188" s="1087">
        <v>1560</v>
      </c>
      <c r="H188" s="1094"/>
    </row>
    <row r="189" spans="1:8" s="1063" customFormat="1" ht="14.25" customHeight="1" thickBot="1">
      <c r="A189" s="1075" t="s">
        <v>1409</v>
      </c>
      <c r="B189" s="1069" t="s">
        <v>1347</v>
      </c>
      <c r="C189" s="1069"/>
      <c r="D189" s="1069"/>
      <c r="E189" s="1069"/>
      <c r="F189" s="1087">
        <v>1320</v>
      </c>
      <c r="H189" s="1094"/>
    </row>
    <row r="190" spans="1:8" s="1063" customFormat="1" ht="14.25" customHeight="1" thickBot="1">
      <c r="A190" s="1075" t="s">
        <v>1409</v>
      </c>
      <c r="B190" s="1069" t="s">
        <v>1352</v>
      </c>
      <c r="C190" s="1069"/>
      <c r="D190" s="1069"/>
      <c r="E190" s="1069"/>
      <c r="F190" s="1087">
        <v>1320</v>
      </c>
      <c r="H190" s="1094"/>
    </row>
    <row r="191" spans="1:8" s="1063" customFormat="1" ht="14.25" customHeight="1" thickBot="1">
      <c r="A191" s="1075" t="s">
        <v>1409</v>
      </c>
      <c r="B191" s="1069" t="s">
        <v>1357</v>
      </c>
      <c r="C191" s="1069"/>
      <c r="D191" s="1069"/>
      <c r="E191" s="1069"/>
      <c r="F191" s="1087">
        <v>1320</v>
      </c>
      <c r="H191" s="1094"/>
    </row>
    <row r="192" spans="1:8" s="1063" customFormat="1" ht="14.25" customHeight="1" thickBot="1">
      <c r="A192" s="1075" t="s">
        <v>1409</v>
      </c>
      <c r="B192" s="1069" t="s">
        <v>1361</v>
      </c>
      <c r="C192" s="1069"/>
      <c r="D192" s="1069"/>
      <c r="E192" s="1069"/>
      <c r="F192" s="1087">
        <v>1100</v>
      </c>
      <c r="H192" s="1094"/>
    </row>
    <row r="193" spans="1:8" s="1063" customFormat="1" ht="14.25" customHeight="1" thickBot="1">
      <c r="A193" s="1075" t="s">
        <v>1409</v>
      </c>
      <c r="B193" s="1069" t="s">
        <v>1365</v>
      </c>
      <c r="C193" s="1069"/>
      <c r="D193" s="1069"/>
      <c r="E193" s="1069"/>
      <c r="F193" s="1087">
        <v>1100</v>
      </c>
      <c r="H193" s="1094"/>
    </row>
    <row r="194" spans="1:8" s="1063" customFormat="1" ht="14.25" customHeight="1" thickBot="1">
      <c r="A194" s="1075" t="s">
        <v>1409</v>
      </c>
      <c r="B194" s="1069" t="s">
        <v>1369</v>
      </c>
      <c r="C194" s="1069"/>
      <c r="D194" s="1069"/>
      <c r="E194" s="1069"/>
      <c r="F194" s="1087">
        <v>1080</v>
      </c>
      <c r="H194" s="1094"/>
    </row>
    <row r="195" spans="1:8" s="1063" customFormat="1" ht="14.25" customHeight="1" thickBot="1">
      <c r="A195" s="1075" t="s">
        <v>1409</v>
      </c>
      <c r="B195" s="1069" t="s">
        <v>1373</v>
      </c>
      <c r="C195" s="1069"/>
      <c r="D195" s="1069"/>
      <c r="E195" s="1069"/>
      <c r="F195" s="1087">
        <v>1270</v>
      </c>
      <c r="H195" s="1094"/>
    </row>
    <row r="196" spans="1:8" s="1063" customFormat="1" ht="14.25" customHeight="1" thickBot="1">
      <c r="A196" s="1075" t="s">
        <v>1409</v>
      </c>
      <c r="B196" s="1069" t="s">
        <v>1377</v>
      </c>
      <c r="C196" s="1069"/>
      <c r="D196" s="1069"/>
      <c r="E196" s="1069"/>
      <c r="F196" s="1087">
        <v>1150</v>
      </c>
      <c r="H196" s="1094"/>
    </row>
    <row r="197" spans="1:8" s="1063" customFormat="1" ht="14.25" customHeight="1" thickBot="1">
      <c r="A197" s="1075" t="s">
        <v>1409</v>
      </c>
      <c r="B197" s="1069" t="s">
        <v>1381</v>
      </c>
      <c r="C197" s="1069"/>
      <c r="D197" s="1069"/>
      <c r="E197" s="1069"/>
      <c r="F197" s="1087">
        <v>1330</v>
      </c>
      <c r="H197" s="1094"/>
    </row>
    <row r="198" spans="1:8" s="1063" customFormat="1" ht="14.25" customHeight="1" thickBot="1">
      <c r="A198" s="1075" t="s">
        <v>1409</v>
      </c>
      <c r="B198" s="1069" t="s">
        <v>1384</v>
      </c>
      <c r="C198" s="1069"/>
      <c r="D198" s="1069"/>
      <c r="E198" s="1069"/>
      <c r="F198" s="1087">
        <v>1170</v>
      </c>
      <c r="H198" s="1094"/>
    </row>
    <row r="199" spans="1:8" s="1063" customFormat="1" ht="14.25" customHeight="1" thickBot="1">
      <c r="A199" s="1075" t="s">
        <v>1409</v>
      </c>
      <c r="B199" s="1069" t="s">
        <v>1387</v>
      </c>
      <c r="C199" s="1069"/>
      <c r="D199" s="1069"/>
      <c r="E199" s="1069"/>
      <c r="F199" s="1087">
        <v>1120</v>
      </c>
      <c r="H199" s="1094"/>
    </row>
    <row r="200" spans="1:8" s="1063" customFormat="1" ht="14.25" customHeight="1" thickBot="1">
      <c r="A200" s="1075" t="s">
        <v>1409</v>
      </c>
      <c r="B200" s="1069" t="s">
        <v>1390</v>
      </c>
      <c r="C200" s="1069"/>
      <c r="D200" s="1069"/>
      <c r="E200" s="1069"/>
      <c r="F200" s="1087">
        <v>1120</v>
      </c>
      <c r="H200" s="1094"/>
    </row>
    <row r="201" spans="1:8" s="1063" customFormat="1" ht="14.25" customHeight="1" thickBot="1">
      <c r="A201" s="1075" t="s">
        <v>1409</v>
      </c>
      <c r="B201" s="1069" t="s">
        <v>1393</v>
      </c>
      <c r="C201" s="1069"/>
      <c r="D201" s="1069"/>
      <c r="E201" s="1069"/>
      <c r="F201" s="1087">
        <v>1540</v>
      </c>
      <c r="H201" s="1094"/>
    </row>
    <row r="202" spans="1:8" s="1063" customFormat="1" ht="14.25" customHeight="1" thickBot="1">
      <c r="A202" s="1075" t="s">
        <v>1409</v>
      </c>
      <c r="B202" s="1069" t="s">
        <v>1396</v>
      </c>
      <c r="C202" s="1069"/>
      <c r="D202" s="1069"/>
      <c r="E202" s="1069"/>
      <c r="F202" s="1087">
        <v>1310</v>
      </c>
      <c r="H202" s="1094"/>
    </row>
    <row r="203" spans="1:8" s="1063" customFormat="1" ht="14.25" customHeight="1" thickBot="1">
      <c r="A203" s="1075" t="s">
        <v>1409</v>
      </c>
      <c r="B203" s="1069" t="s">
        <v>1399</v>
      </c>
      <c r="C203" s="1069"/>
      <c r="D203" s="1069"/>
      <c r="E203" s="1069"/>
      <c r="F203" s="1087">
        <v>1310</v>
      </c>
      <c r="H203" s="1094"/>
    </row>
    <row r="204" spans="1:8" s="1063" customFormat="1" ht="14.25" customHeight="1" thickBot="1">
      <c r="A204" s="1075" t="s">
        <v>1409</v>
      </c>
      <c r="B204" s="1069" t="s">
        <v>1401</v>
      </c>
      <c r="C204" s="1069"/>
      <c r="D204" s="1069"/>
      <c r="E204" s="1069"/>
      <c r="F204" s="1087">
        <v>1080</v>
      </c>
      <c r="H204" s="1094"/>
    </row>
    <row r="205" spans="1:8" s="1063" customFormat="1" ht="14.25" customHeight="1" thickBot="1">
      <c r="A205" s="1075" t="s">
        <v>1409</v>
      </c>
      <c r="B205" s="1069" t="s">
        <v>1404</v>
      </c>
      <c r="C205" s="1069"/>
      <c r="D205" s="1069"/>
      <c r="E205" s="1069"/>
      <c r="F205" s="1087">
        <v>1080</v>
      </c>
      <c r="H205" s="1094"/>
    </row>
    <row r="206" spans="1:8" s="1063" customFormat="1" ht="14.25" customHeight="1" thickBot="1">
      <c r="A206" s="1075" t="s">
        <v>1411</v>
      </c>
      <c r="B206" s="1076" t="s">
        <v>1412</v>
      </c>
      <c r="C206" s="1076">
        <v>5450</v>
      </c>
      <c r="D206" s="1076">
        <v>5430</v>
      </c>
      <c r="E206" s="1076">
        <v>5700</v>
      </c>
      <c r="F206" s="1077">
        <v>1020</v>
      </c>
      <c r="H206" s="1094"/>
    </row>
    <row r="207" spans="1:8" s="1063" customFormat="1" ht="14.25" customHeight="1" thickBot="1">
      <c r="A207" s="1075" t="s">
        <v>1411</v>
      </c>
      <c r="B207" s="1069" t="s">
        <v>1075</v>
      </c>
      <c r="C207" s="1069">
        <v>5860</v>
      </c>
      <c r="D207" s="1069">
        <v>5820</v>
      </c>
      <c r="E207" s="1069">
        <v>6050</v>
      </c>
      <c r="F207" s="1087">
        <v>1080</v>
      </c>
      <c r="H207" s="1094"/>
    </row>
    <row r="208" spans="1:8" s="1063" customFormat="1" ht="14.25" customHeight="1" thickBot="1">
      <c r="A208" s="1075" t="s">
        <v>1411</v>
      </c>
      <c r="B208" s="1069" t="s">
        <v>1089</v>
      </c>
      <c r="C208" s="1069">
        <v>4630</v>
      </c>
      <c r="D208" s="1069">
        <v>4600</v>
      </c>
      <c r="E208" s="1069">
        <v>4840</v>
      </c>
      <c r="F208" s="1087">
        <v>900</v>
      </c>
      <c r="H208" s="1094"/>
    </row>
    <row r="209" spans="1:8" s="1063" customFormat="1" ht="14.25" customHeight="1" thickBot="1">
      <c r="A209" s="1075" t="s">
        <v>1411</v>
      </c>
      <c r="B209" s="1069" t="s">
        <v>1102</v>
      </c>
      <c r="C209" s="1069">
        <v>5320</v>
      </c>
      <c r="D209" s="1069">
        <v>5270</v>
      </c>
      <c r="E209" s="1069">
        <v>5540</v>
      </c>
      <c r="F209" s="1087">
        <v>980</v>
      </c>
      <c r="H209" s="1094"/>
    </row>
    <row r="210" spans="1:8" s="1063" customFormat="1" ht="14.25" customHeight="1" thickBot="1">
      <c r="A210" s="1075" t="s">
        <v>1411</v>
      </c>
      <c r="B210" s="1069" t="s">
        <v>1116</v>
      </c>
      <c r="C210" s="1069">
        <v>5760</v>
      </c>
      <c r="D210" s="1069">
        <v>5710</v>
      </c>
      <c r="E210" s="1069">
        <v>6010</v>
      </c>
      <c r="F210" s="1087">
        <v>870</v>
      </c>
      <c r="H210" s="1094"/>
    </row>
    <row r="211" spans="1:8" s="1063" customFormat="1" ht="14.25" customHeight="1" thickBot="1">
      <c r="A211" s="1075" t="s">
        <v>1411</v>
      </c>
      <c r="B211" s="1069" t="s">
        <v>1127</v>
      </c>
      <c r="C211" s="1069">
        <v>4160</v>
      </c>
      <c r="D211" s="1069">
        <v>4100</v>
      </c>
      <c r="E211" s="1069">
        <v>4270</v>
      </c>
      <c r="F211" s="1087">
        <v>790</v>
      </c>
      <c r="H211" s="1094"/>
    </row>
    <row r="212" spans="1:8" s="1063" customFormat="1" ht="14.25" customHeight="1" thickBot="1">
      <c r="A212" s="1075" t="s">
        <v>1411</v>
      </c>
      <c r="B212" s="1069" t="s">
        <v>1138</v>
      </c>
      <c r="C212" s="1069">
        <v>4880</v>
      </c>
      <c r="D212" s="1069">
        <v>4850</v>
      </c>
      <c r="E212" s="1069">
        <v>5110</v>
      </c>
      <c r="F212" s="1087">
        <v>940</v>
      </c>
      <c r="H212" s="1094"/>
    </row>
    <row r="213" spans="1:8" s="1063" customFormat="1" ht="14.25" customHeight="1" thickBot="1">
      <c r="A213" s="1075" t="s">
        <v>1411</v>
      </c>
      <c r="B213" s="1069" t="s">
        <v>1149</v>
      </c>
      <c r="C213" s="1069">
        <v>4640</v>
      </c>
      <c r="D213" s="1069">
        <v>4590</v>
      </c>
      <c r="E213" s="1069">
        <v>4700</v>
      </c>
      <c r="F213" s="1087">
        <v>1030</v>
      </c>
      <c r="H213" s="1094"/>
    </row>
    <row r="214" spans="1:8" s="1063" customFormat="1" ht="14.25" customHeight="1" thickBot="1">
      <c r="A214" s="1075" t="s">
        <v>1411</v>
      </c>
      <c r="B214" s="1069" t="s">
        <v>1161</v>
      </c>
      <c r="C214" s="1069">
        <v>4540</v>
      </c>
      <c r="D214" s="1069">
        <v>4490</v>
      </c>
      <c r="E214" s="1069">
        <v>4610</v>
      </c>
      <c r="F214" s="1096"/>
      <c r="H214" s="1094"/>
    </row>
    <row r="215" spans="1:8" s="1063" customFormat="1" ht="14.25" customHeight="1" thickBot="1">
      <c r="A215" s="1075" t="s">
        <v>1411</v>
      </c>
      <c r="B215" s="1069" t="s">
        <v>1171</v>
      </c>
      <c r="C215" s="1069">
        <v>5280</v>
      </c>
      <c r="D215" s="1069">
        <v>5250</v>
      </c>
      <c r="E215" s="1069">
        <v>5520</v>
      </c>
      <c r="F215" s="1087">
        <v>1000</v>
      </c>
      <c r="H215" s="1094"/>
    </row>
    <row r="216" spans="1:8" s="1063" customFormat="1" ht="14.25" customHeight="1" thickBot="1">
      <c r="A216" s="1075" t="s">
        <v>1411</v>
      </c>
      <c r="B216" s="1069" t="s">
        <v>1181</v>
      </c>
      <c r="C216" s="1069">
        <v>5100</v>
      </c>
      <c r="D216" s="1069">
        <v>5050</v>
      </c>
      <c r="E216" s="1069">
        <v>5300</v>
      </c>
      <c r="F216" s="1087">
        <v>950</v>
      </c>
      <c r="H216" s="1094"/>
    </row>
    <row r="217" spans="1:8" s="1063" customFormat="1" ht="14.25" customHeight="1" thickBot="1">
      <c r="A217" s="1075" t="s">
        <v>1411</v>
      </c>
      <c r="B217" s="1069" t="s">
        <v>1191</v>
      </c>
      <c r="C217" s="1069">
        <v>5370</v>
      </c>
      <c r="D217" s="1069">
        <v>5320</v>
      </c>
      <c r="E217" s="1069">
        <v>5410</v>
      </c>
      <c r="F217" s="1087">
        <v>950</v>
      </c>
      <c r="H217" s="1094"/>
    </row>
    <row r="218" spans="1:8" s="1063" customFormat="1" ht="14.25" customHeight="1" thickBot="1">
      <c r="A218" s="1075" t="s">
        <v>1411</v>
      </c>
      <c r="B218" s="1069" t="s">
        <v>1201</v>
      </c>
      <c r="C218" s="1069">
        <v>5540</v>
      </c>
      <c r="D218" s="1069">
        <v>5480</v>
      </c>
      <c r="E218" s="1069">
        <v>5740</v>
      </c>
      <c r="F218" s="1087">
        <v>1020</v>
      </c>
      <c r="H218" s="1094"/>
    </row>
    <row r="219" spans="1:8" s="1063" customFormat="1" ht="14.25" customHeight="1" thickBot="1">
      <c r="A219" s="1075" t="s">
        <v>1411</v>
      </c>
      <c r="B219" s="1069" t="s">
        <v>1211</v>
      </c>
      <c r="C219" s="1069">
        <v>5140</v>
      </c>
      <c r="D219" s="1069">
        <v>5100</v>
      </c>
      <c r="E219" s="1069">
        <v>5350</v>
      </c>
      <c r="F219" s="1087">
        <v>1120</v>
      </c>
      <c r="H219" s="1094"/>
    </row>
    <row r="220" spans="1:8" s="1063" customFormat="1" ht="14.25" customHeight="1" thickBot="1">
      <c r="A220" s="1075" t="s">
        <v>1411</v>
      </c>
      <c r="B220" s="1069" t="s">
        <v>1221</v>
      </c>
      <c r="C220" s="1069">
        <v>5040</v>
      </c>
      <c r="D220" s="1069">
        <v>5000</v>
      </c>
      <c r="E220" s="1069">
        <v>5240</v>
      </c>
      <c r="F220" s="1087">
        <v>980</v>
      </c>
      <c r="H220" s="1094"/>
    </row>
    <row r="221" spans="1:8" s="1063" customFormat="1" ht="14.25" customHeight="1" thickBot="1">
      <c r="A221" s="1075" t="s">
        <v>1411</v>
      </c>
      <c r="B221" s="1069" t="s">
        <v>1231</v>
      </c>
      <c r="C221" s="1097"/>
      <c r="D221" s="1097"/>
      <c r="E221" s="1097"/>
      <c r="F221" s="1087">
        <v>1070</v>
      </c>
      <c r="H221" s="1094"/>
    </row>
    <row r="222" spans="1:8" s="1063" customFormat="1" ht="14.25" customHeight="1" thickBot="1">
      <c r="A222" s="1075" t="s">
        <v>1411</v>
      </c>
      <c r="B222" s="1069" t="s">
        <v>1241</v>
      </c>
      <c r="C222" s="1097"/>
      <c r="D222" s="1097"/>
      <c r="E222" s="1097"/>
      <c r="F222" s="1087">
        <v>870</v>
      </c>
      <c r="H222" s="1094"/>
    </row>
    <row r="223" spans="1:8" s="1063" customFormat="1" ht="14.25" customHeight="1" thickBot="1">
      <c r="A223" s="1075" t="s">
        <v>1411</v>
      </c>
      <c r="B223" s="1069" t="s">
        <v>1251</v>
      </c>
      <c r="C223" s="1097"/>
      <c r="D223" s="1097"/>
      <c r="E223" s="1097"/>
      <c r="F223" s="1087">
        <v>940</v>
      </c>
      <c r="H223" s="1094"/>
    </row>
    <row r="224" spans="1:8" s="1063" customFormat="1" ht="14.25" customHeight="1" thickBot="1">
      <c r="A224" s="1075" t="s">
        <v>1411</v>
      </c>
      <c r="B224" s="1069" t="s">
        <v>1261</v>
      </c>
      <c r="C224" s="1097"/>
      <c r="D224" s="1097"/>
      <c r="E224" s="1097"/>
      <c r="F224" s="1087">
        <v>990</v>
      </c>
      <c r="H224" s="1094"/>
    </row>
    <row r="225" spans="1:8" s="1063" customFormat="1" ht="14.25" customHeight="1" thickBot="1">
      <c r="A225" s="1075" t="s">
        <v>1411</v>
      </c>
      <c r="B225" s="1069" t="s">
        <v>1270</v>
      </c>
      <c r="C225" s="1069">
        <v>5730</v>
      </c>
      <c r="D225" s="1069">
        <v>5680</v>
      </c>
      <c r="E225" s="1069">
        <v>6020</v>
      </c>
      <c r="F225" s="1087">
        <v>1000</v>
      </c>
      <c r="H225" s="1094"/>
    </row>
    <row r="226" spans="1:8" s="1063" customFormat="1" ht="14.25" customHeight="1" thickBot="1">
      <c r="A226" s="1075" t="s">
        <v>1411</v>
      </c>
      <c r="B226" s="1069" t="s">
        <v>1279</v>
      </c>
      <c r="C226" s="1069">
        <v>4970</v>
      </c>
      <c r="D226" s="1069">
        <v>4940</v>
      </c>
      <c r="E226" s="1069">
        <v>5180</v>
      </c>
      <c r="F226" s="1087">
        <v>960</v>
      </c>
      <c r="H226" s="1094"/>
    </row>
    <row r="227" spans="1:8" s="1063" customFormat="1" ht="14.25" customHeight="1" thickBot="1">
      <c r="A227" s="1075" t="s">
        <v>1411</v>
      </c>
      <c r="B227" s="1069" t="s">
        <v>1287</v>
      </c>
      <c r="C227" s="1069">
        <v>5550</v>
      </c>
      <c r="D227" s="1069">
        <v>5500</v>
      </c>
      <c r="E227" s="1069">
        <v>5780</v>
      </c>
      <c r="F227" s="1087">
        <v>940</v>
      </c>
      <c r="H227" s="1094"/>
    </row>
    <row r="228" spans="1:8" s="1063" customFormat="1" ht="14.25" customHeight="1" thickBot="1">
      <c r="A228" s="1075" t="s">
        <v>1411</v>
      </c>
      <c r="B228" s="1069" t="s">
        <v>1294</v>
      </c>
      <c r="C228" s="1069">
        <v>5460</v>
      </c>
      <c r="D228" s="1069">
        <v>5420</v>
      </c>
      <c r="E228" s="1069">
        <v>5690</v>
      </c>
      <c r="F228" s="1087">
        <v>910</v>
      </c>
      <c r="H228" s="1094"/>
    </row>
    <row r="229" spans="1:8" s="1063" customFormat="1" ht="14.25" customHeight="1" thickBot="1">
      <c r="A229" s="1075" t="s">
        <v>1411</v>
      </c>
      <c r="B229" s="1069" t="s">
        <v>1301</v>
      </c>
      <c r="C229" s="1069">
        <v>5310</v>
      </c>
      <c r="D229" s="1069">
        <v>5270</v>
      </c>
      <c r="E229" s="1069">
        <v>5510</v>
      </c>
      <c r="F229" s="1096"/>
      <c r="H229" s="1094"/>
    </row>
    <row r="230" spans="1:8" s="1063" customFormat="1" ht="14.25" customHeight="1" thickBot="1">
      <c r="A230" s="1075" t="s">
        <v>1411</v>
      </c>
      <c r="B230" s="1069" t="s">
        <v>1308</v>
      </c>
      <c r="C230" s="1069">
        <v>4540</v>
      </c>
      <c r="D230" s="1069">
        <v>4500</v>
      </c>
      <c r="E230" s="1069">
        <v>4730</v>
      </c>
      <c r="F230" s="1096"/>
      <c r="H230" s="1094"/>
    </row>
    <row r="231" spans="1:8" s="1063" customFormat="1" ht="14.25" customHeight="1" thickBot="1">
      <c r="A231" s="1075" t="s">
        <v>1411</v>
      </c>
      <c r="B231" s="1069" t="s">
        <v>1315</v>
      </c>
      <c r="C231" s="1069">
        <v>4480</v>
      </c>
      <c r="D231" s="1069">
        <v>4410</v>
      </c>
      <c r="E231" s="1069">
        <v>4640</v>
      </c>
      <c r="F231" s="1096"/>
      <c r="H231" s="1094"/>
    </row>
    <row r="232" spans="1:8" s="1063" customFormat="1" ht="14.25" customHeight="1" thickBot="1">
      <c r="A232" s="1075" t="s">
        <v>1411</v>
      </c>
      <c r="B232" s="1069" t="s">
        <v>1322</v>
      </c>
      <c r="C232" s="1069">
        <v>5670</v>
      </c>
      <c r="D232" s="1069">
        <v>5600</v>
      </c>
      <c r="E232" s="1069">
        <v>5890</v>
      </c>
      <c r="F232" s="1087">
        <v>1150</v>
      </c>
      <c r="H232" s="1094"/>
    </row>
    <row r="233" spans="1:8" s="1063" customFormat="1" ht="14.25" customHeight="1" thickBot="1">
      <c r="A233" s="1075" t="s">
        <v>1411</v>
      </c>
      <c r="B233" s="1069" t="s">
        <v>1329</v>
      </c>
      <c r="C233" s="1069">
        <v>4590</v>
      </c>
      <c r="D233" s="1069">
        <v>4500</v>
      </c>
      <c r="E233" s="1069">
        <v>4600</v>
      </c>
      <c r="F233" s="1096"/>
      <c r="H233" s="1094"/>
    </row>
    <row r="234" spans="1:8" s="1063" customFormat="1" ht="14.25" customHeight="1" thickBot="1">
      <c r="A234" s="1075" t="s">
        <v>1411</v>
      </c>
      <c r="B234" s="1069" t="s">
        <v>2418</v>
      </c>
      <c r="C234" s="1069">
        <v>3990</v>
      </c>
      <c r="D234" s="1069">
        <v>3950</v>
      </c>
      <c r="E234" s="1069">
        <v>4180</v>
      </c>
      <c r="F234" s="1096"/>
      <c r="H234" s="1094"/>
    </row>
    <row r="235" spans="1:8" s="1063" customFormat="1" ht="14.25" customHeight="1" thickBot="1">
      <c r="A235" s="1075" t="s">
        <v>1411</v>
      </c>
      <c r="B235" s="1069" t="s">
        <v>1338</v>
      </c>
      <c r="C235" s="1069">
        <v>5590</v>
      </c>
      <c r="D235" s="1069">
        <v>5540</v>
      </c>
      <c r="E235" s="1069">
        <v>5810</v>
      </c>
      <c r="F235" s="1087">
        <v>970</v>
      </c>
      <c r="H235" s="1094"/>
    </row>
    <row r="236" spans="1:8" s="1063" customFormat="1" ht="14.25" customHeight="1" thickBot="1">
      <c r="A236" s="1075" t="s">
        <v>1411</v>
      </c>
      <c r="B236" s="1069" t="s">
        <v>1343</v>
      </c>
      <c r="C236" s="1069"/>
      <c r="D236" s="1069"/>
      <c r="E236" s="1069"/>
      <c r="F236" s="1087">
        <v>1020</v>
      </c>
      <c r="H236" s="1094"/>
    </row>
    <row r="237" spans="1:8" s="1063" customFormat="1" ht="14.25" customHeight="1" thickBot="1">
      <c r="A237" s="1075" t="s">
        <v>1411</v>
      </c>
      <c r="B237" s="1069" t="s">
        <v>1348</v>
      </c>
      <c r="C237" s="1069"/>
      <c r="D237" s="1069"/>
      <c r="E237" s="1069"/>
      <c r="F237" s="1087">
        <v>960</v>
      </c>
      <c r="H237" s="1094"/>
    </row>
    <row r="238" spans="1:8" s="1063" customFormat="1" ht="14.25" customHeight="1" thickBot="1">
      <c r="A238" s="1075" t="s">
        <v>1411</v>
      </c>
      <c r="B238" s="1069" t="s">
        <v>1353</v>
      </c>
      <c r="C238" s="1069"/>
      <c r="D238" s="1069"/>
      <c r="E238" s="1069"/>
      <c r="F238" s="1087">
        <v>960</v>
      </c>
      <c r="H238" s="1094"/>
    </row>
    <row r="239" spans="1:8" s="1063" customFormat="1" ht="14.25" customHeight="1" thickBot="1">
      <c r="A239" s="1075" t="s">
        <v>1411</v>
      </c>
      <c r="B239" s="1069" t="s">
        <v>1358</v>
      </c>
      <c r="C239" s="1069"/>
      <c r="D239" s="1069"/>
      <c r="E239" s="1069"/>
      <c r="F239" s="1087">
        <v>960</v>
      </c>
      <c r="H239" s="1094"/>
    </row>
    <row r="240" spans="1:8" s="1063" customFormat="1" ht="14.25" customHeight="1" thickBot="1">
      <c r="A240" s="1075" t="s">
        <v>1411</v>
      </c>
      <c r="B240" s="1069" t="s">
        <v>1362</v>
      </c>
      <c r="C240" s="1069"/>
      <c r="D240" s="1069"/>
      <c r="E240" s="1069"/>
      <c r="F240" s="1087">
        <v>990</v>
      </c>
      <c r="H240" s="1094"/>
    </row>
    <row r="241" spans="1:8" s="1063" customFormat="1" ht="14.25" customHeight="1" thickBot="1">
      <c r="A241" s="1075" t="s">
        <v>1411</v>
      </c>
      <c r="B241" s="1069" t="s">
        <v>1366</v>
      </c>
      <c r="C241" s="1069"/>
      <c r="D241" s="1069"/>
      <c r="E241" s="1069"/>
      <c r="F241" s="1087">
        <v>1000</v>
      </c>
      <c r="H241" s="1094"/>
    </row>
    <row r="242" spans="1:8" s="1063" customFormat="1" ht="14.25" customHeight="1" thickBot="1">
      <c r="A242" s="1075" t="s">
        <v>1411</v>
      </c>
      <c r="B242" s="1069" t="s">
        <v>1370</v>
      </c>
      <c r="C242" s="1069"/>
      <c r="D242" s="1069"/>
      <c r="E242" s="1069"/>
      <c r="F242" s="1087">
        <v>980</v>
      </c>
      <c r="H242" s="1094"/>
    </row>
    <row r="243" spans="1:8" s="1063" customFormat="1" ht="14.25" customHeight="1" thickBot="1">
      <c r="A243" s="1075" t="s">
        <v>1411</v>
      </c>
      <c r="B243" s="1069" t="s">
        <v>1374</v>
      </c>
      <c r="C243" s="1069"/>
      <c r="D243" s="1069"/>
      <c r="E243" s="1069"/>
      <c r="F243" s="1087">
        <v>970</v>
      </c>
      <c r="H243" s="1094"/>
    </row>
    <row r="244" spans="1:8" s="1063" customFormat="1" ht="14.25" customHeight="1" thickBot="1">
      <c r="A244" s="1075" t="s">
        <v>1411</v>
      </c>
      <c r="B244" s="1085" t="s">
        <v>1378</v>
      </c>
      <c r="C244" s="1085"/>
      <c r="D244" s="1085"/>
      <c r="E244" s="1085"/>
      <c r="F244" s="1095">
        <v>970</v>
      </c>
      <c r="H244" s="1094"/>
    </row>
    <row r="245" spans="1:8" s="1063" customFormat="1" ht="14.25" customHeight="1" thickBot="1">
      <c r="A245" s="1075" t="s">
        <v>1413</v>
      </c>
      <c r="B245" s="1076" t="s">
        <v>1414</v>
      </c>
      <c r="C245" s="1076">
        <v>4050</v>
      </c>
      <c r="D245" s="1076">
        <v>4020</v>
      </c>
      <c r="E245" s="1076">
        <v>4160</v>
      </c>
      <c r="F245" s="1077">
        <v>840</v>
      </c>
      <c r="H245" s="1094"/>
    </row>
    <row r="246" spans="1:8" s="1063" customFormat="1" ht="14.25" customHeight="1" thickBot="1">
      <c r="A246" s="1075" t="s">
        <v>1413</v>
      </c>
      <c r="B246" s="1069" t="s">
        <v>1076</v>
      </c>
      <c r="C246" s="1069">
        <v>4010</v>
      </c>
      <c r="D246" s="1069">
        <v>3960</v>
      </c>
      <c r="E246" s="1069">
        <v>4130</v>
      </c>
      <c r="F246" s="1087">
        <v>840</v>
      </c>
      <c r="H246" s="1094"/>
    </row>
    <row r="247" spans="1:8" s="1063" customFormat="1" ht="14.25" customHeight="1" thickBot="1">
      <c r="A247" s="1075" t="s">
        <v>1413</v>
      </c>
      <c r="B247" s="1069" t="s">
        <v>1415</v>
      </c>
      <c r="C247" s="1069">
        <v>3170</v>
      </c>
      <c r="D247" s="1069">
        <v>3140</v>
      </c>
      <c r="E247" s="1069">
        <v>3270</v>
      </c>
      <c r="F247" s="1087">
        <v>640</v>
      </c>
      <c r="H247" s="1094"/>
    </row>
    <row r="248" spans="1:8" s="1063" customFormat="1" ht="14.25" customHeight="1" thickBot="1">
      <c r="A248" s="1075" t="s">
        <v>1413</v>
      </c>
      <c r="B248" s="1069" t="s">
        <v>1416</v>
      </c>
      <c r="C248" s="1069">
        <v>3140</v>
      </c>
      <c r="D248" s="1069">
        <v>3120</v>
      </c>
      <c r="E248" s="1069">
        <v>3240</v>
      </c>
      <c r="F248" s="1087">
        <v>620</v>
      </c>
      <c r="H248" s="1094"/>
    </row>
    <row r="249" spans="1:8" s="1063" customFormat="1" ht="14.25" customHeight="1" thickBot="1">
      <c r="A249" s="1075" t="s">
        <v>1413</v>
      </c>
      <c r="B249" s="1069" t="s">
        <v>1117</v>
      </c>
      <c r="C249" s="1069">
        <v>3200</v>
      </c>
      <c r="D249" s="1069">
        <v>3100</v>
      </c>
      <c r="E249" s="1069">
        <v>3230</v>
      </c>
      <c r="F249" s="1087">
        <v>750</v>
      </c>
      <c r="H249" s="1094"/>
    </row>
    <row r="250" spans="1:8" s="1063" customFormat="1" ht="14.25" customHeight="1" thickBot="1">
      <c r="A250" s="1075" t="s">
        <v>1413</v>
      </c>
      <c r="B250" s="1069" t="s">
        <v>1128</v>
      </c>
      <c r="C250" s="1069">
        <v>4060</v>
      </c>
      <c r="D250" s="1069">
        <v>4000</v>
      </c>
      <c r="E250" s="1069">
        <v>4140</v>
      </c>
      <c r="F250" s="1087">
        <v>790</v>
      </c>
      <c r="H250" s="1094"/>
    </row>
    <row r="251" spans="1:8" s="1063" customFormat="1" ht="14.25" customHeight="1" thickBot="1">
      <c r="A251" s="1075" t="s">
        <v>1413</v>
      </c>
      <c r="B251" s="1069" t="s">
        <v>1139</v>
      </c>
      <c r="C251" s="1069">
        <v>3990</v>
      </c>
      <c r="D251" s="1069">
        <v>3970</v>
      </c>
      <c r="E251" s="1069">
        <v>4110</v>
      </c>
      <c r="F251" s="1087">
        <v>730</v>
      </c>
      <c r="H251" s="1094"/>
    </row>
    <row r="252" spans="1:8" s="1063" customFormat="1" ht="14.25" customHeight="1" thickBot="1">
      <c r="A252" s="1075" t="s">
        <v>1413</v>
      </c>
      <c r="B252" s="1069" t="s">
        <v>1150</v>
      </c>
      <c r="C252" s="1069">
        <v>3560</v>
      </c>
      <c r="D252" s="1069">
        <v>3530</v>
      </c>
      <c r="E252" s="1069">
        <v>3650</v>
      </c>
      <c r="F252" s="1087">
        <v>750</v>
      </c>
      <c r="H252" s="1094"/>
    </row>
    <row r="253" spans="1:8" s="1063" customFormat="1" ht="14.25" customHeight="1" thickBot="1">
      <c r="A253" s="1075" t="s">
        <v>1413</v>
      </c>
      <c r="B253" s="1069" t="s">
        <v>1162</v>
      </c>
      <c r="C253" s="1069">
        <v>3780</v>
      </c>
      <c r="D253" s="1069">
        <v>3750</v>
      </c>
      <c r="E253" s="1069">
        <v>3870</v>
      </c>
      <c r="F253" s="1087">
        <v>770</v>
      </c>
      <c r="H253" s="1094"/>
    </row>
    <row r="254" spans="1:8" s="1063" customFormat="1" ht="14.25" customHeight="1" thickBot="1">
      <c r="A254" s="1075" t="s">
        <v>1413</v>
      </c>
      <c r="B254" s="1069" t="s">
        <v>1172</v>
      </c>
      <c r="C254" s="1097"/>
      <c r="D254" s="1097"/>
      <c r="E254" s="1097"/>
      <c r="F254" s="1087">
        <v>740</v>
      </c>
      <c r="H254" s="1094"/>
    </row>
    <row r="255" spans="1:8" s="1063" customFormat="1" ht="14.25" customHeight="1" thickBot="1">
      <c r="A255" s="1075" t="s">
        <v>1413</v>
      </c>
      <c r="B255" s="1069" t="s">
        <v>1182</v>
      </c>
      <c r="C255" s="1097"/>
      <c r="D255" s="1097"/>
      <c r="E255" s="1097"/>
      <c r="F255" s="1087">
        <v>760</v>
      </c>
      <c r="H255" s="1094"/>
    </row>
    <row r="256" spans="1:8" s="1063" customFormat="1" ht="14.25" customHeight="1" thickBot="1">
      <c r="A256" s="1075" t="s">
        <v>1413</v>
      </c>
      <c r="B256" s="1069" t="s">
        <v>1192</v>
      </c>
      <c r="C256" s="1069">
        <v>3760</v>
      </c>
      <c r="D256" s="1069">
        <v>3730</v>
      </c>
      <c r="E256" s="1069">
        <v>3870</v>
      </c>
      <c r="F256" s="1087">
        <v>830</v>
      </c>
      <c r="H256" s="1094"/>
    </row>
    <row r="257" spans="1:8" s="1063" customFormat="1" ht="14.25" customHeight="1" thickBot="1">
      <c r="A257" s="1075" t="s">
        <v>1413</v>
      </c>
      <c r="B257" s="1069" t="s">
        <v>1202</v>
      </c>
      <c r="C257" s="1069">
        <v>3570</v>
      </c>
      <c r="D257" s="1069">
        <v>3540</v>
      </c>
      <c r="E257" s="1069">
        <v>3650</v>
      </c>
      <c r="F257" s="1087">
        <v>790</v>
      </c>
      <c r="H257" s="1094"/>
    </row>
    <row r="258" spans="1:8" s="1063" customFormat="1" ht="14.25" customHeight="1" thickBot="1">
      <c r="A258" s="1075" t="s">
        <v>1413</v>
      </c>
      <c r="B258" s="1069" t="s">
        <v>1212</v>
      </c>
      <c r="C258" s="1069">
        <v>3410</v>
      </c>
      <c r="D258" s="1069">
        <v>3380</v>
      </c>
      <c r="E258" s="1069">
        <v>3500</v>
      </c>
      <c r="F258" s="1087">
        <v>830</v>
      </c>
      <c r="H258" s="1094"/>
    </row>
    <row r="259" spans="1:8" s="1063" customFormat="1" ht="14.25" customHeight="1" thickBot="1">
      <c r="A259" s="1075" t="s">
        <v>1413</v>
      </c>
      <c r="B259" s="1069" t="s">
        <v>1222</v>
      </c>
      <c r="C259" s="1069">
        <v>3870</v>
      </c>
      <c r="D259" s="1069">
        <v>3840</v>
      </c>
      <c r="E259" s="1069">
        <v>3970</v>
      </c>
      <c r="F259" s="1087">
        <v>830</v>
      </c>
      <c r="H259" s="1094"/>
    </row>
    <row r="260" spans="1:8" s="1063" customFormat="1" ht="14.25" customHeight="1" thickBot="1">
      <c r="A260" s="1075" t="s">
        <v>1413</v>
      </c>
      <c r="B260" s="1069" t="s">
        <v>1232</v>
      </c>
      <c r="C260" s="1069">
        <v>3700</v>
      </c>
      <c r="D260" s="1069">
        <v>3660</v>
      </c>
      <c r="E260" s="1069">
        <v>3810</v>
      </c>
      <c r="F260" s="1087">
        <v>790</v>
      </c>
      <c r="H260" s="1094"/>
    </row>
    <row r="261" spans="1:8" s="1063" customFormat="1" ht="14.25" customHeight="1" thickBot="1">
      <c r="A261" s="1075" t="s">
        <v>1413</v>
      </c>
      <c r="B261" s="1069" t="s">
        <v>1242</v>
      </c>
      <c r="C261" s="1069">
        <v>3470</v>
      </c>
      <c r="D261" s="1069">
        <v>3430</v>
      </c>
      <c r="E261" s="1069">
        <v>3640</v>
      </c>
      <c r="F261" s="1087">
        <v>760</v>
      </c>
      <c r="H261" s="1094"/>
    </row>
    <row r="262" spans="1:8" s="1063" customFormat="1" ht="14.25" customHeight="1" thickBot="1">
      <c r="A262" s="1075" t="s">
        <v>1413</v>
      </c>
      <c r="B262" s="1069" t="s">
        <v>1252</v>
      </c>
      <c r="C262" s="1069">
        <v>3510</v>
      </c>
      <c r="D262" s="1069">
        <v>3470</v>
      </c>
      <c r="E262" s="1069">
        <v>3680</v>
      </c>
      <c r="F262" s="1096"/>
      <c r="H262" s="1094"/>
    </row>
    <row r="263" spans="1:8" s="1063" customFormat="1" ht="14.25" customHeight="1" thickBot="1">
      <c r="A263" s="1075" t="s">
        <v>1413</v>
      </c>
      <c r="B263" s="1069" t="s">
        <v>1262</v>
      </c>
      <c r="C263" s="1069">
        <v>3960</v>
      </c>
      <c r="D263" s="1069">
        <v>3930</v>
      </c>
      <c r="E263" s="1069">
        <v>4070</v>
      </c>
      <c r="F263" s="1087">
        <v>830</v>
      </c>
      <c r="H263" s="1094"/>
    </row>
    <row r="264" spans="1:8" s="1063" customFormat="1" ht="14.25" customHeight="1" thickBot="1">
      <c r="A264" s="1075" t="s">
        <v>1413</v>
      </c>
      <c r="B264" s="1069" t="s">
        <v>1271</v>
      </c>
      <c r="C264" s="1069">
        <v>4010</v>
      </c>
      <c r="D264" s="1069">
        <v>3980</v>
      </c>
      <c r="E264" s="1069">
        <v>4150</v>
      </c>
      <c r="F264" s="1087">
        <v>760</v>
      </c>
      <c r="H264" s="1094"/>
    </row>
    <row r="265" spans="1:8" s="1063" customFormat="1" ht="14.25" customHeight="1" thickBot="1">
      <c r="A265" s="1075" t="s">
        <v>1413</v>
      </c>
      <c r="B265" s="1069" t="s">
        <v>1280</v>
      </c>
      <c r="C265" s="1069">
        <v>3910</v>
      </c>
      <c r="D265" s="1069">
        <v>3890</v>
      </c>
      <c r="E265" s="1069">
        <v>4040</v>
      </c>
      <c r="F265" s="1087">
        <v>780</v>
      </c>
      <c r="H265" s="1094"/>
    </row>
    <row r="266" spans="1:8" s="1063" customFormat="1" ht="14.25" customHeight="1" thickBot="1">
      <c r="A266" s="1075" t="s">
        <v>1413</v>
      </c>
      <c r="B266" s="1069" t="s">
        <v>1288</v>
      </c>
      <c r="C266" s="1069">
        <v>3930</v>
      </c>
      <c r="D266" s="1069">
        <v>3900</v>
      </c>
      <c r="E266" s="1069">
        <v>4080</v>
      </c>
      <c r="F266" s="1087">
        <v>770</v>
      </c>
      <c r="H266" s="1094"/>
    </row>
    <row r="267" spans="1:8" s="1063" customFormat="1" ht="14.25" customHeight="1" thickBot="1">
      <c r="A267" s="1075" t="s">
        <v>1413</v>
      </c>
      <c r="B267" s="1069" t="s">
        <v>1295</v>
      </c>
      <c r="C267" s="1069">
        <v>3800</v>
      </c>
      <c r="D267" s="1069">
        <v>3780</v>
      </c>
      <c r="E267" s="1069">
        <v>3930</v>
      </c>
      <c r="F267" s="1096"/>
      <c r="H267" s="1094"/>
    </row>
    <row r="268" spans="1:8" s="1063" customFormat="1" ht="14.25" customHeight="1" thickBot="1">
      <c r="A268" s="1075" t="s">
        <v>1413</v>
      </c>
      <c r="B268" s="1069" t="s">
        <v>1302</v>
      </c>
      <c r="C268" s="1069">
        <v>3460</v>
      </c>
      <c r="D268" s="1069">
        <v>3430</v>
      </c>
      <c r="E268" s="1069">
        <v>3560</v>
      </c>
      <c r="F268" s="1087">
        <v>840</v>
      </c>
      <c r="H268" s="1094"/>
    </row>
    <row r="269" spans="1:8" s="1063" customFormat="1" ht="14.25" customHeight="1" thickBot="1">
      <c r="A269" s="1075" t="s">
        <v>1413</v>
      </c>
      <c r="B269" s="1069" t="s">
        <v>1309</v>
      </c>
      <c r="C269" s="1069">
        <v>3210</v>
      </c>
      <c r="D269" s="1069">
        <v>3190</v>
      </c>
      <c r="E269" s="1069">
        <v>3310</v>
      </c>
      <c r="F269" s="1087">
        <v>730</v>
      </c>
      <c r="H269" s="1094"/>
    </row>
    <row r="270" spans="1:8" s="1063" customFormat="1" ht="14.25" customHeight="1" thickBot="1">
      <c r="A270" s="1075" t="s">
        <v>1413</v>
      </c>
      <c r="B270" s="1069" t="s">
        <v>1316</v>
      </c>
      <c r="C270" s="1069">
        <v>3240</v>
      </c>
      <c r="D270" s="1069">
        <v>3210</v>
      </c>
      <c r="E270" s="1069">
        <v>3390</v>
      </c>
      <c r="F270" s="1087">
        <v>820</v>
      </c>
      <c r="H270" s="1094"/>
    </row>
    <row r="271" spans="1:8" s="1063" customFormat="1" ht="14.25" customHeight="1" thickBot="1">
      <c r="A271" s="1075" t="s">
        <v>1413</v>
      </c>
      <c r="B271" s="1069" t="s">
        <v>1323</v>
      </c>
      <c r="C271" s="1069">
        <v>3300</v>
      </c>
      <c r="D271" s="1069">
        <v>3270</v>
      </c>
      <c r="E271" s="1069">
        <v>3380</v>
      </c>
      <c r="F271" s="1087">
        <v>750</v>
      </c>
      <c r="H271" s="1094"/>
    </row>
    <row r="272" spans="1:8" s="1063" customFormat="1" ht="14.25" customHeight="1" thickBot="1">
      <c r="A272" s="1075" t="s">
        <v>1413</v>
      </c>
      <c r="B272" s="1069" t="s">
        <v>1330</v>
      </c>
      <c r="C272" s="1097"/>
      <c r="D272" s="1097"/>
      <c r="E272" s="1097"/>
      <c r="F272" s="1087">
        <v>740</v>
      </c>
      <c r="H272" s="1094"/>
    </row>
    <row r="273" spans="1:8" s="1063" customFormat="1" ht="14.25" customHeight="1" thickBot="1">
      <c r="A273" s="1075" t="s">
        <v>1413</v>
      </c>
      <c r="B273" s="1069" t="s">
        <v>1334</v>
      </c>
      <c r="C273" s="1069">
        <v>3130</v>
      </c>
      <c r="D273" s="1069">
        <v>3100</v>
      </c>
      <c r="E273" s="1069">
        <v>3230</v>
      </c>
      <c r="F273" s="1087">
        <v>700</v>
      </c>
      <c r="H273" s="1094"/>
    </row>
    <row r="274" spans="1:8" s="1063" customFormat="1" ht="14.25" customHeight="1" thickBot="1">
      <c r="A274" s="1075" t="s">
        <v>1413</v>
      </c>
      <c r="B274" s="1069" t="s">
        <v>1339</v>
      </c>
      <c r="C274" s="1069">
        <v>3460</v>
      </c>
      <c r="D274" s="1069">
        <v>3430</v>
      </c>
      <c r="E274" s="1069">
        <v>3560</v>
      </c>
      <c r="F274" s="1087">
        <v>690</v>
      </c>
      <c r="H274" s="1094"/>
    </row>
    <row r="275" spans="1:8" s="1063" customFormat="1" ht="14.25" customHeight="1" thickBot="1">
      <c r="A275" s="1075" t="s">
        <v>1413</v>
      </c>
      <c r="B275" s="1069" t="s">
        <v>1344</v>
      </c>
      <c r="C275" s="1069">
        <v>4040</v>
      </c>
      <c r="D275" s="1069">
        <v>4020</v>
      </c>
      <c r="E275" s="1069">
        <v>4160</v>
      </c>
      <c r="F275" s="1087">
        <v>820</v>
      </c>
      <c r="H275" s="1094"/>
    </row>
    <row r="276" spans="1:8" s="1063" customFormat="1" ht="14.25" customHeight="1" thickBot="1">
      <c r="A276" s="1075" t="s">
        <v>1413</v>
      </c>
      <c r="B276" s="1069" t="s">
        <v>1349</v>
      </c>
      <c r="C276" s="1069">
        <v>3270</v>
      </c>
      <c r="D276" s="1069">
        <v>3240</v>
      </c>
      <c r="E276" s="1069">
        <v>3350</v>
      </c>
      <c r="F276" s="1087">
        <v>680</v>
      </c>
      <c r="H276" s="1094"/>
    </row>
    <row r="277" spans="1:8" s="1063" customFormat="1" ht="14.25" customHeight="1" thickBot="1">
      <c r="A277" s="1075" t="s">
        <v>1413</v>
      </c>
      <c r="B277" s="1069" t="s">
        <v>1354</v>
      </c>
      <c r="C277" s="1069">
        <v>2930</v>
      </c>
      <c r="D277" s="1069">
        <v>2900</v>
      </c>
      <c r="E277" s="1069">
        <v>3000</v>
      </c>
      <c r="F277" s="1087">
        <v>640</v>
      </c>
      <c r="H277" s="1094"/>
    </row>
    <row r="278" spans="1:8" s="1063" customFormat="1" ht="14.25" customHeight="1" thickBot="1">
      <c r="A278" s="1075" t="s">
        <v>1413</v>
      </c>
      <c r="B278" s="1069" t="s">
        <v>1359</v>
      </c>
      <c r="C278" s="1069">
        <v>4080</v>
      </c>
      <c r="D278" s="1069">
        <v>4030</v>
      </c>
      <c r="E278" s="1069">
        <v>4140</v>
      </c>
      <c r="F278" s="1087">
        <v>850</v>
      </c>
      <c r="H278" s="1094"/>
    </row>
    <row r="279" spans="1:8" s="1063" customFormat="1" ht="14.25" customHeight="1" thickBot="1">
      <c r="A279" s="1075" t="s">
        <v>1413</v>
      </c>
      <c r="B279" s="1069" t="s">
        <v>1363</v>
      </c>
      <c r="C279" s="1069"/>
      <c r="D279" s="1069"/>
      <c r="E279" s="1069"/>
      <c r="F279" s="1087">
        <v>760</v>
      </c>
      <c r="H279" s="1094"/>
    </row>
    <row r="280" spans="1:8" s="1063" customFormat="1" ht="14.25" customHeight="1" thickBot="1">
      <c r="A280" s="1075" t="s">
        <v>1413</v>
      </c>
      <c r="B280" s="1069" t="s">
        <v>1367</v>
      </c>
      <c r="C280" s="1069"/>
      <c r="D280" s="1069"/>
      <c r="E280" s="1069"/>
      <c r="F280" s="1087">
        <v>760</v>
      </c>
      <c r="H280" s="1094"/>
    </row>
    <row r="281" spans="1:8" s="1063" customFormat="1" ht="14.25" customHeight="1" thickBot="1">
      <c r="A281" s="1075" t="s">
        <v>1413</v>
      </c>
      <c r="B281" s="1069" t="s">
        <v>1371</v>
      </c>
      <c r="C281" s="1069"/>
      <c r="D281" s="1069"/>
      <c r="E281" s="1069"/>
      <c r="F281" s="1087">
        <v>780</v>
      </c>
      <c r="H281" s="1094"/>
    </row>
    <row r="282" spans="1:8" s="1063" customFormat="1" ht="14.25" customHeight="1" thickBot="1">
      <c r="A282" s="1075" t="s">
        <v>1413</v>
      </c>
      <c r="B282" s="1069" t="s">
        <v>1375</v>
      </c>
      <c r="C282" s="1069"/>
      <c r="D282" s="1069"/>
      <c r="E282" s="1069"/>
      <c r="F282" s="1087">
        <v>730</v>
      </c>
      <c r="H282" s="1094"/>
    </row>
    <row r="283" spans="1:8" s="1063" customFormat="1" ht="14.25" customHeight="1" thickBot="1">
      <c r="A283" s="1075" t="s">
        <v>1413</v>
      </c>
      <c r="B283" s="1069" t="s">
        <v>1379</v>
      </c>
      <c r="C283" s="1069"/>
      <c r="D283" s="1069"/>
      <c r="E283" s="1069"/>
      <c r="F283" s="1087">
        <v>770</v>
      </c>
      <c r="H283" s="1094"/>
    </row>
    <row r="284" spans="1:8" s="1063" customFormat="1" ht="14.25" customHeight="1" thickBot="1">
      <c r="A284" s="1075" t="s">
        <v>1413</v>
      </c>
      <c r="B284" s="1069" t="s">
        <v>1382</v>
      </c>
      <c r="C284" s="1069"/>
      <c r="D284" s="1069"/>
      <c r="E284" s="1069"/>
      <c r="F284" s="1087">
        <v>640</v>
      </c>
      <c r="H284" s="1094"/>
    </row>
    <row r="285" spans="1:8" s="1063" customFormat="1" ht="14.25" customHeight="1" thickBot="1">
      <c r="A285" s="1075" t="s">
        <v>1413</v>
      </c>
      <c r="B285" s="1069" t="s">
        <v>1385</v>
      </c>
      <c r="C285" s="1069"/>
      <c r="D285" s="1069"/>
      <c r="E285" s="1069"/>
      <c r="F285" s="1087">
        <v>640</v>
      </c>
      <c r="H285" s="1094"/>
    </row>
    <row r="286" spans="1:8" s="1063" customFormat="1" ht="14.25" customHeight="1" thickBot="1">
      <c r="A286" s="1075" t="s">
        <v>1413</v>
      </c>
      <c r="B286" s="1069" t="s">
        <v>1388</v>
      </c>
      <c r="C286" s="1069"/>
      <c r="D286" s="1069"/>
      <c r="E286" s="1069"/>
      <c r="F286" s="1087">
        <v>850</v>
      </c>
      <c r="H286" s="1094"/>
    </row>
    <row r="287" spans="1:8" s="1063" customFormat="1" ht="14.25" customHeight="1" thickBot="1">
      <c r="A287" s="1075" t="s">
        <v>1413</v>
      </c>
      <c r="B287" s="1069" t="s">
        <v>1391</v>
      </c>
      <c r="C287" s="1069"/>
      <c r="D287" s="1069"/>
      <c r="E287" s="1069"/>
      <c r="F287" s="1087">
        <v>760</v>
      </c>
      <c r="H287" s="1094"/>
    </row>
    <row r="288" spans="1:8" s="1063" customFormat="1" ht="14.25" customHeight="1" thickBot="1">
      <c r="A288" s="1075" t="s">
        <v>1413</v>
      </c>
      <c r="B288" s="1069" t="s">
        <v>1394</v>
      </c>
      <c r="C288" s="1069"/>
      <c r="D288" s="1069"/>
      <c r="E288" s="1069"/>
      <c r="F288" s="1087">
        <v>830</v>
      </c>
      <c r="H288" s="1094"/>
    </row>
    <row r="289" spans="1:8" s="1063" customFormat="1" ht="14.25" customHeight="1" thickBot="1">
      <c r="A289" s="1075" t="s">
        <v>1413</v>
      </c>
      <c r="B289" s="1085" t="s">
        <v>1397</v>
      </c>
      <c r="C289" s="1085"/>
      <c r="D289" s="1085"/>
      <c r="E289" s="1085"/>
      <c r="F289" s="1095">
        <v>680</v>
      </c>
      <c r="H289" s="1094"/>
    </row>
    <row r="290" spans="1:8" s="1063" customFormat="1" ht="14.25" customHeight="1" thickBot="1">
      <c r="A290" s="1075" t="s">
        <v>1417</v>
      </c>
      <c r="B290" s="1076" t="s">
        <v>1418</v>
      </c>
      <c r="C290" s="1076">
        <v>2770</v>
      </c>
      <c r="D290" s="1076">
        <v>2740</v>
      </c>
      <c r="E290" s="1076">
        <v>2720</v>
      </c>
      <c r="F290" s="1098"/>
      <c r="H290" s="1094"/>
    </row>
    <row r="291" spans="1:8" s="1063" customFormat="1" ht="14.25" customHeight="1" thickBot="1">
      <c r="A291" s="1075" t="s">
        <v>1417</v>
      </c>
      <c r="B291" s="1069" t="s">
        <v>1077</v>
      </c>
      <c r="C291" s="1069">
        <v>2670</v>
      </c>
      <c r="D291" s="1069">
        <v>2640</v>
      </c>
      <c r="E291" s="1069">
        <v>2620</v>
      </c>
      <c r="F291" s="1096"/>
      <c r="H291" s="1094"/>
    </row>
    <row r="292" spans="1:8" s="1063" customFormat="1" ht="14.25" customHeight="1" thickBot="1">
      <c r="A292" s="1075" t="s">
        <v>1417</v>
      </c>
      <c r="B292" s="1069" t="s">
        <v>1419</v>
      </c>
      <c r="C292" s="1069">
        <v>2180</v>
      </c>
      <c r="D292" s="1069">
        <v>2140</v>
      </c>
      <c r="E292" s="1069">
        <v>2120</v>
      </c>
      <c r="F292" s="1087">
        <v>490</v>
      </c>
      <c r="H292" s="1094"/>
    </row>
    <row r="293" spans="1:8" s="1063" customFormat="1" ht="14.25" customHeight="1" thickBot="1">
      <c r="A293" s="1075" t="s">
        <v>1417</v>
      </c>
      <c r="B293" s="1069" t="s">
        <v>1420</v>
      </c>
      <c r="C293" s="1069"/>
      <c r="D293" s="1069"/>
      <c r="E293" s="1069"/>
      <c r="F293" s="1087">
        <v>470</v>
      </c>
      <c r="H293" s="1094"/>
    </row>
    <row r="294" spans="1:8" s="1063" customFormat="1" ht="14.25" customHeight="1" thickBot="1">
      <c r="A294" s="1075" t="s">
        <v>1417</v>
      </c>
      <c r="B294" s="1069" t="s">
        <v>1421</v>
      </c>
      <c r="C294" s="1069">
        <v>2730</v>
      </c>
      <c r="D294" s="1069">
        <v>2700</v>
      </c>
      <c r="E294" s="1069">
        <v>2680</v>
      </c>
      <c r="F294" s="1087">
        <v>490</v>
      </c>
      <c r="H294" s="1094"/>
    </row>
    <row r="295" spans="1:8" s="1063" customFormat="1" ht="14.25" customHeight="1" thickBot="1">
      <c r="A295" s="1075" t="s">
        <v>1417</v>
      </c>
      <c r="B295" s="1069" t="s">
        <v>1118</v>
      </c>
      <c r="C295" s="1069">
        <v>2380</v>
      </c>
      <c r="D295" s="1069">
        <v>2350</v>
      </c>
      <c r="E295" s="1069">
        <v>2330</v>
      </c>
      <c r="F295" s="1087">
        <v>530</v>
      </c>
      <c r="H295" s="1094"/>
    </row>
    <row r="296" spans="1:8" s="1063" customFormat="1" ht="14.25" customHeight="1" thickBot="1">
      <c r="A296" s="1075" t="s">
        <v>1417</v>
      </c>
      <c r="B296" s="1069" t="s">
        <v>1129</v>
      </c>
      <c r="C296" s="1069">
        <v>2650</v>
      </c>
      <c r="D296" s="1069">
        <v>2620</v>
      </c>
      <c r="E296" s="1069">
        <v>2590</v>
      </c>
      <c r="F296" s="1087">
        <v>590</v>
      </c>
      <c r="H296" s="1094"/>
    </row>
    <row r="297" spans="1:8" s="1063" customFormat="1" ht="14.25" customHeight="1" thickBot="1">
      <c r="A297" s="1075" t="s">
        <v>1417</v>
      </c>
      <c r="B297" s="1069" t="s">
        <v>1140</v>
      </c>
      <c r="C297" s="1069">
        <v>2700</v>
      </c>
      <c r="D297" s="1069">
        <v>2670</v>
      </c>
      <c r="E297" s="1069">
        <v>2650</v>
      </c>
      <c r="F297" s="1087">
        <v>630</v>
      </c>
      <c r="H297" s="1094"/>
    </row>
    <row r="298" spans="1:8" s="1063" customFormat="1" ht="14.25" customHeight="1" thickBot="1">
      <c r="A298" s="1075" t="s">
        <v>1417</v>
      </c>
      <c r="B298" s="1069" t="s">
        <v>1151</v>
      </c>
      <c r="C298" s="1069">
        <v>2650</v>
      </c>
      <c r="D298" s="1069">
        <v>2620</v>
      </c>
      <c r="E298" s="1069">
        <v>2590</v>
      </c>
      <c r="F298" s="1087">
        <v>640</v>
      </c>
      <c r="H298" s="1094"/>
    </row>
    <row r="299" spans="1:8" s="1063" customFormat="1" ht="14.25" customHeight="1" thickBot="1">
      <c r="A299" s="1075" t="s">
        <v>1417</v>
      </c>
      <c r="B299" s="1069" t="s">
        <v>1163</v>
      </c>
      <c r="C299" s="1069">
        <v>2500</v>
      </c>
      <c r="D299" s="1069">
        <v>2480</v>
      </c>
      <c r="E299" s="1069">
        <v>2460</v>
      </c>
      <c r="F299" s="1096"/>
      <c r="H299" s="1094"/>
    </row>
    <row r="300" spans="1:8" s="1063" customFormat="1" ht="14.25" customHeight="1" thickBot="1">
      <c r="A300" s="1075" t="s">
        <v>1417</v>
      </c>
      <c r="B300" s="1069" t="s">
        <v>1173</v>
      </c>
      <c r="C300" s="1069">
        <v>2760</v>
      </c>
      <c r="D300" s="1069">
        <v>2730</v>
      </c>
      <c r="E300" s="1069">
        <v>2700</v>
      </c>
      <c r="F300" s="1087">
        <v>630</v>
      </c>
      <c r="H300" s="1094"/>
    </row>
    <row r="301" spans="1:8" s="1063" customFormat="1" ht="14.25" customHeight="1" thickBot="1">
      <c r="A301" s="1075" t="s">
        <v>1417</v>
      </c>
      <c r="B301" s="1069" t="s">
        <v>1183</v>
      </c>
      <c r="C301" s="1069">
        <v>2510</v>
      </c>
      <c r="D301" s="1069">
        <v>2480</v>
      </c>
      <c r="E301" s="1069">
        <v>2460</v>
      </c>
      <c r="F301" s="1096"/>
      <c r="H301" s="1094"/>
    </row>
    <row r="302" spans="1:8" s="1063" customFormat="1" ht="14.25" customHeight="1" thickBot="1">
      <c r="A302" s="1075" t="s">
        <v>1417</v>
      </c>
      <c r="B302" s="1069" t="s">
        <v>1193</v>
      </c>
      <c r="C302" s="1069">
        <v>2480</v>
      </c>
      <c r="D302" s="1069">
        <v>2450</v>
      </c>
      <c r="E302" s="1069">
        <v>2420</v>
      </c>
      <c r="F302" s="1087">
        <v>600</v>
      </c>
      <c r="H302" s="1094"/>
    </row>
    <row r="303" spans="1:8" s="1063" customFormat="1" ht="14.25" customHeight="1" thickBot="1">
      <c r="A303" s="1075" t="s">
        <v>1417</v>
      </c>
      <c r="B303" s="1069" t="s">
        <v>1203</v>
      </c>
      <c r="C303" s="1069">
        <v>2270</v>
      </c>
      <c r="D303" s="1069">
        <v>2240</v>
      </c>
      <c r="E303" s="1069">
        <v>2210</v>
      </c>
      <c r="F303" s="1087">
        <v>540</v>
      </c>
      <c r="H303" s="1094"/>
    </row>
    <row r="304" spans="1:8" s="1063" customFormat="1" ht="14.25" customHeight="1" thickBot="1">
      <c r="A304" s="1075" t="s">
        <v>1417</v>
      </c>
      <c r="B304" s="1069" t="s">
        <v>1213</v>
      </c>
      <c r="C304" s="1069">
        <v>2310</v>
      </c>
      <c r="D304" s="1069">
        <v>2290</v>
      </c>
      <c r="E304" s="1069">
        <v>2270</v>
      </c>
      <c r="F304" s="1096"/>
      <c r="H304" s="1094"/>
    </row>
    <row r="305" spans="1:8" s="1063" customFormat="1" ht="14.25" customHeight="1" thickBot="1">
      <c r="A305" s="1075" t="s">
        <v>1417</v>
      </c>
      <c r="B305" s="1069" t="s">
        <v>1223</v>
      </c>
      <c r="C305" s="1069">
        <v>2490</v>
      </c>
      <c r="D305" s="1069">
        <v>2470</v>
      </c>
      <c r="E305" s="1069">
        <v>2440</v>
      </c>
      <c r="F305" s="1087">
        <v>560</v>
      </c>
      <c r="H305" s="1094"/>
    </row>
    <row r="306" spans="1:8" s="1063" customFormat="1" ht="14.25" customHeight="1" thickBot="1">
      <c r="A306" s="1075" t="s">
        <v>1417</v>
      </c>
      <c r="B306" s="1069" t="s">
        <v>1233</v>
      </c>
      <c r="C306" s="1069">
        <v>2420</v>
      </c>
      <c r="D306" s="1069">
        <v>2400</v>
      </c>
      <c r="E306" s="1069">
        <v>2380</v>
      </c>
      <c r="F306" s="1096"/>
      <c r="H306" s="1094"/>
    </row>
    <row r="307" spans="1:8" s="1063" customFormat="1" ht="14.25" customHeight="1" thickBot="1">
      <c r="A307" s="1075" t="s">
        <v>1417</v>
      </c>
      <c r="B307" s="1069" t="s">
        <v>1243</v>
      </c>
      <c r="C307" s="1069">
        <v>2770</v>
      </c>
      <c r="D307" s="1069">
        <v>2740</v>
      </c>
      <c r="E307" s="1069">
        <v>2710</v>
      </c>
      <c r="F307" s="1087">
        <v>650</v>
      </c>
      <c r="H307" s="1094"/>
    </row>
    <row r="308" spans="1:8" s="1063" customFormat="1" ht="14.25" customHeight="1" thickBot="1">
      <c r="A308" s="1075" t="s">
        <v>1417</v>
      </c>
      <c r="B308" s="1069" t="s">
        <v>1253</v>
      </c>
      <c r="C308" s="1069">
        <v>2610</v>
      </c>
      <c r="D308" s="1069">
        <v>2580</v>
      </c>
      <c r="E308" s="1069">
        <v>2550</v>
      </c>
      <c r="F308" s="1087">
        <v>580</v>
      </c>
      <c r="H308" s="1094"/>
    </row>
    <row r="309" spans="1:8" s="1063" customFormat="1" ht="14.25" customHeight="1" thickBot="1">
      <c r="A309" s="1075" t="s">
        <v>1417</v>
      </c>
      <c r="B309" s="1069" t="s">
        <v>1263</v>
      </c>
      <c r="C309" s="1069">
        <v>2690</v>
      </c>
      <c r="D309" s="1069">
        <v>2670</v>
      </c>
      <c r="E309" s="1069">
        <v>2650</v>
      </c>
      <c r="F309" s="1096"/>
      <c r="H309" s="1094"/>
    </row>
    <row r="310" spans="1:8" s="1063" customFormat="1" ht="14.25" customHeight="1" thickBot="1">
      <c r="A310" s="1075" t="s">
        <v>1417</v>
      </c>
      <c r="B310" s="1069" t="s">
        <v>1272</v>
      </c>
      <c r="C310" s="1069">
        <v>2360</v>
      </c>
      <c r="D310" s="1069">
        <v>2330</v>
      </c>
      <c r="E310" s="1069">
        <v>2310</v>
      </c>
      <c r="F310" s="1087">
        <v>560</v>
      </c>
      <c r="H310" s="1094"/>
    </row>
    <row r="311" spans="1:8" s="1063" customFormat="1" ht="14.25" customHeight="1" thickBot="1">
      <c r="A311" s="1075" t="s">
        <v>1417</v>
      </c>
      <c r="B311" s="1069" t="s">
        <v>1281</v>
      </c>
      <c r="C311" s="1069">
        <v>1970</v>
      </c>
      <c r="D311" s="1069">
        <v>1950</v>
      </c>
      <c r="E311" s="1069">
        <v>1920</v>
      </c>
      <c r="F311" s="1087">
        <v>470</v>
      </c>
      <c r="H311" s="1094"/>
    </row>
    <row r="312" spans="1:8" s="1063" customFormat="1" ht="14.25" customHeight="1" thickBot="1">
      <c r="A312" s="1075" t="s">
        <v>1417</v>
      </c>
      <c r="B312" s="1069" t="s">
        <v>1289</v>
      </c>
      <c r="C312" s="1069">
        <v>2230</v>
      </c>
      <c r="D312" s="1069">
        <v>2200</v>
      </c>
      <c r="E312" s="1069">
        <v>2170</v>
      </c>
      <c r="F312" s="1087">
        <v>460</v>
      </c>
      <c r="H312" s="1094"/>
    </row>
    <row r="313" spans="1:8" s="1063" customFormat="1" ht="14.25" customHeight="1" thickBot="1">
      <c r="A313" s="1075" t="s">
        <v>1417</v>
      </c>
      <c r="B313" s="1069" t="s">
        <v>1296</v>
      </c>
      <c r="C313" s="1069">
        <v>2770</v>
      </c>
      <c r="D313" s="1069">
        <v>2740</v>
      </c>
      <c r="E313" s="1069">
        <v>2710</v>
      </c>
      <c r="F313" s="1087">
        <v>610</v>
      </c>
      <c r="H313" s="1094"/>
    </row>
    <row r="314" spans="1:8" s="1063" customFormat="1" ht="14.25" customHeight="1" thickBot="1">
      <c r="A314" s="1075" t="s">
        <v>1417</v>
      </c>
      <c r="B314" s="1069" t="s">
        <v>1303</v>
      </c>
      <c r="C314" s="1069"/>
      <c r="D314" s="1069"/>
      <c r="E314" s="1069"/>
      <c r="F314" s="1087">
        <v>490</v>
      </c>
      <c r="H314" s="1094"/>
    </row>
    <row r="315" spans="1:8" s="1063" customFormat="1" ht="14.25" customHeight="1" thickBot="1">
      <c r="A315" s="1075" t="s">
        <v>1417</v>
      </c>
      <c r="B315" s="1069" t="s">
        <v>1310</v>
      </c>
      <c r="C315" s="1069"/>
      <c r="D315" s="1069"/>
      <c r="E315" s="1069"/>
      <c r="F315" s="1087">
        <v>520</v>
      </c>
      <c r="H315" s="1094"/>
    </row>
    <row r="316" spans="1:8" s="1063" customFormat="1" ht="14.25" customHeight="1" thickBot="1">
      <c r="A316" s="1075" t="s">
        <v>1417</v>
      </c>
      <c r="B316" s="1085" t="s">
        <v>1317</v>
      </c>
      <c r="C316" s="1085"/>
      <c r="D316" s="1085"/>
      <c r="E316" s="1085"/>
      <c r="F316" s="1095">
        <v>460</v>
      </c>
      <c r="H316" s="1094"/>
    </row>
    <row r="317" spans="1:8" s="1063" customFormat="1" ht="14.25" customHeight="1" thickBot="1">
      <c r="A317" s="1075" t="s">
        <v>915</v>
      </c>
      <c r="B317" s="1076" t="s">
        <v>1422</v>
      </c>
      <c r="C317" s="1076">
        <v>1200</v>
      </c>
      <c r="D317" s="1076">
        <v>1180</v>
      </c>
      <c r="E317" s="1076">
        <v>1160</v>
      </c>
      <c r="F317" s="1077">
        <v>370</v>
      </c>
      <c r="H317" s="1060"/>
    </row>
    <row r="318" spans="1:8" s="1063" customFormat="1" ht="14.25" customHeight="1" thickBot="1">
      <c r="A318" s="1075" t="s">
        <v>915</v>
      </c>
      <c r="B318" s="1069" t="s">
        <v>1423</v>
      </c>
      <c r="C318" s="1069">
        <v>1090</v>
      </c>
      <c r="D318" s="1069">
        <v>1060</v>
      </c>
      <c r="E318" s="1069">
        <v>1040</v>
      </c>
      <c r="F318" s="1096"/>
      <c r="H318" s="1060"/>
    </row>
    <row r="319" spans="1:8" s="1063" customFormat="1" ht="14.25" customHeight="1" thickBot="1">
      <c r="A319" s="1075" t="s">
        <v>915</v>
      </c>
      <c r="B319" s="1069" t="s">
        <v>1424</v>
      </c>
      <c r="C319" s="1069">
        <v>1520</v>
      </c>
      <c r="D319" s="1069">
        <v>1470</v>
      </c>
      <c r="E319" s="1069">
        <v>1440</v>
      </c>
      <c r="F319" s="1087">
        <v>370</v>
      </c>
      <c r="H319" s="1060"/>
    </row>
    <row r="320" spans="1:8" s="1063" customFormat="1" ht="14.25" customHeight="1" thickBot="1">
      <c r="A320" s="1075" t="s">
        <v>915</v>
      </c>
      <c r="B320" s="1069" t="s">
        <v>1105</v>
      </c>
      <c r="C320" s="1069">
        <v>1360</v>
      </c>
      <c r="D320" s="1069">
        <v>1300</v>
      </c>
      <c r="E320" s="1069">
        <v>1270</v>
      </c>
      <c r="F320" s="1096"/>
      <c r="H320" s="1060"/>
    </row>
    <row r="321" spans="1:8" s="1063" customFormat="1" ht="14.25" customHeight="1" thickBot="1">
      <c r="A321" s="1075" t="s">
        <v>915</v>
      </c>
      <c r="B321" s="1069" t="s">
        <v>1119</v>
      </c>
      <c r="C321" s="1069">
        <v>1750</v>
      </c>
      <c r="D321" s="1069">
        <v>1690</v>
      </c>
      <c r="E321" s="1069">
        <v>1660</v>
      </c>
      <c r="F321" s="1096"/>
      <c r="H321" s="1060"/>
    </row>
    <row r="322" spans="1:8" s="1063" customFormat="1" ht="14.25" customHeight="1" thickBot="1">
      <c r="A322" s="1075" t="s">
        <v>915</v>
      </c>
      <c r="B322" s="1069" t="s">
        <v>1130</v>
      </c>
      <c r="C322" s="1069">
        <v>1650</v>
      </c>
      <c r="D322" s="1069">
        <v>1610</v>
      </c>
      <c r="E322" s="1069">
        <v>1580</v>
      </c>
      <c r="F322" s="1087">
        <v>500</v>
      </c>
      <c r="H322" s="1060"/>
    </row>
    <row r="323" spans="1:8" s="1063" customFormat="1" ht="14.25" customHeight="1" thickBot="1">
      <c r="A323" s="1075" t="s">
        <v>915</v>
      </c>
      <c r="B323" s="1069" t="s">
        <v>1141</v>
      </c>
      <c r="C323" s="1069">
        <v>1780</v>
      </c>
      <c r="D323" s="1069">
        <v>1740</v>
      </c>
      <c r="E323" s="1069">
        <v>1720</v>
      </c>
      <c r="F323" s="1096"/>
      <c r="H323" s="1060"/>
    </row>
    <row r="324" spans="1:8" s="1063" customFormat="1" ht="14.25" customHeight="1" thickBot="1">
      <c r="A324" s="1075" t="s">
        <v>915</v>
      </c>
      <c r="B324" s="1069" t="s">
        <v>1152</v>
      </c>
      <c r="C324" s="1069">
        <v>1650</v>
      </c>
      <c r="D324" s="1069">
        <v>1610</v>
      </c>
      <c r="E324" s="1069">
        <v>1580</v>
      </c>
      <c r="F324" s="1096"/>
      <c r="H324" s="1060"/>
    </row>
    <row r="325" spans="1:8" s="1063" customFormat="1" ht="14.25" customHeight="1" thickBot="1">
      <c r="A325" s="1075" t="s">
        <v>915</v>
      </c>
      <c r="B325" s="1069" t="s">
        <v>1164</v>
      </c>
      <c r="C325" s="1069">
        <v>1330</v>
      </c>
      <c r="D325" s="1069">
        <v>1270</v>
      </c>
      <c r="E325" s="1069">
        <v>1240</v>
      </c>
      <c r="F325" s="1087">
        <v>430</v>
      </c>
      <c r="H325" s="1060"/>
    </row>
    <row r="326" spans="1:8" s="1063" customFormat="1" ht="14.25" customHeight="1" thickBot="1">
      <c r="A326" s="1075" t="s">
        <v>915</v>
      </c>
      <c r="B326" s="1069" t="s">
        <v>1174</v>
      </c>
      <c r="C326" s="1069">
        <v>1470</v>
      </c>
      <c r="D326" s="1069">
        <v>1430</v>
      </c>
      <c r="E326" s="1069">
        <v>1400</v>
      </c>
      <c r="F326" s="1096"/>
      <c r="H326" s="1060"/>
    </row>
    <row r="327" spans="1:8" s="1063" customFormat="1" ht="14.25" customHeight="1" thickBot="1">
      <c r="A327" s="1075" t="s">
        <v>915</v>
      </c>
      <c r="B327" s="1069" t="s">
        <v>1184</v>
      </c>
      <c r="C327" s="1069">
        <v>1420</v>
      </c>
      <c r="D327" s="1069">
        <v>1380</v>
      </c>
      <c r="E327" s="1069">
        <v>1360</v>
      </c>
      <c r="F327" s="1087">
        <v>420</v>
      </c>
      <c r="H327" s="1060"/>
    </row>
    <row r="328" spans="1:8" s="1063" customFormat="1" ht="14.25" customHeight="1" thickBot="1">
      <c r="A328" s="1075" t="s">
        <v>915</v>
      </c>
      <c r="B328" s="1069" t="s">
        <v>1194</v>
      </c>
      <c r="C328" s="1069">
        <v>1400</v>
      </c>
      <c r="D328" s="1069">
        <v>1360</v>
      </c>
      <c r="E328" s="1069">
        <v>1330</v>
      </c>
      <c r="F328" s="1087">
        <v>460</v>
      </c>
      <c r="H328" s="1060"/>
    </row>
    <row r="329" spans="1:8" s="1063" customFormat="1" ht="14.25" customHeight="1" thickBot="1">
      <c r="A329" s="1075" t="s">
        <v>915</v>
      </c>
      <c r="B329" s="1069" t="s">
        <v>1204</v>
      </c>
      <c r="C329" s="1069">
        <v>1640</v>
      </c>
      <c r="D329" s="1069">
        <v>1610</v>
      </c>
      <c r="E329" s="1069">
        <v>1580</v>
      </c>
      <c r="F329" s="1087">
        <v>410</v>
      </c>
      <c r="H329" s="1060"/>
    </row>
    <row r="330" spans="1:8" s="1063" customFormat="1" ht="14.25" customHeight="1" thickBot="1">
      <c r="A330" s="1075" t="s">
        <v>915</v>
      </c>
      <c r="B330" s="1069" t="s">
        <v>1214</v>
      </c>
      <c r="C330" s="1069">
        <v>1260</v>
      </c>
      <c r="D330" s="1069">
        <v>1220</v>
      </c>
      <c r="E330" s="1069">
        <v>1200</v>
      </c>
      <c r="F330" s="1096"/>
      <c r="H330" s="1060"/>
    </row>
    <row r="331" spans="1:8" s="1063" customFormat="1" ht="14.25" customHeight="1" thickBot="1">
      <c r="A331" s="1075" t="s">
        <v>915</v>
      </c>
      <c r="B331" s="1069" t="s">
        <v>1224</v>
      </c>
      <c r="C331" s="1069">
        <v>1620</v>
      </c>
      <c r="D331" s="1069">
        <v>1560</v>
      </c>
      <c r="E331" s="1069">
        <v>1530</v>
      </c>
      <c r="F331" s="1087">
        <v>490</v>
      </c>
      <c r="H331" s="1060"/>
    </row>
    <row r="332" spans="1:8" s="1063" customFormat="1" ht="14.25" customHeight="1" thickBot="1">
      <c r="A332" s="1075" t="s">
        <v>915</v>
      </c>
      <c r="B332" s="1069" t="s">
        <v>1234</v>
      </c>
      <c r="C332" s="1069">
        <v>1520</v>
      </c>
      <c r="D332" s="1069">
        <v>1470</v>
      </c>
      <c r="E332" s="1069">
        <v>1440</v>
      </c>
      <c r="F332" s="1087">
        <v>440</v>
      </c>
      <c r="H332" s="1060"/>
    </row>
    <row r="333" spans="1:8" s="1063" customFormat="1" ht="14.25" customHeight="1" thickBot="1">
      <c r="A333" s="1075" t="s">
        <v>915</v>
      </c>
      <c r="B333" s="1069" t="s">
        <v>1244</v>
      </c>
      <c r="C333" s="1069">
        <v>1370</v>
      </c>
      <c r="D333" s="1069">
        <v>1320</v>
      </c>
      <c r="E333" s="1069">
        <v>1300</v>
      </c>
      <c r="F333" s="1087">
        <v>460</v>
      </c>
      <c r="H333" s="1060"/>
    </row>
    <row r="334" spans="1:8" s="1063" customFormat="1" ht="14.25" customHeight="1" thickBot="1">
      <c r="A334" s="1075" t="s">
        <v>915</v>
      </c>
      <c r="B334" s="1069" t="s">
        <v>1254</v>
      </c>
      <c r="C334" s="1069">
        <v>1410</v>
      </c>
      <c r="D334" s="1069">
        <v>1340</v>
      </c>
      <c r="E334" s="1069">
        <v>1310</v>
      </c>
      <c r="F334" s="1087">
        <v>410</v>
      </c>
      <c r="H334" s="1060"/>
    </row>
    <row r="335" spans="1:8" s="1063" customFormat="1" ht="14.25" customHeight="1" thickBot="1">
      <c r="A335" s="1075" t="s">
        <v>915</v>
      </c>
      <c r="B335" s="1069" t="s">
        <v>1264</v>
      </c>
      <c r="C335" s="1069">
        <v>1260</v>
      </c>
      <c r="D335" s="1069">
        <v>1220</v>
      </c>
      <c r="E335" s="1069">
        <v>1200</v>
      </c>
      <c r="F335" s="1096"/>
      <c r="H335" s="1060"/>
    </row>
    <row r="336" spans="1:8" s="1063" customFormat="1" ht="14.25" customHeight="1" thickBot="1">
      <c r="A336" s="1075" t="s">
        <v>915</v>
      </c>
      <c r="B336" s="1069" t="s">
        <v>1273</v>
      </c>
      <c r="C336" s="1069">
        <v>1160</v>
      </c>
      <c r="D336" s="1069">
        <v>1140</v>
      </c>
      <c r="E336" s="1069">
        <v>1120</v>
      </c>
      <c r="F336" s="1087">
        <v>430</v>
      </c>
      <c r="H336" s="1060"/>
    </row>
    <row r="337" spans="1:8" s="1063" customFormat="1" ht="14.25" customHeight="1" thickBot="1">
      <c r="A337" s="1075" t="s">
        <v>915</v>
      </c>
      <c r="B337" s="1085" t="s">
        <v>1282</v>
      </c>
      <c r="C337" s="1085"/>
      <c r="D337" s="1085"/>
      <c r="E337" s="1085"/>
      <c r="F337" s="1095">
        <v>380</v>
      </c>
      <c r="H337" s="1060"/>
    </row>
    <row r="338" spans="1:8" s="1063" customFormat="1" ht="14.25" customHeight="1" thickBot="1">
      <c r="A338" s="1075" t="s">
        <v>916</v>
      </c>
      <c r="B338" s="1076" t="s">
        <v>1425</v>
      </c>
      <c r="C338" s="1076">
        <v>880</v>
      </c>
      <c r="D338" s="1076">
        <v>850</v>
      </c>
      <c r="E338" s="1076">
        <v>830</v>
      </c>
      <c r="F338" s="1098"/>
      <c r="H338" s="1060"/>
    </row>
    <row r="339" spans="1:8" s="1063" customFormat="1" ht="14.25" customHeight="1" thickBot="1">
      <c r="A339" s="1075" t="s">
        <v>916</v>
      </c>
      <c r="B339" s="1069" t="s">
        <v>1426</v>
      </c>
      <c r="C339" s="1069">
        <v>830</v>
      </c>
      <c r="D339" s="1069">
        <v>800</v>
      </c>
      <c r="E339" s="1069">
        <v>780</v>
      </c>
      <c r="F339" s="1096"/>
      <c r="H339" s="1060"/>
    </row>
    <row r="340" spans="1:8" s="1063" customFormat="1" ht="14.25" customHeight="1" thickBot="1">
      <c r="A340" s="1075" t="s">
        <v>916</v>
      </c>
      <c r="B340" s="1069" t="s">
        <v>1427</v>
      </c>
      <c r="C340" s="1069">
        <v>980</v>
      </c>
      <c r="D340" s="1069">
        <v>950</v>
      </c>
      <c r="E340" s="1069">
        <v>920</v>
      </c>
      <c r="F340" s="1096"/>
      <c r="H340" s="1060"/>
    </row>
    <row r="341" spans="1:8" s="1063" customFormat="1" ht="14.25" customHeight="1" thickBot="1">
      <c r="A341" s="1075" t="s">
        <v>916</v>
      </c>
      <c r="B341" s="1069" t="s">
        <v>1428</v>
      </c>
      <c r="C341" s="1069">
        <v>760</v>
      </c>
      <c r="D341" s="1069">
        <v>720</v>
      </c>
      <c r="E341" s="1069">
        <v>690</v>
      </c>
      <c r="F341" s="1087">
        <v>350</v>
      </c>
      <c r="H341" s="1060"/>
    </row>
    <row r="342" spans="1:8" s="1063" customFormat="1" ht="14.25" customHeight="1" thickBot="1">
      <c r="A342" s="1075" t="s">
        <v>916</v>
      </c>
      <c r="B342" s="1069" t="s">
        <v>1120</v>
      </c>
      <c r="C342" s="1069">
        <v>910</v>
      </c>
      <c r="D342" s="1069">
        <v>870</v>
      </c>
      <c r="E342" s="1069">
        <v>850</v>
      </c>
      <c r="F342" s="1087">
        <v>370</v>
      </c>
      <c r="H342" s="1060"/>
    </row>
    <row r="343" spans="1:8" s="1063" customFormat="1" ht="14.25" customHeight="1" thickBot="1">
      <c r="A343" s="1075" t="s">
        <v>916</v>
      </c>
      <c r="B343" s="1069" t="s">
        <v>1131</v>
      </c>
      <c r="C343" s="1069">
        <v>800</v>
      </c>
      <c r="D343" s="1069">
        <v>760</v>
      </c>
      <c r="E343" s="1069">
        <v>730</v>
      </c>
      <c r="F343" s="1087">
        <v>340</v>
      </c>
      <c r="H343" s="1060"/>
    </row>
    <row r="344" spans="1:8" s="1063" customFormat="1" ht="14.25" customHeight="1" thickBot="1">
      <c r="A344" s="1075" t="s">
        <v>916</v>
      </c>
      <c r="B344" s="1085" t="s">
        <v>1142</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1.2786999999999999</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94" t="s">
        <v>2075</v>
      </c>
      <c r="B1" s="3494"/>
    </row>
    <row r="2" spans="1:6" ht="14.25" thickBot="1">
      <c r="A2" s="1835"/>
      <c r="B2" s="1835"/>
    </row>
    <row r="3" spans="1:6" ht="14.25" thickBot="1">
      <c r="A3" s="1835"/>
      <c r="B3" s="1835"/>
      <c r="C3" s="1836" t="s">
        <v>2076</v>
      </c>
      <c r="D3" s="1836" t="s">
        <v>2077</v>
      </c>
      <c r="E3" s="1836" t="s">
        <v>2078</v>
      </c>
      <c r="F3" s="1836" t="s">
        <v>2079</v>
      </c>
    </row>
    <row r="4" spans="1:6" ht="14.25" thickBot="1">
      <c r="A4" s="1837" t="s">
        <v>2080</v>
      </c>
      <c r="B4" s="1838" t="s">
        <v>2081</v>
      </c>
      <c r="C4" s="1836"/>
      <c r="D4" s="1836"/>
      <c r="E4" s="1836"/>
      <c r="F4" s="1836"/>
    </row>
    <row r="5" spans="1:6" ht="14.25" thickBot="1">
      <c r="A5" s="1839" t="s">
        <v>2082</v>
      </c>
      <c r="B5" s="1840" t="s">
        <v>2083</v>
      </c>
      <c r="C5" s="1841">
        <v>8.8999999999999996E-2</v>
      </c>
      <c r="D5" s="1841">
        <v>7.3999999999999996E-2</v>
      </c>
      <c r="E5" s="1841">
        <v>7.4999999999999997E-2</v>
      </c>
      <c r="F5" s="1842">
        <v>0.1</v>
      </c>
    </row>
    <row r="6" spans="1:6" ht="14.25" thickBot="1">
      <c r="A6" s="1839" t="s">
        <v>1094</v>
      </c>
      <c r="B6" s="1843" t="s">
        <v>2084</v>
      </c>
      <c r="C6" s="1844">
        <v>0.1</v>
      </c>
      <c r="D6" s="1844">
        <v>9.0999999999999998E-2</v>
      </c>
      <c r="E6" s="1844">
        <v>9.0999999999999998E-2</v>
      </c>
      <c r="F6" s="1845">
        <v>0.1</v>
      </c>
    </row>
    <row r="7" spans="1:6" ht="14.25" thickBot="1">
      <c r="A7" s="1839" t="s">
        <v>1094</v>
      </c>
      <c r="B7" s="1846" t="s">
        <v>1082</v>
      </c>
      <c r="C7" s="1844">
        <v>8.5999999999999993E-2</v>
      </c>
      <c r="D7" s="1844">
        <v>9.6000000000000002E-2</v>
      </c>
      <c r="E7" s="1844">
        <v>7.5999999999999998E-2</v>
      </c>
      <c r="F7" s="1845">
        <v>0.1</v>
      </c>
    </row>
    <row r="8" spans="1:6" ht="14.25" thickBot="1">
      <c r="A8" s="1839" t="s">
        <v>1094</v>
      </c>
      <c r="B8" s="1843" t="s">
        <v>1095</v>
      </c>
      <c r="C8" s="1844">
        <v>9.9000000000000005E-2</v>
      </c>
      <c r="D8" s="1844">
        <v>9.8000000000000004E-2</v>
      </c>
      <c r="E8" s="1844">
        <v>9.8000000000000004E-2</v>
      </c>
      <c r="F8" s="1845">
        <v>0.1</v>
      </c>
    </row>
    <row r="9" spans="1:6" ht="14.25" thickBot="1">
      <c r="A9" s="1847" t="s">
        <v>1094</v>
      </c>
      <c r="B9" s="1848" t="s">
        <v>1109</v>
      </c>
      <c r="C9" s="1849">
        <v>0.05</v>
      </c>
      <c r="D9" s="1850"/>
      <c r="E9" s="1850"/>
      <c r="F9" s="1851"/>
    </row>
    <row r="10" spans="1:6" ht="14.25" thickBot="1">
      <c r="A10" s="1839" t="s">
        <v>1153</v>
      </c>
      <c r="B10" s="1840" t="s">
        <v>2085</v>
      </c>
      <c r="C10" s="1841">
        <v>8.8999999999999996E-2</v>
      </c>
      <c r="D10" s="1841">
        <v>7.2999999999999995E-2</v>
      </c>
      <c r="E10" s="1841">
        <v>8.2000000000000003E-2</v>
      </c>
      <c r="F10" s="1842">
        <v>0.1</v>
      </c>
    </row>
    <row r="11" spans="1:6" ht="14.25" thickBot="1">
      <c r="A11" s="1839" t="s">
        <v>1153</v>
      </c>
      <c r="B11" s="1846" t="s">
        <v>1069</v>
      </c>
      <c r="C11" s="1844">
        <v>8.8999999999999996E-2</v>
      </c>
      <c r="D11" s="1844">
        <v>7.2999999999999995E-2</v>
      </c>
      <c r="E11" s="1844">
        <v>8.2000000000000003E-2</v>
      </c>
      <c r="F11" s="1845">
        <v>0.1</v>
      </c>
    </row>
    <row r="12" spans="1:6" ht="14.25" thickBot="1">
      <c r="A12" s="1839" t="s">
        <v>1153</v>
      </c>
      <c r="B12" s="1846" t="s">
        <v>1083</v>
      </c>
      <c r="C12" s="1844">
        <v>6.0999999999999999E-2</v>
      </c>
      <c r="D12" s="1844">
        <v>7.0999999999999994E-2</v>
      </c>
      <c r="E12" s="1844">
        <v>9.6000000000000002E-2</v>
      </c>
      <c r="F12" s="1845">
        <v>0.1</v>
      </c>
    </row>
    <row r="13" spans="1:6" ht="14.25" thickBot="1">
      <c r="A13" s="1839" t="s">
        <v>1153</v>
      </c>
      <c r="B13" s="1846" t="s">
        <v>1096</v>
      </c>
      <c r="C13" s="1844">
        <v>6.9000000000000006E-2</v>
      </c>
      <c r="D13" s="1844">
        <v>6.5000000000000002E-2</v>
      </c>
      <c r="E13" s="1844">
        <v>6.6000000000000003E-2</v>
      </c>
      <c r="F13" s="1845">
        <v>0.1</v>
      </c>
    </row>
    <row r="14" spans="1:6" ht="14.25" thickBot="1">
      <c r="A14" s="1839" t="s">
        <v>1153</v>
      </c>
      <c r="B14" s="1846" t="s">
        <v>1110</v>
      </c>
      <c r="C14" s="1844">
        <v>0.1</v>
      </c>
      <c r="D14" s="1844">
        <v>6.5000000000000002E-2</v>
      </c>
      <c r="E14" s="1844">
        <v>7.0000000000000007E-2</v>
      </c>
      <c r="F14" s="1845">
        <v>0.1</v>
      </c>
    </row>
    <row r="15" spans="1:6" ht="14.25" thickBot="1">
      <c r="A15" s="1839" t="s">
        <v>1153</v>
      </c>
      <c r="B15" s="1846" t="s">
        <v>1121</v>
      </c>
      <c r="C15" s="1844">
        <v>9.8000000000000004E-2</v>
      </c>
      <c r="D15" s="1844">
        <v>8.8999999999999996E-2</v>
      </c>
      <c r="E15" s="1844">
        <v>8.8999999999999996E-2</v>
      </c>
      <c r="F15" s="1845">
        <v>0.1</v>
      </c>
    </row>
    <row r="16" spans="1:6" ht="14.25" thickBot="1">
      <c r="A16" s="1839" t="s">
        <v>1153</v>
      </c>
      <c r="B16" s="1846" t="s">
        <v>1132</v>
      </c>
      <c r="C16" s="1844">
        <v>7.0000000000000007E-2</v>
      </c>
      <c r="D16" s="1844">
        <v>9.2999999999999999E-2</v>
      </c>
      <c r="E16" s="1844">
        <v>9.6000000000000002E-2</v>
      </c>
      <c r="F16" s="1845">
        <v>0.1</v>
      </c>
    </row>
    <row r="17" spans="1:6" ht="14.25" thickBot="1">
      <c r="A17" s="1839" t="s">
        <v>1153</v>
      </c>
      <c r="B17" s="1846" t="s">
        <v>1143</v>
      </c>
      <c r="C17" s="1844">
        <v>9.5000000000000001E-2</v>
      </c>
      <c r="D17" s="1844">
        <v>0.1</v>
      </c>
      <c r="E17" s="1844">
        <v>0.1</v>
      </c>
      <c r="F17" s="1852"/>
    </row>
    <row r="18" spans="1:6" ht="14.25" thickBot="1">
      <c r="A18" s="1839" t="s">
        <v>1153</v>
      </c>
      <c r="B18" s="1846" t="s">
        <v>1155</v>
      </c>
      <c r="C18" s="1844">
        <v>7.3999999999999996E-2</v>
      </c>
      <c r="D18" s="1844">
        <v>9.9000000000000005E-2</v>
      </c>
      <c r="E18" s="1844">
        <v>0.1</v>
      </c>
      <c r="F18" s="1852"/>
    </row>
    <row r="19" spans="1:6" ht="14.25" thickBot="1">
      <c r="A19" s="1839" t="s">
        <v>1153</v>
      </c>
      <c r="B19" s="1846" t="s">
        <v>1165</v>
      </c>
      <c r="C19" s="1844">
        <v>9.9000000000000005E-2</v>
      </c>
      <c r="D19" s="1844">
        <v>7.5999999999999998E-2</v>
      </c>
      <c r="E19" s="1844">
        <v>8.6999999999999994E-2</v>
      </c>
      <c r="F19" s="1852"/>
    </row>
    <row r="20" spans="1:6" ht="14.25" thickBot="1">
      <c r="A20" s="1839" t="s">
        <v>1153</v>
      </c>
      <c r="B20" s="1846" t="s">
        <v>1175</v>
      </c>
      <c r="C20" s="1844">
        <v>9.8000000000000004E-2</v>
      </c>
      <c r="D20" s="1844">
        <v>8.5000000000000006E-2</v>
      </c>
      <c r="E20" s="1844">
        <v>8.2000000000000003E-2</v>
      </c>
      <c r="F20" s="1852"/>
    </row>
    <row r="21" spans="1:6" ht="14.25" thickBot="1">
      <c r="A21" s="1839" t="s">
        <v>1153</v>
      </c>
      <c r="B21" s="1846" t="s">
        <v>1185</v>
      </c>
      <c r="C21" s="1844">
        <v>6.6000000000000003E-2</v>
      </c>
      <c r="D21" s="1844">
        <v>6.4000000000000001E-2</v>
      </c>
      <c r="E21" s="1844">
        <v>6.5000000000000002E-2</v>
      </c>
      <c r="F21" s="1852"/>
    </row>
    <row r="22" spans="1:6" ht="14.25" thickBot="1">
      <c r="A22" s="1839" t="s">
        <v>1153</v>
      </c>
      <c r="B22" s="1846" t="s">
        <v>2086</v>
      </c>
      <c r="C22" s="1844">
        <v>0.08</v>
      </c>
      <c r="D22" s="1844">
        <v>9.8000000000000004E-2</v>
      </c>
      <c r="E22" s="1844">
        <v>9.8000000000000004E-2</v>
      </c>
      <c r="F22" s="1852"/>
    </row>
    <row r="23" spans="1:6" ht="14.25" thickBot="1">
      <c r="A23" s="1839" t="s">
        <v>1153</v>
      </c>
      <c r="B23" s="1846" t="s">
        <v>1205</v>
      </c>
      <c r="C23" s="1844">
        <v>9.9000000000000005E-2</v>
      </c>
      <c r="D23" s="1844">
        <v>9.8000000000000004E-2</v>
      </c>
      <c r="E23" s="1844">
        <v>9.0999999999999998E-2</v>
      </c>
      <c r="F23" s="1852"/>
    </row>
    <row r="24" spans="1:6" ht="14.25" thickBot="1">
      <c r="A24" s="1839" t="s">
        <v>1153</v>
      </c>
      <c r="B24" s="1846" t="s">
        <v>1215</v>
      </c>
      <c r="C24" s="1844">
        <v>8.8999999999999996E-2</v>
      </c>
      <c r="D24" s="1844">
        <v>9.7000000000000003E-2</v>
      </c>
      <c r="E24" s="1844">
        <v>7.0000000000000007E-2</v>
      </c>
      <c r="F24" s="1852"/>
    </row>
    <row r="25" spans="1:6" ht="14.25" thickBot="1">
      <c r="A25" s="1839" t="s">
        <v>1153</v>
      </c>
      <c r="B25" s="1846" t="s">
        <v>1225</v>
      </c>
      <c r="C25" s="1844">
        <v>8.8999999999999996E-2</v>
      </c>
      <c r="D25" s="1844">
        <v>0.1</v>
      </c>
      <c r="E25" s="1844">
        <v>8.1000000000000003E-2</v>
      </c>
      <c r="F25" s="1852"/>
    </row>
    <row r="26" spans="1:6" ht="14.25" thickBot="1">
      <c r="A26" s="1839" t="s">
        <v>1153</v>
      </c>
      <c r="B26" s="1846" t="s">
        <v>1235</v>
      </c>
      <c r="C26" s="1853"/>
      <c r="D26" s="1844">
        <v>9.6000000000000002E-2</v>
      </c>
      <c r="E26" s="1844">
        <v>9.2999999999999999E-2</v>
      </c>
      <c r="F26" s="1852"/>
    </row>
    <row r="27" spans="1:6" ht="14.25" thickBot="1">
      <c r="A27" s="1839" t="s">
        <v>1153</v>
      </c>
      <c r="B27" s="1846" t="s">
        <v>1245</v>
      </c>
      <c r="C27" s="1853"/>
      <c r="D27" s="1844">
        <v>7.5999999999999998E-2</v>
      </c>
      <c r="E27" s="1844">
        <v>9.1999999999999998E-2</v>
      </c>
      <c r="F27" s="1852"/>
    </row>
    <row r="28" spans="1:6" ht="14.25" thickBot="1">
      <c r="A28" s="1847" t="s">
        <v>1153</v>
      </c>
      <c r="B28" s="1848" t="s">
        <v>1255</v>
      </c>
      <c r="C28" s="1850"/>
      <c r="D28" s="1849">
        <v>7.5999999999999998E-2</v>
      </c>
      <c r="E28" s="1849">
        <v>9.1999999999999998E-2</v>
      </c>
      <c r="F28" s="1851"/>
    </row>
    <row r="29" spans="1:6" ht="14.25" thickBot="1">
      <c r="A29" s="1839" t="s">
        <v>1324</v>
      </c>
      <c r="B29" s="1840" t="s">
        <v>2087</v>
      </c>
      <c r="C29" s="1841">
        <v>6.4000000000000001E-2</v>
      </c>
      <c r="D29" s="1841">
        <v>6.5000000000000002E-2</v>
      </c>
      <c r="E29" s="1841">
        <v>6.9000000000000006E-2</v>
      </c>
      <c r="F29" s="1842">
        <v>0.1</v>
      </c>
    </row>
    <row r="30" spans="1:6" ht="14.25" thickBot="1">
      <c r="A30" s="1839" t="s">
        <v>1324</v>
      </c>
      <c r="B30" s="1846" t="s">
        <v>1070</v>
      </c>
      <c r="C30" s="1844">
        <v>6.4000000000000001E-2</v>
      </c>
      <c r="D30" s="1844">
        <v>9.9000000000000005E-2</v>
      </c>
      <c r="E30" s="1844">
        <v>0.1</v>
      </c>
      <c r="F30" s="1845">
        <v>0.1</v>
      </c>
    </row>
    <row r="31" spans="1:6" ht="14.25" thickBot="1">
      <c r="A31" s="1839" t="s">
        <v>1324</v>
      </c>
      <c r="B31" s="1846" t="s">
        <v>1084</v>
      </c>
      <c r="C31" s="1844">
        <v>0.1</v>
      </c>
      <c r="D31" s="1844">
        <v>9.5000000000000001E-2</v>
      </c>
      <c r="E31" s="1844">
        <v>8.8999999999999996E-2</v>
      </c>
      <c r="F31" s="1845">
        <v>0.1</v>
      </c>
    </row>
    <row r="32" spans="1:6" ht="14.25" thickBot="1">
      <c r="A32" s="1839" t="s">
        <v>1324</v>
      </c>
      <c r="B32" s="1846" t="s">
        <v>1097</v>
      </c>
      <c r="C32" s="1844">
        <v>0.05</v>
      </c>
      <c r="D32" s="1844">
        <v>0.05</v>
      </c>
      <c r="E32" s="1844">
        <v>8.7999999999999995E-2</v>
      </c>
      <c r="F32" s="1845">
        <v>0.1</v>
      </c>
    </row>
    <row r="33" spans="1:6" ht="14.25" thickBot="1">
      <c r="A33" s="1839" t="s">
        <v>1324</v>
      </c>
      <c r="B33" s="1846" t="s">
        <v>1111</v>
      </c>
      <c r="C33" s="1844">
        <v>7.4999999999999997E-2</v>
      </c>
      <c r="D33" s="1844">
        <v>9.4E-2</v>
      </c>
      <c r="E33" s="1844">
        <v>9.7000000000000003E-2</v>
      </c>
      <c r="F33" s="1845">
        <v>0.1</v>
      </c>
    </row>
    <row r="34" spans="1:6" ht="14.25" thickBot="1">
      <c r="A34" s="1839" t="s">
        <v>1324</v>
      </c>
      <c r="B34" s="1846" t="s">
        <v>1122</v>
      </c>
      <c r="C34" s="1844">
        <v>9.8000000000000004E-2</v>
      </c>
      <c r="D34" s="1844">
        <v>8.5999999999999993E-2</v>
      </c>
      <c r="E34" s="1844">
        <v>9.7000000000000003E-2</v>
      </c>
      <c r="F34" s="1845">
        <v>0.1</v>
      </c>
    </row>
    <row r="35" spans="1:6" ht="14.25" thickBot="1">
      <c r="A35" s="1839" t="s">
        <v>1324</v>
      </c>
      <c r="B35" s="1846" t="s">
        <v>1133</v>
      </c>
      <c r="C35" s="1844">
        <v>5.8999999999999997E-2</v>
      </c>
      <c r="D35" s="1844">
        <v>6.5000000000000002E-2</v>
      </c>
      <c r="E35" s="1844">
        <v>7.0000000000000007E-2</v>
      </c>
      <c r="F35" s="1845">
        <v>0.1</v>
      </c>
    </row>
    <row r="36" spans="1:6" ht="14.25" thickBot="1">
      <c r="A36" s="1839" t="s">
        <v>1324</v>
      </c>
      <c r="B36" s="1846" t="s">
        <v>1144</v>
      </c>
      <c r="C36" s="1844">
        <v>6.3E-2</v>
      </c>
      <c r="D36" s="1844">
        <v>0.1</v>
      </c>
      <c r="E36" s="1844">
        <v>0.1</v>
      </c>
      <c r="F36" s="1845">
        <v>0.1</v>
      </c>
    </row>
    <row r="37" spans="1:6" ht="14.25" thickBot="1">
      <c r="A37" s="1839" t="s">
        <v>1324</v>
      </c>
      <c r="B37" s="1846" t="s">
        <v>1156</v>
      </c>
      <c r="C37" s="1844">
        <v>7.3999999999999996E-2</v>
      </c>
      <c r="D37" s="1844">
        <v>0.1</v>
      </c>
      <c r="E37" s="1844">
        <v>0.1</v>
      </c>
      <c r="F37" s="1845">
        <v>0.1</v>
      </c>
    </row>
    <row r="38" spans="1:6" ht="14.25" thickBot="1">
      <c r="A38" s="1839" t="s">
        <v>1324</v>
      </c>
      <c r="B38" s="1846" t="s">
        <v>1166</v>
      </c>
      <c r="C38" s="1844">
        <v>0.1</v>
      </c>
      <c r="D38" s="1844">
        <v>9.6000000000000002E-2</v>
      </c>
      <c r="E38" s="1844">
        <v>9.6000000000000002E-2</v>
      </c>
      <c r="F38" s="1852"/>
    </row>
    <row r="39" spans="1:6" ht="14.25" thickBot="1">
      <c r="A39" s="1839" t="s">
        <v>1324</v>
      </c>
      <c r="B39" s="1846" t="s">
        <v>1176</v>
      </c>
      <c r="C39" s="1844">
        <v>0.1</v>
      </c>
      <c r="D39" s="1844">
        <v>9.6000000000000002E-2</v>
      </c>
      <c r="E39" s="1844">
        <v>9.6000000000000002E-2</v>
      </c>
      <c r="F39" s="1852"/>
    </row>
    <row r="40" spans="1:6" ht="14.25" thickBot="1">
      <c r="A40" s="1839" t="s">
        <v>1324</v>
      </c>
      <c r="B40" s="1846" t="s">
        <v>1186</v>
      </c>
      <c r="C40" s="1844">
        <v>9.6000000000000002E-2</v>
      </c>
      <c r="D40" s="1844">
        <v>0.1</v>
      </c>
      <c r="E40" s="1844">
        <v>9.9000000000000005E-2</v>
      </c>
      <c r="F40" s="1852"/>
    </row>
    <row r="41" spans="1:6" ht="14.25" thickBot="1">
      <c r="A41" s="1839" t="s">
        <v>1324</v>
      </c>
      <c r="B41" s="1846" t="s">
        <v>1196</v>
      </c>
      <c r="C41" s="1844">
        <v>9.6000000000000002E-2</v>
      </c>
      <c r="D41" s="1844">
        <v>9.8000000000000004E-2</v>
      </c>
      <c r="E41" s="1844">
        <v>9.8000000000000004E-2</v>
      </c>
      <c r="F41" s="1852"/>
    </row>
    <row r="42" spans="1:6" ht="14.25" thickBot="1">
      <c r="A42" s="1839" t="s">
        <v>1324</v>
      </c>
      <c r="B42" s="1846" t="s">
        <v>1206</v>
      </c>
      <c r="C42" s="1844">
        <v>0.1</v>
      </c>
      <c r="D42" s="1844">
        <v>8.7999999999999995E-2</v>
      </c>
      <c r="E42" s="1844">
        <v>0.1</v>
      </c>
      <c r="F42" s="1852"/>
    </row>
    <row r="43" spans="1:6" ht="14.25" thickBot="1">
      <c r="A43" s="1839" t="s">
        <v>1324</v>
      </c>
      <c r="B43" s="1846" t="s">
        <v>1216</v>
      </c>
      <c r="C43" s="1844">
        <v>9.8000000000000004E-2</v>
      </c>
      <c r="D43" s="1844">
        <v>9.7000000000000003E-2</v>
      </c>
      <c r="E43" s="1844">
        <v>9.6000000000000002E-2</v>
      </c>
      <c r="F43" s="1852"/>
    </row>
    <row r="44" spans="1:6" ht="14.25" thickBot="1">
      <c r="A44" s="1839" t="s">
        <v>1324</v>
      </c>
      <c r="B44" s="1846" t="s">
        <v>1226</v>
      </c>
      <c r="C44" s="1844">
        <v>8.5999999999999993E-2</v>
      </c>
      <c r="D44" s="1844">
        <v>7.9000000000000001E-2</v>
      </c>
      <c r="E44" s="1844">
        <v>7.0999999999999994E-2</v>
      </c>
      <c r="F44" s="1852"/>
    </row>
    <row r="45" spans="1:6" ht="14.25" thickBot="1">
      <c r="A45" s="1839" t="s">
        <v>1324</v>
      </c>
      <c r="B45" s="1846" t="s">
        <v>1236</v>
      </c>
      <c r="C45" s="1844">
        <v>9.8000000000000004E-2</v>
      </c>
      <c r="D45" s="1844">
        <v>9.6000000000000002E-2</v>
      </c>
      <c r="E45" s="1844">
        <v>9.6000000000000002E-2</v>
      </c>
      <c r="F45" s="1852"/>
    </row>
    <row r="46" spans="1:6" ht="14.25" thickBot="1">
      <c r="A46" s="1839" t="s">
        <v>1324</v>
      </c>
      <c r="B46" s="1846" t="s">
        <v>1246</v>
      </c>
      <c r="C46" s="1844">
        <v>8.5999999999999993E-2</v>
      </c>
      <c r="D46" s="1844">
        <v>9.8000000000000004E-2</v>
      </c>
      <c r="E46" s="1844">
        <v>8.7999999999999995E-2</v>
      </c>
      <c r="F46" s="1852"/>
    </row>
    <row r="47" spans="1:6" ht="14.25" thickBot="1">
      <c r="A47" s="1839" t="s">
        <v>1324</v>
      </c>
      <c r="B47" s="1846" t="s">
        <v>1256</v>
      </c>
      <c r="C47" s="1844">
        <v>9.6000000000000002E-2</v>
      </c>
      <c r="D47" s="1853"/>
      <c r="E47" s="1844">
        <v>6.9000000000000006E-2</v>
      </c>
      <c r="F47" s="1852"/>
    </row>
    <row r="48" spans="1:6" ht="14.25" thickBot="1">
      <c r="A48" s="1847" t="s">
        <v>1324</v>
      </c>
      <c r="B48" s="1848" t="s">
        <v>1265</v>
      </c>
      <c r="C48" s="1849">
        <v>9.8000000000000004E-2</v>
      </c>
      <c r="D48" s="1850"/>
      <c r="E48" s="1849">
        <v>9.5000000000000001E-2</v>
      </c>
      <c r="F48" s="1851"/>
    </row>
    <row r="49" spans="1:6" ht="14.25" thickBot="1">
      <c r="A49" s="1839" t="s">
        <v>923</v>
      </c>
      <c r="B49" s="1840" t="s">
        <v>2088</v>
      </c>
      <c r="C49" s="1841">
        <v>9.7000000000000003E-2</v>
      </c>
      <c r="D49" s="1841">
        <v>9.5000000000000001E-2</v>
      </c>
      <c r="E49" s="1841">
        <v>9.7000000000000003E-2</v>
      </c>
      <c r="F49" s="1842">
        <v>0.1</v>
      </c>
    </row>
    <row r="50" spans="1:6" ht="14.25" thickBot="1">
      <c r="A50" s="1839" t="s">
        <v>923</v>
      </c>
      <c r="B50" s="1843" t="s">
        <v>1071</v>
      </c>
      <c r="C50" s="1844">
        <v>7.4999999999999997E-2</v>
      </c>
      <c r="D50" s="1844">
        <v>9.5000000000000001E-2</v>
      </c>
      <c r="E50" s="1844">
        <v>0.1</v>
      </c>
      <c r="F50" s="1845">
        <v>0.1</v>
      </c>
    </row>
    <row r="51" spans="1:6" ht="14.25" thickBot="1">
      <c r="A51" s="1839" t="s">
        <v>923</v>
      </c>
      <c r="B51" s="1843" t="s">
        <v>1085</v>
      </c>
      <c r="C51" s="1844">
        <v>9.8000000000000004E-2</v>
      </c>
      <c r="D51" s="1844">
        <v>8.8999999999999996E-2</v>
      </c>
      <c r="E51" s="1844">
        <v>0.1</v>
      </c>
      <c r="F51" s="1845">
        <v>0.1</v>
      </c>
    </row>
    <row r="52" spans="1:6" ht="14.25" thickBot="1">
      <c r="A52" s="1839" t="s">
        <v>923</v>
      </c>
      <c r="B52" s="1843" t="s">
        <v>1098</v>
      </c>
      <c r="C52" s="1844">
        <v>9.8000000000000004E-2</v>
      </c>
      <c r="D52" s="1844">
        <v>9.7000000000000003E-2</v>
      </c>
      <c r="E52" s="1844">
        <v>8.1000000000000003E-2</v>
      </c>
      <c r="F52" s="1845">
        <v>0.1</v>
      </c>
    </row>
    <row r="53" spans="1:6" ht="14.25" thickBot="1">
      <c r="A53" s="1839" t="s">
        <v>923</v>
      </c>
      <c r="B53" s="1843" t="s">
        <v>1112</v>
      </c>
      <c r="C53" s="1844">
        <v>9.7000000000000003E-2</v>
      </c>
      <c r="D53" s="1844">
        <v>7.5999999999999998E-2</v>
      </c>
      <c r="E53" s="1844">
        <v>7.0999999999999994E-2</v>
      </c>
      <c r="F53" s="1845">
        <v>0.1</v>
      </c>
    </row>
    <row r="54" spans="1:6" ht="14.25" thickBot="1">
      <c r="A54" s="1839" t="s">
        <v>923</v>
      </c>
      <c r="B54" s="1843" t="s">
        <v>1123</v>
      </c>
      <c r="C54" s="1844">
        <v>7.5999999999999998E-2</v>
      </c>
      <c r="D54" s="1844">
        <v>0.1</v>
      </c>
      <c r="E54" s="1844">
        <v>9.9000000000000005E-2</v>
      </c>
      <c r="F54" s="1845">
        <v>0.1</v>
      </c>
    </row>
    <row r="55" spans="1:6" ht="14.25" thickBot="1">
      <c r="A55" s="1839" t="s">
        <v>923</v>
      </c>
      <c r="B55" s="1843" t="s">
        <v>1134</v>
      </c>
      <c r="C55" s="1844">
        <v>0.1</v>
      </c>
      <c r="D55" s="1844">
        <v>0.1</v>
      </c>
      <c r="E55" s="1844">
        <v>9.6000000000000002E-2</v>
      </c>
      <c r="F55" s="1845">
        <v>0.1</v>
      </c>
    </row>
    <row r="56" spans="1:6" ht="14.25" thickBot="1">
      <c r="A56" s="1839" t="s">
        <v>923</v>
      </c>
      <c r="B56" s="1843" t="s">
        <v>1145</v>
      </c>
      <c r="C56" s="1844">
        <v>0.1</v>
      </c>
      <c r="D56" s="1844">
        <v>9.6000000000000002E-2</v>
      </c>
      <c r="E56" s="1844">
        <v>5.1999999999999998E-2</v>
      </c>
      <c r="F56" s="1845">
        <v>0.1</v>
      </c>
    </row>
    <row r="57" spans="1:6" ht="14.25" thickBot="1">
      <c r="A57" s="1839" t="s">
        <v>923</v>
      </c>
      <c r="B57" s="1843" t="s">
        <v>1157</v>
      </c>
      <c r="C57" s="1844">
        <v>9.7000000000000003E-2</v>
      </c>
      <c r="D57" s="1844">
        <v>9.6000000000000002E-2</v>
      </c>
      <c r="E57" s="1844">
        <v>9.6000000000000002E-2</v>
      </c>
      <c r="F57" s="1845">
        <v>0.1</v>
      </c>
    </row>
    <row r="58" spans="1:6" ht="14.25" thickBot="1">
      <c r="A58" s="1839" t="s">
        <v>923</v>
      </c>
      <c r="B58" s="1843" t="s">
        <v>1167</v>
      </c>
      <c r="C58" s="1844">
        <v>9.6000000000000002E-2</v>
      </c>
      <c r="D58" s="1844">
        <v>9.9000000000000005E-2</v>
      </c>
      <c r="E58" s="1844">
        <v>9.6000000000000002E-2</v>
      </c>
      <c r="F58" s="1845">
        <v>0.1</v>
      </c>
    </row>
    <row r="59" spans="1:6" ht="14.25" thickBot="1">
      <c r="A59" s="1839" t="s">
        <v>923</v>
      </c>
      <c r="B59" s="1843" t="s">
        <v>1177</v>
      </c>
      <c r="C59" s="1844">
        <v>7.1999999999999995E-2</v>
      </c>
      <c r="D59" s="1844">
        <v>9.6000000000000002E-2</v>
      </c>
      <c r="E59" s="1844">
        <v>7.0999999999999994E-2</v>
      </c>
      <c r="F59" s="1845">
        <v>0.1</v>
      </c>
    </row>
    <row r="60" spans="1:6" ht="14.25" thickBot="1">
      <c r="A60" s="1839" t="s">
        <v>923</v>
      </c>
      <c r="B60" s="1843" t="s">
        <v>1187</v>
      </c>
      <c r="C60" s="1844">
        <v>9.6000000000000002E-2</v>
      </c>
      <c r="D60" s="1844">
        <v>8.8999999999999996E-2</v>
      </c>
      <c r="E60" s="1844">
        <v>9.6000000000000002E-2</v>
      </c>
      <c r="F60" s="1845">
        <v>0.1</v>
      </c>
    </row>
    <row r="61" spans="1:6" ht="14.25" thickBot="1">
      <c r="A61" s="1839" t="s">
        <v>923</v>
      </c>
      <c r="B61" s="1843" t="s">
        <v>1197</v>
      </c>
      <c r="C61" s="1844">
        <v>8.8999999999999996E-2</v>
      </c>
      <c r="D61" s="1844">
        <v>9.8000000000000004E-2</v>
      </c>
      <c r="E61" s="1844">
        <v>8.7999999999999995E-2</v>
      </c>
      <c r="F61" s="1852"/>
    </row>
    <row r="62" spans="1:6" ht="14.25" thickBot="1">
      <c r="A62" s="1839" t="s">
        <v>923</v>
      </c>
      <c r="B62" s="1843" t="s">
        <v>1207</v>
      </c>
      <c r="C62" s="1844">
        <v>9.8000000000000004E-2</v>
      </c>
      <c r="D62" s="1844">
        <v>9.2999999999999999E-2</v>
      </c>
      <c r="E62" s="1844">
        <v>9.7000000000000003E-2</v>
      </c>
      <c r="F62" s="1852"/>
    </row>
    <row r="63" spans="1:6" ht="14.25" thickBot="1">
      <c r="A63" s="1839" t="s">
        <v>923</v>
      </c>
      <c r="B63" s="1843" t="s">
        <v>1217</v>
      </c>
      <c r="C63" s="1844">
        <v>9.6000000000000002E-2</v>
      </c>
      <c r="D63" s="1844">
        <v>9.8000000000000004E-2</v>
      </c>
      <c r="E63" s="1844">
        <v>0.09</v>
      </c>
      <c r="F63" s="1852"/>
    </row>
    <row r="64" spans="1:6" ht="14.25" thickBot="1">
      <c r="A64" s="1839" t="s">
        <v>923</v>
      </c>
      <c r="B64" s="1843" t="s">
        <v>1227</v>
      </c>
      <c r="C64" s="1844">
        <v>9.9000000000000005E-2</v>
      </c>
      <c r="D64" s="1844">
        <v>9.7000000000000003E-2</v>
      </c>
      <c r="E64" s="1844">
        <v>9.9000000000000005E-2</v>
      </c>
      <c r="F64" s="1852"/>
    </row>
    <row r="65" spans="1:6" ht="14.25" thickBot="1">
      <c r="A65" s="1839" t="s">
        <v>923</v>
      </c>
      <c r="B65" s="1843" t="s">
        <v>1237</v>
      </c>
      <c r="C65" s="1844">
        <v>9.8000000000000004E-2</v>
      </c>
      <c r="D65" s="1844">
        <v>9.6000000000000002E-2</v>
      </c>
      <c r="E65" s="1844">
        <v>9.6000000000000002E-2</v>
      </c>
      <c r="F65" s="1852"/>
    </row>
    <row r="66" spans="1:6" ht="14.25" thickBot="1">
      <c r="A66" s="1839" t="s">
        <v>923</v>
      </c>
      <c r="B66" s="1843" t="s">
        <v>1247</v>
      </c>
      <c r="C66" s="1844">
        <v>9.6000000000000002E-2</v>
      </c>
      <c r="D66" s="1844">
        <v>9.1999999999999998E-2</v>
      </c>
      <c r="E66" s="1844">
        <v>9.6000000000000002E-2</v>
      </c>
      <c r="F66" s="1852"/>
    </row>
    <row r="67" spans="1:6" ht="14.25" thickBot="1">
      <c r="A67" s="1839" t="s">
        <v>923</v>
      </c>
      <c r="B67" s="1843" t="s">
        <v>1257</v>
      </c>
      <c r="C67" s="1844">
        <v>9.4E-2</v>
      </c>
      <c r="D67" s="1844">
        <v>0.1</v>
      </c>
      <c r="E67" s="1844">
        <v>8.7999999999999995E-2</v>
      </c>
      <c r="F67" s="1852"/>
    </row>
    <row r="68" spans="1:6" ht="14.25" thickBot="1">
      <c r="A68" s="1839" t="s">
        <v>923</v>
      </c>
      <c r="B68" s="1843" t="s">
        <v>1266</v>
      </c>
      <c r="C68" s="1844">
        <v>0.1</v>
      </c>
      <c r="D68" s="1844">
        <v>8.7999999999999995E-2</v>
      </c>
      <c r="E68" s="1844">
        <v>9.7000000000000003E-2</v>
      </c>
      <c r="F68" s="1852"/>
    </row>
    <row r="69" spans="1:6" ht="14.25" thickBot="1">
      <c r="A69" s="1839" t="s">
        <v>923</v>
      </c>
      <c r="B69" s="1843" t="s">
        <v>1275</v>
      </c>
      <c r="C69" s="1844">
        <v>6.4000000000000001E-2</v>
      </c>
      <c r="D69" s="1844">
        <v>0.1</v>
      </c>
      <c r="E69" s="1844">
        <v>0.1</v>
      </c>
      <c r="F69" s="1852"/>
    </row>
    <row r="70" spans="1:6" ht="14.25" thickBot="1">
      <c r="A70" s="1839" t="s">
        <v>923</v>
      </c>
      <c r="B70" s="1843" t="s">
        <v>1283</v>
      </c>
      <c r="C70" s="1844">
        <v>9.0999999999999998E-2</v>
      </c>
      <c r="D70" s="1853"/>
      <c r="E70" s="1853"/>
      <c r="F70" s="1852"/>
    </row>
    <row r="71" spans="1:6" ht="14.25" thickBot="1">
      <c r="A71" s="1839" t="s">
        <v>923</v>
      </c>
      <c r="B71" s="1843" t="s">
        <v>1290</v>
      </c>
      <c r="C71" s="1844">
        <v>0.1</v>
      </c>
      <c r="D71" s="1853"/>
      <c r="E71" s="1853"/>
      <c r="F71" s="1852"/>
    </row>
    <row r="72" spans="1:6" ht="14.25" thickBot="1">
      <c r="A72" s="1839" t="s">
        <v>923</v>
      </c>
      <c r="B72" s="1843" t="s">
        <v>2089</v>
      </c>
      <c r="C72" s="1853"/>
      <c r="D72" s="1853"/>
      <c r="E72" s="1853"/>
      <c r="F72" s="1845">
        <v>0.05</v>
      </c>
    </row>
    <row r="73" spans="1:6" ht="14.25" thickBot="1">
      <c r="A73" s="1839" t="s">
        <v>923</v>
      </c>
      <c r="B73" s="1843" t="s">
        <v>2090</v>
      </c>
      <c r="C73" s="1853"/>
      <c r="D73" s="1853"/>
      <c r="E73" s="1853"/>
      <c r="F73" s="1845">
        <v>0.05</v>
      </c>
    </row>
    <row r="74" spans="1:6" ht="14.25" thickBot="1">
      <c r="A74" s="1839" t="s">
        <v>923</v>
      </c>
      <c r="B74" s="1843" t="s">
        <v>2091</v>
      </c>
      <c r="C74" s="1853"/>
      <c r="D74" s="1853"/>
      <c r="E74" s="1853"/>
      <c r="F74" s="1845">
        <v>0.05</v>
      </c>
    </row>
    <row r="75" spans="1:6" ht="14.25" thickBot="1">
      <c r="A75" s="1847" t="s">
        <v>923</v>
      </c>
      <c r="B75" s="1854" t="s">
        <v>2092</v>
      </c>
      <c r="C75" s="1850"/>
      <c r="D75" s="1850"/>
      <c r="E75" s="1850"/>
      <c r="F75" s="1855">
        <v>0.05</v>
      </c>
    </row>
    <row r="76" spans="1:6" ht="14.25" thickBot="1">
      <c r="A76" s="1839" t="s">
        <v>1405</v>
      </c>
      <c r="B76" s="1840" t="s">
        <v>2093</v>
      </c>
      <c r="C76" s="1841">
        <v>0.1</v>
      </c>
      <c r="D76" s="1841">
        <v>0.1</v>
      </c>
      <c r="E76" s="1841">
        <v>0.1</v>
      </c>
      <c r="F76" s="1842">
        <v>0.1</v>
      </c>
    </row>
    <row r="77" spans="1:6" ht="14.25" thickBot="1">
      <c r="A77" s="1839" t="s">
        <v>1405</v>
      </c>
      <c r="B77" s="1843" t="s">
        <v>1072</v>
      </c>
      <c r="C77" s="1844">
        <v>8.7999999999999995E-2</v>
      </c>
      <c r="D77" s="1844">
        <v>8.6999999999999994E-2</v>
      </c>
      <c r="E77" s="1844">
        <v>7.9000000000000001E-2</v>
      </c>
      <c r="F77" s="1845">
        <v>0.1</v>
      </c>
    </row>
    <row r="78" spans="1:6" ht="14.25" thickBot="1">
      <c r="A78" s="1839" t="s">
        <v>1405</v>
      </c>
      <c r="B78" s="1843" t="s">
        <v>1086</v>
      </c>
      <c r="C78" s="1844">
        <v>8.6999999999999994E-2</v>
      </c>
      <c r="D78" s="1844">
        <v>8.4000000000000005E-2</v>
      </c>
      <c r="E78" s="1844">
        <v>9.6000000000000002E-2</v>
      </c>
      <c r="F78" s="1845">
        <v>0.1</v>
      </c>
    </row>
    <row r="79" spans="1:6" ht="14.25" thickBot="1">
      <c r="A79" s="1839" t="s">
        <v>1405</v>
      </c>
      <c r="B79" s="1843" t="s">
        <v>1099</v>
      </c>
      <c r="C79" s="1844">
        <v>9.8000000000000004E-2</v>
      </c>
      <c r="D79" s="1844">
        <v>9.8000000000000004E-2</v>
      </c>
      <c r="E79" s="1844">
        <v>9.0999999999999998E-2</v>
      </c>
      <c r="F79" s="1845">
        <v>0.1</v>
      </c>
    </row>
    <row r="80" spans="1:6" ht="14.25" thickBot="1">
      <c r="A80" s="1839" t="s">
        <v>1405</v>
      </c>
      <c r="B80" s="1843" t="s">
        <v>1113</v>
      </c>
      <c r="C80" s="1844">
        <v>9.6000000000000002E-2</v>
      </c>
      <c r="D80" s="1844">
        <v>9.6000000000000002E-2</v>
      </c>
      <c r="E80" s="1844">
        <v>0.1</v>
      </c>
      <c r="F80" s="1845">
        <v>0.1</v>
      </c>
    </row>
    <row r="81" spans="1:6" ht="14.25" thickBot="1">
      <c r="A81" s="1839" t="s">
        <v>1405</v>
      </c>
      <c r="B81" s="1843" t="s">
        <v>1124</v>
      </c>
      <c r="C81" s="1844">
        <v>9.9000000000000005E-2</v>
      </c>
      <c r="D81" s="1844">
        <v>9.9000000000000005E-2</v>
      </c>
      <c r="E81" s="1844">
        <v>9.8000000000000004E-2</v>
      </c>
      <c r="F81" s="1845">
        <v>0.1</v>
      </c>
    </row>
    <row r="82" spans="1:6" ht="14.25" thickBot="1">
      <c r="A82" s="1839" t="s">
        <v>1405</v>
      </c>
      <c r="B82" s="1843" t="s">
        <v>1135</v>
      </c>
      <c r="C82" s="1844">
        <v>9.9000000000000005E-2</v>
      </c>
      <c r="D82" s="1844">
        <v>9.9000000000000005E-2</v>
      </c>
      <c r="E82" s="1844">
        <v>9.7000000000000003E-2</v>
      </c>
      <c r="F82" s="1845">
        <v>0.1</v>
      </c>
    </row>
    <row r="83" spans="1:6" ht="14.25" thickBot="1">
      <c r="A83" s="1839" t="s">
        <v>1405</v>
      </c>
      <c r="B83" s="1843" t="s">
        <v>1146</v>
      </c>
      <c r="C83" s="1844">
        <v>9.8000000000000004E-2</v>
      </c>
      <c r="D83" s="1844">
        <v>9.8000000000000004E-2</v>
      </c>
      <c r="E83" s="1844">
        <v>9.8000000000000004E-2</v>
      </c>
      <c r="F83" s="1845">
        <v>0.1</v>
      </c>
    </row>
    <row r="84" spans="1:6" ht="14.25" thickBot="1">
      <c r="A84" s="1839" t="s">
        <v>1405</v>
      </c>
      <c r="B84" s="1843" t="s">
        <v>1158</v>
      </c>
      <c r="C84" s="1844">
        <v>9.9000000000000005E-2</v>
      </c>
      <c r="D84" s="1844">
        <v>9.9000000000000005E-2</v>
      </c>
      <c r="E84" s="1844">
        <v>9.9000000000000005E-2</v>
      </c>
      <c r="F84" s="1845">
        <v>0.1</v>
      </c>
    </row>
    <row r="85" spans="1:6" ht="14.25" thickBot="1">
      <c r="A85" s="1839" t="s">
        <v>1405</v>
      </c>
      <c r="B85" s="1843" t="s">
        <v>1168</v>
      </c>
      <c r="C85" s="1844">
        <v>9.9000000000000005E-2</v>
      </c>
      <c r="D85" s="1844">
        <v>9.9000000000000005E-2</v>
      </c>
      <c r="E85" s="1844">
        <v>9.9000000000000005E-2</v>
      </c>
      <c r="F85" s="1845">
        <v>0.1</v>
      </c>
    </row>
    <row r="86" spans="1:6" ht="14.25" thickBot="1">
      <c r="A86" s="1839" t="s">
        <v>1405</v>
      </c>
      <c r="B86" s="1843" t="s">
        <v>1178</v>
      </c>
      <c r="C86" s="1844">
        <v>0.1</v>
      </c>
      <c r="D86" s="1844">
        <v>0.1</v>
      </c>
      <c r="E86" s="1844">
        <v>7.6999999999999999E-2</v>
      </c>
      <c r="F86" s="1845">
        <v>0.1</v>
      </c>
    </row>
    <row r="87" spans="1:6" ht="14.25" thickBot="1">
      <c r="A87" s="1839" t="s">
        <v>1405</v>
      </c>
      <c r="B87" s="1843" t="s">
        <v>1188</v>
      </c>
      <c r="C87" s="1844">
        <v>0.1</v>
      </c>
      <c r="D87" s="1844">
        <v>0.1</v>
      </c>
      <c r="E87" s="1844">
        <v>9.8000000000000004E-2</v>
      </c>
      <c r="F87" s="1852"/>
    </row>
    <row r="88" spans="1:6" ht="14.25" thickBot="1">
      <c r="A88" s="1839" t="s">
        <v>1405</v>
      </c>
      <c r="B88" s="1843" t="s">
        <v>1198</v>
      </c>
      <c r="C88" s="1844">
        <v>9.1999999999999998E-2</v>
      </c>
      <c r="D88" s="1844">
        <v>8.5000000000000006E-2</v>
      </c>
      <c r="E88" s="1844">
        <v>9.6000000000000002E-2</v>
      </c>
      <c r="F88" s="1852"/>
    </row>
    <row r="89" spans="1:6" ht="14.25" thickBot="1">
      <c r="A89" s="1839" t="s">
        <v>1405</v>
      </c>
      <c r="B89" s="1843" t="s">
        <v>1208</v>
      </c>
      <c r="C89" s="1844">
        <v>0.1</v>
      </c>
      <c r="D89" s="1844">
        <v>0.1</v>
      </c>
      <c r="E89" s="1844">
        <v>9.7000000000000003E-2</v>
      </c>
      <c r="F89" s="1852"/>
    </row>
    <row r="90" spans="1:6" ht="14.25" thickBot="1">
      <c r="A90" s="1839" t="s">
        <v>1405</v>
      </c>
      <c r="B90" s="1843" t="s">
        <v>1218</v>
      </c>
      <c r="C90" s="1844">
        <v>9.8000000000000004E-2</v>
      </c>
      <c r="D90" s="1844">
        <v>9.8000000000000004E-2</v>
      </c>
      <c r="E90" s="1844">
        <v>8.7999999999999995E-2</v>
      </c>
      <c r="F90" s="1852"/>
    </row>
    <row r="91" spans="1:6" ht="14.25" thickBot="1">
      <c r="A91" s="1839" t="s">
        <v>1405</v>
      </c>
      <c r="B91" s="1843" t="s">
        <v>1228</v>
      </c>
      <c r="C91" s="1844">
        <v>9.9000000000000005E-2</v>
      </c>
      <c r="D91" s="1844">
        <v>9.9000000000000005E-2</v>
      </c>
      <c r="E91" s="1844">
        <v>9.0999999999999998E-2</v>
      </c>
      <c r="F91" s="1852"/>
    </row>
    <row r="92" spans="1:6" ht="14.25" thickBot="1">
      <c r="A92" s="1839" t="s">
        <v>1405</v>
      </c>
      <c r="B92" s="1843" t="s">
        <v>1238</v>
      </c>
      <c r="C92" s="1844">
        <v>9.6000000000000002E-2</v>
      </c>
      <c r="D92" s="1844">
        <v>9.6000000000000002E-2</v>
      </c>
      <c r="E92" s="1844">
        <v>7.2999999999999995E-2</v>
      </c>
      <c r="F92" s="1852"/>
    </row>
    <row r="93" spans="1:6" ht="14.25" thickBot="1">
      <c r="A93" s="1839" t="s">
        <v>1405</v>
      </c>
      <c r="B93" s="1843" t="s">
        <v>1248</v>
      </c>
      <c r="C93" s="1844">
        <v>9.6000000000000002E-2</v>
      </c>
      <c r="D93" s="1844">
        <v>9.6000000000000002E-2</v>
      </c>
      <c r="E93" s="1844">
        <v>9.9000000000000005E-2</v>
      </c>
      <c r="F93" s="1852"/>
    </row>
    <row r="94" spans="1:6" ht="14.25" thickBot="1">
      <c r="A94" s="1839" t="s">
        <v>1405</v>
      </c>
      <c r="B94" s="1843" t="s">
        <v>1258</v>
      </c>
      <c r="C94" s="1844">
        <v>7.5999999999999998E-2</v>
      </c>
      <c r="D94" s="1844">
        <v>7.3999999999999996E-2</v>
      </c>
      <c r="E94" s="1844">
        <v>9.7000000000000003E-2</v>
      </c>
      <c r="F94" s="1852"/>
    </row>
    <row r="95" spans="1:6" ht="14.25" thickBot="1">
      <c r="A95" s="1839" t="s">
        <v>1405</v>
      </c>
      <c r="B95" s="1843" t="s">
        <v>1267</v>
      </c>
      <c r="C95" s="1844">
        <v>9.9000000000000005E-2</v>
      </c>
      <c r="D95" s="1844">
        <v>9.4E-2</v>
      </c>
      <c r="E95" s="1844">
        <v>9.6000000000000002E-2</v>
      </c>
      <c r="F95" s="1852"/>
    </row>
    <row r="96" spans="1:6" ht="14.25" thickBot="1">
      <c r="A96" s="1839" t="s">
        <v>1405</v>
      </c>
      <c r="B96" s="1843" t="s">
        <v>1276</v>
      </c>
      <c r="C96" s="1844">
        <v>9.9000000000000005E-2</v>
      </c>
      <c r="D96" s="1844">
        <v>9.9000000000000005E-2</v>
      </c>
      <c r="E96" s="1844">
        <v>9.9000000000000005E-2</v>
      </c>
      <c r="F96" s="1852"/>
    </row>
    <row r="97" spans="1:6" ht="14.25" thickBot="1">
      <c r="A97" s="1839" t="s">
        <v>1405</v>
      </c>
      <c r="B97" s="1843" t="s">
        <v>1284</v>
      </c>
      <c r="C97" s="1844">
        <v>9.8000000000000004E-2</v>
      </c>
      <c r="D97" s="1844">
        <v>9.8000000000000004E-2</v>
      </c>
      <c r="E97" s="1844">
        <v>9.7000000000000003E-2</v>
      </c>
      <c r="F97" s="1852"/>
    </row>
    <row r="98" spans="1:6" ht="14.25" thickBot="1">
      <c r="A98" s="1839" t="s">
        <v>1405</v>
      </c>
      <c r="B98" s="1843" t="s">
        <v>1291</v>
      </c>
      <c r="C98" s="1844">
        <v>0.1</v>
      </c>
      <c r="D98" s="1844">
        <v>0.1</v>
      </c>
      <c r="E98" s="1844">
        <v>9.7000000000000003E-2</v>
      </c>
      <c r="F98" s="1852"/>
    </row>
    <row r="99" spans="1:6" ht="14.25" thickBot="1">
      <c r="A99" s="1839" t="s">
        <v>1405</v>
      </c>
      <c r="B99" s="1843" t="s">
        <v>1298</v>
      </c>
      <c r="C99" s="1844">
        <v>0.1</v>
      </c>
      <c r="D99" s="1844">
        <v>0.1</v>
      </c>
      <c r="E99" s="1853"/>
      <c r="F99" s="1852"/>
    </row>
    <row r="100" spans="1:6" ht="14.25" thickBot="1">
      <c r="A100" s="1839" t="s">
        <v>1405</v>
      </c>
      <c r="B100" s="1843" t="s">
        <v>1305</v>
      </c>
      <c r="C100" s="1844">
        <v>0.09</v>
      </c>
      <c r="D100" s="1844">
        <v>8.8999999999999996E-2</v>
      </c>
      <c r="E100" s="1853"/>
      <c r="F100" s="1852"/>
    </row>
    <row r="101" spans="1:6" ht="14.25" thickBot="1">
      <c r="A101" s="1839" t="s">
        <v>1405</v>
      </c>
      <c r="B101" s="1843" t="s">
        <v>1312</v>
      </c>
      <c r="C101" s="1844">
        <v>9.8000000000000004E-2</v>
      </c>
      <c r="D101" s="1844">
        <v>9.7000000000000003E-2</v>
      </c>
      <c r="E101" s="1853"/>
      <c r="F101" s="1852"/>
    </row>
    <row r="102" spans="1:6" ht="14.25" thickBot="1">
      <c r="A102" s="1839" t="s">
        <v>1405</v>
      </c>
      <c r="B102" s="1843" t="s">
        <v>2094</v>
      </c>
      <c r="C102" s="1853"/>
      <c r="D102" s="1853"/>
      <c r="E102" s="1853"/>
      <c r="F102" s="1845">
        <v>0.05</v>
      </c>
    </row>
    <row r="103" spans="1:6" ht="24.75" thickBot="1">
      <c r="A103" s="1839" t="s">
        <v>1405</v>
      </c>
      <c r="B103" s="1843" t="s">
        <v>2095</v>
      </c>
      <c r="C103" s="1853"/>
      <c r="D103" s="1853"/>
      <c r="E103" s="1853"/>
      <c r="F103" s="1845">
        <v>0.05</v>
      </c>
    </row>
    <row r="104" spans="1:6" ht="14.25" thickBot="1">
      <c r="A104" s="1839" t="s">
        <v>1405</v>
      </c>
      <c r="B104" s="1843" t="s">
        <v>2096</v>
      </c>
      <c r="C104" s="1853"/>
      <c r="D104" s="1853"/>
      <c r="E104" s="1853"/>
      <c r="F104" s="1845">
        <v>0.05</v>
      </c>
    </row>
    <row r="105" spans="1:6" ht="14.25" thickBot="1">
      <c r="A105" s="1839" t="s">
        <v>1405</v>
      </c>
      <c r="B105" s="1843" t="s">
        <v>2097</v>
      </c>
      <c r="C105" s="1853"/>
      <c r="D105" s="1853"/>
      <c r="E105" s="1853"/>
      <c r="F105" s="1845">
        <v>0.05</v>
      </c>
    </row>
    <row r="106" spans="1:6" ht="14.25" thickBot="1">
      <c r="A106" s="1839" t="s">
        <v>1405</v>
      </c>
      <c r="B106" s="1843" t="s">
        <v>2098</v>
      </c>
      <c r="C106" s="1853"/>
      <c r="D106" s="1853"/>
      <c r="E106" s="1853"/>
      <c r="F106" s="1845">
        <v>0.05</v>
      </c>
    </row>
    <row r="107" spans="1:6" ht="24.75" thickBot="1">
      <c r="A107" s="1839" t="s">
        <v>1405</v>
      </c>
      <c r="B107" s="1843" t="s">
        <v>2099</v>
      </c>
      <c r="C107" s="1853"/>
      <c r="D107" s="1853"/>
      <c r="E107" s="1853"/>
      <c r="F107" s="1845">
        <v>0.05</v>
      </c>
    </row>
    <row r="108" spans="1:6" ht="24.75" thickBot="1">
      <c r="A108" s="1839" t="s">
        <v>1405</v>
      </c>
      <c r="B108" s="1843" t="s">
        <v>2100</v>
      </c>
      <c r="C108" s="1853"/>
      <c r="D108" s="1853"/>
      <c r="E108" s="1853"/>
      <c r="F108" s="1845">
        <v>0.05</v>
      </c>
    </row>
    <row r="109" spans="1:6" ht="24.75" thickBot="1">
      <c r="A109" s="1847" t="s">
        <v>1405</v>
      </c>
      <c r="B109" s="1854" t="s">
        <v>2101</v>
      </c>
      <c r="C109" s="1850"/>
      <c r="D109" s="1850"/>
      <c r="E109" s="1850"/>
      <c r="F109" s="1855">
        <v>0.05</v>
      </c>
    </row>
    <row r="110" spans="1:6" ht="14.25" thickBot="1">
      <c r="A110" s="1839" t="s">
        <v>1407</v>
      </c>
      <c r="B110" s="1840" t="s">
        <v>2102</v>
      </c>
      <c r="C110" s="1841">
        <v>0.129</v>
      </c>
      <c r="D110" s="1841">
        <v>0.129</v>
      </c>
      <c r="E110" s="1841">
        <v>0.126</v>
      </c>
      <c r="F110" s="1842">
        <v>0.13</v>
      </c>
    </row>
    <row r="111" spans="1:6" ht="14.25" thickBot="1">
      <c r="A111" s="1839" t="s">
        <v>1407</v>
      </c>
      <c r="B111" s="1843" t="s">
        <v>1073</v>
      </c>
      <c r="C111" s="1844">
        <v>0.11</v>
      </c>
      <c r="D111" s="1844">
        <v>0.11</v>
      </c>
      <c r="E111" s="1844">
        <v>9.9000000000000005E-2</v>
      </c>
      <c r="F111" s="1845">
        <v>0.128</v>
      </c>
    </row>
    <row r="112" spans="1:6" ht="14.25" thickBot="1">
      <c r="A112" s="1839" t="s">
        <v>1407</v>
      </c>
      <c r="B112" s="1843" t="s">
        <v>1087</v>
      </c>
      <c r="C112" s="1844">
        <v>0.125</v>
      </c>
      <c r="D112" s="1844">
        <v>0.125</v>
      </c>
      <c r="E112" s="1844">
        <v>0.12</v>
      </c>
      <c r="F112" s="1845">
        <v>0.125</v>
      </c>
    </row>
    <row r="113" spans="1:6" ht="14.25" thickBot="1">
      <c r="A113" s="1839" t="s">
        <v>1407</v>
      </c>
      <c r="B113" s="1843" t="s">
        <v>1100</v>
      </c>
      <c r="C113" s="1844">
        <v>0.13</v>
      </c>
      <c r="D113" s="1844">
        <v>0.13</v>
      </c>
      <c r="E113" s="1844">
        <v>0.13</v>
      </c>
      <c r="F113" s="1845">
        <v>0.13</v>
      </c>
    </row>
    <row r="114" spans="1:6" ht="14.25" thickBot="1">
      <c r="A114" s="1839" t="s">
        <v>1407</v>
      </c>
      <c r="B114" s="1843" t="s">
        <v>1114</v>
      </c>
      <c r="C114" s="1844">
        <v>0.123</v>
      </c>
      <c r="D114" s="1844">
        <v>0.123</v>
      </c>
      <c r="E114" s="1844">
        <v>0.12</v>
      </c>
      <c r="F114" s="1845">
        <v>0.13</v>
      </c>
    </row>
    <row r="115" spans="1:6" ht="14.25" thickBot="1">
      <c r="A115" s="1839" t="s">
        <v>1407</v>
      </c>
      <c r="B115" s="1843" t="s">
        <v>1125</v>
      </c>
      <c r="C115" s="1844">
        <v>0.125</v>
      </c>
      <c r="D115" s="1844">
        <v>0.125</v>
      </c>
      <c r="E115" s="1844">
        <v>0.11700000000000001</v>
      </c>
      <c r="F115" s="1845">
        <v>0.13</v>
      </c>
    </row>
    <row r="116" spans="1:6" ht="14.25" thickBot="1">
      <c r="A116" s="1839" t="s">
        <v>1407</v>
      </c>
      <c r="B116" s="1843" t="s">
        <v>1136</v>
      </c>
      <c r="C116" s="1844">
        <v>0.11700000000000001</v>
      </c>
      <c r="D116" s="1844">
        <v>0.11700000000000001</v>
      </c>
      <c r="E116" s="1844">
        <v>8.7999999999999995E-2</v>
      </c>
      <c r="F116" s="1845">
        <v>0.13</v>
      </c>
    </row>
    <row r="117" spans="1:6" ht="14.25" thickBot="1">
      <c r="A117" s="1839" t="s">
        <v>1407</v>
      </c>
      <c r="B117" s="1843" t="s">
        <v>1147</v>
      </c>
      <c r="C117" s="1844">
        <v>0.13</v>
      </c>
      <c r="D117" s="1844">
        <v>0.13</v>
      </c>
      <c r="E117" s="1844">
        <v>0.129</v>
      </c>
      <c r="F117" s="1845">
        <v>0.13</v>
      </c>
    </row>
    <row r="118" spans="1:6" ht="14.25" thickBot="1">
      <c r="A118" s="1839" t="s">
        <v>1407</v>
      </c>
      <c r="B118" s="1843" t="s">
        <v>1159</v>
      </c>
      <c r="C118" s="1844">
        <v>0.123</v>
      </c>
      <c r="D118" s="1844">
        <v>0.123</v>
      </c>
      <c r="E118" s="1844">
        <v>0.11600000000000001</v>
      </c>
      <c r="F118" s="1845">
        <v>0.13</v>
      </c>
    </row>
    <row r="119" spans="1:6" ht="14.25" thickBot="1">
      <c r="A119" s="1839" t="s">
        <v>1407</v>
      </c>
      <c r="B119" s="1843" t="s">
        <v>1169</v>
      </c>
      <c r="C119" s="1844">
        <v>0.127</v>
      </c>
      <c r="D119" s="1844">
        <v>0.127</v>
      </c>
      <c r="E119" s="1844">
        <v>0.124</v>
      </c>
      <c r="F119" s="1845">
        <v>0.13</v>
      </c>
    </row>
    <row r="120" spans="1:6" ht="14.25" thickBot="1">
      <c r="A120" s="1839" t="s">
        <v>1407</v>
      </c>
      <c r="B120" s="1843" t="s">
        <v>1179</v>
      </c>
      <c r="C120" s="1844">
        <v>0.125</v>
      </c>
      <c r="D120" s="1844">
        <v>0.125</v>
      </c>
      <c r="E120" s="1844">
        <v>0.122</v>
      </c>
      <c r="F120" s="1845">
        <v>0.13</v>
      </c>
    </row>
    <row r="121" spans="1:6" ht="14.25" thickBot="1">
      <c r="A121" s="1839" t="s">
        <v>1407</v>
      </c>
      <c r="B121" s="1843" t="s">
        <v>1189</v>
      </c>
      <c r="C121" s="1844">
        <v>0.13</v>
      </c>
      <c r="D121" s="1844">
        <v>0.13</v>
      </c>
      <c r="E121" s="1844">
        <v>0.13</v>
      </c>
      <c r="F121" s="1845">
        <v>0.13</v>
      </c>
    </row>
    <row r="122" spans="1:6" ht="14.25" thickBot="1">
      <c r="A122" s="1839" t="s">
        <v>1407</v>
      </c>
      <c r="B122" s="1843" t="s">
        <v>1199</v>
      </c>
      <c r="C122" s="1844">
        <v>0.13</v>
      </c>
      <c r="D122" s="1844">
        <v>0.13</v>
      </c>
      <c r="E122" s="1844">
        <v>0.125</v>
      </c>
      <c r="F122" s="1845">
        <v>0.13</v>
      </c>
    </row>
    <row r="123" spans="1:6" ht="14.25" thickBot="1">
      <c r="A123" s="1839" t="s">
        <v>1407</v>
      </c>
      <c r="B123" s="1843" t="s">
        <v>1209</v>
      </c>
      <c r="C123" s="1844">
        <v>0.129</v>
      </c>
      <c r="D123" s="1844">
        <v>0.129</v>
      </c>
      <c r="E123" s="1844">
        <v>0.123</v>
      </c>
      <c r="F123" s="1845">
        <v>0.13</v>
      </c>
    </row>
    <row r="124" spans="1:6" ht="14.25" thickBot="1">
      <c r="A124" s="1839" t="s">
        <v>1407</v>
      </c>
      <c r="B124" s="1843" t="s">
        <v>1219</v>
      </c>
      <c r="C124" s="1844">
        <v>0.10199999999999999</v>
      </c>
      <c r="D124" s="1844">
        <v>0.10100000000000001</v>
      </c>
      <c r="E124" s="1844">
        <v>0.08</v>
      </c>
      <c r="F124" s="1852"/>
    </row>
    <row r="125" spans="1:6" ht="14.25" thickBot="1">
      <c r="A125" s="1839" t="s">
        <v>1407</v>
      </c>
      <c r="B125" s="1843" t="s">
        <v>1229</v>
      </c>
      <c r="C125" s="1844">
        <v>0.13</v>
      </c>
      <c r="D125" s="1844">
        <v>0.13</v>
      </c>
      <c r="E125" s="1844">
        <v>0.129</v>
      </c>
      <c r="F125" s="1852"/>
    </row>
    <row r="126" spans="1:6" ht="14.25" thickBot="1">
      <c r="A126" s="1839" t="s">
        <v>1407</v>
      </c>
      <c r="B126" s="1843" t="s">
        <v>1239</v>
      </c>
      <c r="C126" s="1844">
        <v>0.13</v>
      </c>
      <c r="D126" s="1844">
        <v>0.13</v>
      </c>
      <c r="E126" s="1844">
        <v>0.126</v>
      </c>
      <c r="F126" s="1852"/>
    </row>
    <row r="127" spans="1:6" ht="14.25" thickBot="1">
      <c r="A127" s="1839" t="s">
        <v>1407</v>
      </c>
      <c r="B127" s="1843" t="s">
        <v>1249</v>
      </c>
      <c r="C127" s="1844">
        <v>0.125</v>
      </c>
      <c r="D127" s="1844">
        <v>0.125</v>
      </c>
      <c r="E127" s="1844">
        <v>0.121</v>
      </c>
      <c r="F127" s="1852"/>
    </row>
    <row r="128" spans="1:6" ht="14.25" thickBot="1">
      <c r="A128" s="1839" t="s">
        <v>1407</v>
      </c>
      <c r="B128" s="1843" t="s">
        <v>1259</v>
      </c>
      <c r="C128" s="1844">
        <v>0.12</v>
      </c>
      <c r="D128" s="1844">
        <v>0.12</v>
      </c>
      <c r="E128" s="1844">
        <v>0.105</v>
      </c>
      <c r="F128" s="1852"/>
    </row>
    <row r="129" spans="1:6" ht="14.25" thickBot="1">
      <c r="A129" s="1839" t="s">
        <v>1407</v>
      </c>
      <c r="B129" s="1843" t="s">
        <v>1268</v>
      </c>
      <c r="C129" s="1844">
        <v>0.13</v>
      </c>
      <c r="D129" s="1844">
        <v>0.13</v>
      </c>
      <c r="E129" s="1844">
        <v>0.126</v>
      </c>
      <c r="F129" s="1852"/>
    </row>
    <row r="130" spans="1:6" ht="14.25" thickBot="1">
      <c r="A130" s="1839" t="s">
        <v>1407</v>
      </c>
      <c r="B130" s="1843" t="s">
        <v>1277</v>
      </c>
      <c r="C130" s="1844">
        <v>0.125</v>
      </c>
      <c r="D130" s="1844">
        <v>0.125</v>
      </c>
      <c r="E130" s="1844">
        <v>0.122</v>
      </c>
      <c r="F130" s="1852"/>
    </row>
    <row r="131" spans="1:6" ht="14.25" thickBot="1">
      <c r="A131" s="1839" t="s">
        <v>1407</v>
      </c>
      <c r="B131" s="1843" t="s">
        <v>1285</v>
      </c>
      <c r="C131" s="1844">
        <v>0.127</v>
      </c>
      <c r="D131" s="1844">
        <v>0.126</v>
      </c>
      <c r="E131" s="1844">
        <v>0.123</v>
      </c>
      <c r="F131" s="1852"/>
    </row>
    <row r="132" spans="1:6" ht="14.25" thickBot="1">
      <c r="A132" s="1839" t="s">
        <v>1407</v>
      </c>
      <c r="B132" s="1843" t="s">
        <v>1292</v>
      </c>
      <c r="C132" s="1844">
        <v>9.0999999999999998E-2</v>
      </c>
      <c r="D132" s="1844">
        <v>0.121</v>
      </c>
      <c r="E132" s="1844">
        <v>9.9000000000000005E-2</v>
      </c>
      <c r="F132" s="1852"/>
    </row>
    <row r="133" spans="1:6" ht="14.25" thickBot="1">
      <c r="A133" s="1839" t="s">
        <v>1407</v>
      </c>
      <c r="B133" s="1843" t="s">
        <v>1299</v>
      </c>
      <c r="C133" s="1844">
        <v>0.13</v>
      </c>
      <c r="D133" s="1844">
        <v>0.13</v>
      </c>
      <c r="E133" s="1844">
        <v>0.129</v>
      </c>
      <c r="F133" s="1852"/>
    </row>
    <row r="134" spans="1:6" ht="14.25" thickBot="1">
      <c r="A134" s="1839" t="s">
        <v>1407</v>
      </c>
      <c r="B134" s="1843" t="s">
        <v>2103</v>
      </c>
      <c r="C134" s="1844">
        <v>6.8000000000000005E-2</v>
      </c>
      <c r="D134" s="1844">
        <v>6.5000000000000002E-2</v>
      </c>
      <c r="E134" s="1844">
        <v>6.5000000000000002E-2</v>
      </c>
      <c r="F134" s="1845">
        <v>0.13</v>
      </c>
    </row>
    <row r="135" spans="1:6" ht="14.25" thickBot="1">
      <c r="A135" s="1839" t="s">
        <v>1407</v>
      </c>
      <c r="B135" s="1843" t="s">
        <v>1313</v>
      </c>
      <c r="C135" s="1844">
        <v>0.123</v>
      </c>
      <c r="D135" s="1844">
        <v>0.123</v>
      </c>
      <c r="E135" s="1844">
        <v>0.11</v>
      </c>
      <c r="F135" s="1852"/>
    </row>
    <row r="136" spans="1:6" ht="14.25" thickBot="1">
      <c r="A136" s="1839" t="s">
        <v>1407</v>
      </c>
      <c r="B136" s="1843" t="s">
        <v>1320</v>
      </c>
      <c r="C136" s="1844">
        <v>0.13</v>
      </c>
      <c r="D136" s="1844">
        <v>0.13</v>
      </c>
      <c r="E136" s="1844">
        <v>0.125</v>
      </c>
      <c r="F136" s="1852"/>
    </row>
    <row r="137" spans="1:6" ht="14.25" thickBot="1">
      <c r="A137" s="1839" t="s">
        <v>1407</v>
      </c>
      <c r="B137" s="1843" t="s">
        <v>1327</v>
      </c>
      <c r="C137" s="1844">
        <v>0.121</v>
      </c>
      <c r="D137" s="1844">
        <v>0.122</v>
      </c>
      <c r="E137" s="1844">
        <v>0.115</v>
      </c>
      <c r="F137" s="1852"/>
    </row>
    <row r="138" spans="1:6" ht="14.25" thickBot="1">
      <c r="A138" s="1839" t="s">
        <v>1407</v>
      </c>
      <c r="B138" s="1843" t="s">
        <v>2104</v>
      </c>
      <c r="C138" s="1844">
        <v>0.105</v>
      </c>
      <c r="D138" s="1844">
        <v>0.125</v>
      </c>
      <c r="E138" s="1844">
        <v>0.112</v>
      </c>
      <c r="F138" s="1852"/>
    </row>
    <row r="139" spans="1:6" ht="14.25" thickBot="1">
      <c r="A139" s="1839" t="s">
        <v>1407</v>
      </c>
      <c r="B139" s="1843" t="s">
        <v>2105</v>
      </c>
      <c r="C139" s="1844">
        <v>0.127</v>
      </c>
      <c r="D139" s="1844">
        <v>0.127</v>
      </c>
      <c r="E139" s="1844">
        <v>0.122</v>
      </c>
      <c r="F139" s="1845">
        <v>0.13</v>
      </c>
    </row>
    <row r="140" spans="1:6" ht="14.25" thickBot="1">
      <c r="A140" s="1839" t="s">
        <v>1407</v>
      </c>
      <c r="B140" s="1843" t="s">
        <v>2106</v>
      </c>
      <c r="C140" s="1844">
        <v>0.125</v>
      </c>
      <c r="D140" s="1844">
        <v>0.125</v>
      </c>
      <c r="E140" s="1844">
        <v>0.11899999999999999</v>
      </c>
      <c r="F140" s="1845">
        <v>0.13</v>
      </c>
    </row>
    <row r="141" spans="1:6" ht="14.25" thickBot="1">
      <c r="A141" s="1839" t="s">
        <v>1407</v>
      </c>
      <c r="B141" s="1843" t="s">
        <v>1346</v>
      </c>
      <c r="C141" s="1844">
        <v>0.125</v>
      </c>
      <c r="D141" s="1844">
        <v>0.125</v>
      </c>
      <c r="E141" s="1844">
        <v>0.11700000000000001</v>
      </c>
      <c r="F141" s="1852"/>
    </row>
    <row r="142" spans="1:6" ht="14.25" thickBot="1">
      <c r="A142" s="1839" t="s">
        <v>1407</v>
      </c>
      <c r="B142" s="1843" t="s">
        <v>1351</v>
      </c>
      <c r="C142" s="1844">
        <v>0.125</v>
      </c>
      <c r="D142" s="1844">
        <v>0.125</v>
      </c>
      <c r="E142" s="1844">
        <v>0.115</v>
      </c>
      <c r="F142" s="1852"/>
    </row>
    <row r="143" spans="1:6" ht="14.25" thickBot="1">
      <c r="A143" s="1839" t="s">
        <v>1407</v>
      </c>
      <c r="B143" s="1843" t="s">
        <v>1356</v>
      </c>
      <c r="C143" s="1844">
        <v>0.121</v>
      </c>
      <c r="D143" s="1844">
        <v>0.121</v>
      </c>
      <c r="E143" s="1844">
        <v>0.108</v>
      </c>
      <c r="F143" s="1852"/>
    </row>
    <row r="144" spans="1:6" ht="14.25" thickBot="1">
      <c r="A144" s="1839" t="s">
        <v>1407</v>
      </c>
      <c r="B144" s="1856" t="s">
        <v>2107</v>
      </c>
      <c r="C144" s="1857">
        <v>0.126</v>
      </c>
      <c r="D144" s="1857">
        <v>0.126</v>
      </c>
      <c r="E144" s="1857">
        <v>0.121</v>
      </c>
      <c r="F144" s="1852"/>
    </row>
    <row r="145" spans="1:6" ht="14.25" thickBot="1">
      <c r="A145" s="1847" t="s">
        <v>1407</v>
      </c>
      <c r="B145" s="1858" t="s">
        <v>2108</v>
      </c>
      <c r="C145" s="1859"/>
      <c r="D145" s="1859"/>
      <c r="E145" s="1859"/>
      <c r="F145" s="1860">
        <v>0.05</v>
      </c>
    </row>
    <row r="146" spans="1:6" ht="24.75" thickBot="1">
      <c r="A146" s="1861" t="s">
        <v>1407</v>
      </c>
      <c r="B146" s="1846" t="s">
        <v>2109</v>
      </c>
      <c r="C146" s="1853"/>
      <c r="D146" s="1853"/>
      <c r="E146" s="1853"/>
      <c r="F146" s="1862">
        <v>0.05</v>
      </c>
    </row>
    <row r="147" spans="1:6" ht="24.75" thickBot="1">
      <c r="A147" s="1839" t="s">
        <v>1407</v>
      </c>
      <c r="B147" s="1843" t="s">
        <v>2110</v>
      </c>
      <c r="C147" s="1853"/>
      <c r="D147" s="1853"/>
      <c r="E147" s="1853"/>
      <c r="F147" s="1845">
        <v>0.05</v>
      </c>
    </row>
    <row r="148" spans="1:6" ht="24.75" thickBot="1">
      <c r="A148" s="1839" t="s">
        <v>1407</v>
      </c>
      <c r="B148" s="1843" t="s">
        <v>2111</v>
      </c>
      <c r="C148" s="1853"/>
      <c r="D148" s="1853"/>
      <c r="E148" s="1853"/>
      <c r="F148" s="1845">
        <v>0.05</v>
      </c>
    </row>
    <row r="149" spans="1:6" ht="24.75" thickBot="1">
      <c r="A149" s="1839" t="s">
        <v>1407</v>
      </c>
      <c r="B149" s="1843" t="s">
        <v>2112</v>
      </c>
      <c r="C149" s="1853"/>
      <c r="D149" s="1853"/>
      <c r="E149" s="1853"/>
      <c r="F149" s="1845">
        <v>0.05</v>
      </c>
    </row>
    <row r="150" spans="1:6" ht="24.75" thickBot="1">
      <c r="A150" s="1839" t="s">
        <v>1407</v>
      </c>
      <c r="B150" s="1843" t="s">
        <v>2113</v>
      </c>
      <c r="C150" s="1853"/>
      <c r="D150" s="1853"/>
      <c r="E150" s="1853"/>
      <c r="F150" s="1845">
        <v>0.05</v>
      </c>
    </row>
    <row r="151" spans="1:6" ht="24.75" thickBot="1">
      <c r="A151" s="1839" t="s">
        <v>1407</v>
      </c>
      <c r="B151" s="1843" t="s">
        <v>2114</v>
      </c>
      <c r="C151" s="1853"/>
      <c r="D151" s="1853"/>
      <c r="E151" s="1853"/>
      <c r="F151" s="1845">
        <v>0.05</v>
      </c>
    </row>
    <row r="152" spans="1:6" ht="24.75" thickBot="1">
      <c r="A152" s="1839" t="s">
        <v>1407</v>
      </c>
      <c r="B152" s="1843" t="s">
        <v>1389</v>
      </c>
      <c r="C152" s="1853"/>
      <c r="D152" s="1853"/>
      <c r="E152" s="1853"/>
      <c r="F152" s="1845">
        <v>0.05</v>
      </c>
    </row>
    <row r="153" spans="1:6" ht="14.25" thickBot="1">
      <c r="A153" s="1839" t="s">
        <v>1407</v>
      </c>
      <c r="B153" s="1843" t="s">
        <v>2115</v>
      </c>
      <c r="C153" s="1853"/>
      <c r="D153" s="1853"/>
      <c r="E153" s="1853"/>
      <c r="F153" s="1845">
        <v>0.05</v>
      </c>
    </row>
    <row r="154" spans="1:6" ht="14.25" thickBot="1">
      <c r="A154" s="1839" t="s">
        <v>1407</v>
      </c>
      <c r="B154" s="1843" t="s">
        <v>2116</v>
      </c>
      <c r="C154" s="1853"/>
      <c r="D154" s="1853"/>
      <c r="E154" s="1853"/>
      <c r="F154" s="1845">
        <v>0.05</v>
      </c>
    </row>
    <row r="155" spans="1:6" ht="24.75" thickBot="1">
      <c r="A155" s="1839" t="s">
        <v>1407</v>
      </c>
      <c r="B155" s="1843" t="s">
        <v>2117</v>
      </c>
      <c r="C155" s="1853"/>
      <c r="D155" s="1853"/>
      <c r="E155" s="1853"/>
      <c r="F155" s="1845">
        <v>0.05</v>
      </c>
    </row>
    <row r="156" spans="1:6" ht="24.75" thickBot="1">
      <c r="A156" s="1839" t="s">
        <v>1407</v>
      </c>
      <c r="B156" s="1843" t="s">
        <v>2118</v>
      </c>
      <c r="C156" s="1853"/>
      <c r="D156" s="1853"/>
      <c r="E156" s="1853"/>
      <c r="F156" s="1845">
        <v>0.05</v>
      </c>
    </row>
    <row r="157" spans="1:6" ht="14.25" thickBot="1">
      <c r="A157" s="1847" t="s">
        <v>1407</v>
      </c>
      <c r="B157" s="1854" t="s">
        <v>2119</v>
      </c>
      <c r="C157" s="1850"/>
      <c r="D157" s="1850"/>
      <c r="E157" s="1850"/>
      <c r="F157" s="1855">
        <v>0.05</v>
      </c>
    </row>
    <row r="158" spans="1:6" ht="14.25" thickBot="1">
      <c r="A158" s="1839" t="s">
        <v>1409</v>
      </c>
      <c r="B158" s="1840" t="s">
        <v>2120</v>
      </c>
      <c r="C158" s="1841">
        <v>0.13</v>
      </c>
      <c r="D158" s="1841">
        <v>0.13</v>
      </c>
      <c r="E158" s="1841">
        <v>0.13</v>
      </c>
      <c r="F158" s="1842">
        <v>0.13</v>
      </c>
    </row>
    <row r="159" spans="1:6" ht="14.25" thickBot="1">
      <c r="A159" s="1839" t="s">
        <v>1409</v>
      </c>
      <c r="B159" s="1843" t="s">
        <v>1074</v>
      </c>
      <c r="C159" s="1844">
        <v>0.13</v>
      </c>
      <c r="D159" s="1844">
        <v>0.13</v>
      </c>
      <c r="E159" s="1844">
        <v>0.13</v>
      </c>
      <c r="F159" s="1845">
        <v>0.13</v>
      </c>
    </row>
    <row r="160" spans="1:6" ht="14.25" thickBot="1">
      <c r="A160" s="1839" t="s">
        <v>1409</v>
      </c>
      <c r="B160" s="1843" t="s">
        <v>1088</v>
      </c>
      <c r="C160" s="1844">
        <v>0.13</v>
      </c>
      <c r="D160" s="1844">
        <v>0.13</v>
      </c>
      <c r="E160" s="1844">
        <v>0.129</v>
      </c>
      <c r="F160" s="1845">
        <v>0.13</v>
      </c>
    </row>
    <row r="161" spans="1:6" ht="14.25" thickBot="1">
      <c r="A161" s="1839" t="s">
        <v>1409</v>
      </c>
      <c r="B161" s="1843" t="s">
        <v>1101</v>
      </c>
      <c r="C161" s="1844">
        <v>0.128</v>
      </c>
      <c r="D161" s="1844">
        <v>0.128</v>
      </c>
      <c r="E161" s="1844">
        <v>0.125</v>
      </c>
      <c r="F161" s="1845">
        <v>0.13</v>
      </c>
    </row>
    <row r="162" spans="1:6" ht="14.25" thickBot="1">
      <c r="A162" s="1839" t="s">
        <v>1409</v>
      </c>
      <c r="B162" s="1843" t="s">
        <v>1115</v>
      </c>
      <c r="C162" s="1844">
        <v>0.122</v>
      </c>
      <c r="D162" s="1844">
        <v>0.122</v>
      </c>
      <c r="E162" s="1844">
        <v>0.126</v>
      </c>
      <c r="F162" s="1845">
        <v>0.122</v>
      </c>
    </row>
    <row r="163" spans="1:6" ht="14.25" thickBot="1">
      <c r="A163" s="1839" t="s">
        <v>1409</v>
      </c>
      <c r="B163" s="1843" t="s">
        <v>1126</v>
      </c>
      <c r="C163" s="1844">
        <v>0.13</v>
      </c>
      <c r="D163" s="1844">
        <v>0.13</v>
      </c>
      <c r="E163" s="1844">
        <v>0.125</v>
      </c>
      <c r="F163" s="1845">
        <v>0.13</v>
      </c>
    </row>
    <row r="164" spans="1:6" ht="14.25" thickBot="1">
      <c r="A164" s="1839" t="s">
        <v>1409</v>
      </c>
      <c r="B164" s="1843" t="s">
        <v>1137</v>
      </c>
      <c r="C164" s="1844">
        <v>0.13</v>
      </c>
      <c r="D164" s="1844">
        <v>0.13</v>
      </c>
      <c r="E164" s="1844">
        <v>0.13</v>
      </c>
      <c r="F164" s="1845">
        <v>0.13</v>
      </c>
    </row>
    <row r="165" spans="1:6" ht="14.25" thickBot="1">
      <c r="A165" s="1839" t="s">
        <v>1409</v>
      </c>
      <c r="B165" s="1843" t="s">
        <v>1148</v>
      </c>
      <c r="C165" s="1844">
        <v>0.13</v>
      </c>
      <c r="D165" s="1844">
        <v>0.13</v>
      </c>
      <c r="E165" s="1844">
        <v>0.124</v>
      </c>
      <c r="F165" s="1845">
        <v>0.13</v>
      </c>
    </row>
    <row r="166" spans="1:6" ht="14.25" thickBot="1">
      <c r="A166" s="1839" t="s">
        <v>1409</v>
      </c>
      <c r="B166" s="1843" t="s">
        <v>1160</v>
      </c>
      <c r="C166" s="1844">
        <v>0.13</v>
      </c>
      <c r="D166" s="1844">
        <v>0.13</v>
      </c>
      <c r="E166" s="1844">
        <v>0.13</v>
      </c>
      <c r="F166" s="1845">
        <v>0.13</v>
      </c>
    </row>
    <row r="167" spans="1:6" ht="14.25" thickBot="1">
      <c r="A167" s="1839" t="s">
        <v>1409</v>
      </c>
      <c r="B167" s="1843" t="s">
        <v>1170</v>
      </c>
      <c r="C167" s="1844">
        <v>0.125</v>
      </c>
      <c r="D167" s="1844">
        <v>0.125</v>
      </c>
      <c r="E167" s="1844">
        <v>0.121</v>
      </c>
      <c r="F167" s="1852"/>
    </row>
    <row r="168" spans="1:6" ht="14.25" thickBot="1">
      <c r="A168" s="1839" t="s">
        <v>1409</v>
      </c>
      <c r="B168" s="1843" t="s">
        <v>1180</v>
      </c>
      <c r="C168" s="1844">
        <v>0.13</v>
      </c>
      <c r="D168" s="1844">
        <v>0.13</v>
      </c>
      <c r="E168" s="1844">
        <v>0.126</v>
      </c>
      <c r="F168" s="1852"/>
    </row>
    <row r="169" spans="1:6" ht="14.25" thickBot="1">
      <c r="A169" s="1839" t="s">
        <v>1409</v>
      </c>
      <c r="B169" s="1843" t="s">
        <v>1190</v>
      </c>
      <c r="C169" s="1844">
        <v>0.128</v>
      </c>
      <c r="D169" s="1844">
        <v>0.129</v>
      </c>
      <c r="E169" s="1844">
        <v>0.13</v>
      </c>
      <c r="F169" s="1852"/>
    </row>
    <row r="170" spans="1:6" ht="14.25" thickBot="1">
      <c r="A170" s="1839" t="s">
        <v>1409</v>
      </c>
      <c r="B170" s="1843" t="s">
        <v>1200</v>
      </c>
      <c r="C170" s="1844">
        <v>0.14099999999999999</v>
      </c>
      <c r="D170" s="1844">
        <v>0.13</v>
      </c>
      <c r="E170" s="1844">
        <v>0.125</v>
      </c>
      <c r="F170" s="1852"/>
    </row>
    <row r="171" spans="1:6" ht="14.25" thickBot="1">
      <c r="A171" s="1839" t="s">
        <v>1409</v>
      </c>
      <c r="B171" s="1843" t="s">
        <v>2121</v>
      </c>
      <c r="C171" s="1844">
        <v>0.127</v>
      </c>
      <c r="D171" s="1844">
        <v>0.126</v>
      </c>
      <c r="E171" s="1844">
        <v>0.126</v>
      </c>
      <c r="F171" s="1845">
        <v>0.11799999999999999</v>
      </c>
    </row>
    <row r="172" spans="1:6" ht="14.25" thickBot="1">
      <c r="A172" s="1839" t="s">
        <v>1409</v>
      </c>
      <c r="B172" s="1843" t="s">
        <v>2122</v>
      </c>
      <c r="C172" s="1844">
        <v>0.13</v>
      </c>
      <c r="D172" s="1844">
        <v>0.13</v>
      </c>
      <c r="E172" s="1844">
        <v>0.13</v>
      </c>
      <c r="F172" s="1852"/>
    </row>
    <row r="173" spans="1:6" ht="14.25" thickBot="1">
      <c r="A173" s="1839" t="s">
        <v>1409</v>
      </c>
      <c r="B173" s="1843" t="s">
        <v>1230</v>
      </c>
      <c r="C173" s="1844">
        <v>0.13</v>
      </c>
      <c r="D173" s="1844">
        <v>0.13</v>
      </c>
      <c r="E173" s="1844">
        <v>0.13</v>
      </c>
      <c r="F173" s="1852"/>
    </row>
    <row r="174" spans="1:6" ht="14.25" thickBot="1">
      <c r="A174" s="1839" t="s">
        <v>1409</v>
      </c>
      <c r="B174" s="1843" t="s">
        <v>2123</v>
      </c>
      <c r="C174" s="1844">
        <v>0.13</v>
      </c>
      <c r="D174" s="1844">
        <v>0.13</v>
      </c>
      <c r="E174" s="1844">
        <v>0.13</v>
      </c>
      <c r="F174" s="1845">
        <v>0.13</v>
      </c>
    </row>
    <row r="175" spans="1:6" ht="14.25" thickBot="1">
      <c r="A175" s="1839" t="s">
        <v>1409</v>
      </c>
      <c r="B175" s="1843" t="s">
        <v>2124</v>
      </c>
      <c r="C175" s="1844">
        <v>0.13</v>
      </c>
      <c r="D175" s="1844">
        <v>0.13</v>
      </c>
      <c r="E175" s="1844">
        <v>0.13</v>
      </c>
      <c r="F175" s="1845">
        <v>0.13</v>
      </c>
    </row>
    <row r="176" spans="1:6" ht="14.25" thickBot="1">
      <c r="A176" s="1839" t="s">
        <v>1409</v>
      </c>
      <c r="B176" s="1843" t="s">
        <v>1260</v>
      </c>
      <c r="C176" s="1844">
        <v>0.13</v>
      </c>
      <c r="D176" s="1844">
        <v>0.13</v>
      </c>
      <c r="E176" s="1844">
        <v>0.13</v>
      </c>
      <c r="F176" s="1845">
        <v>0.13</v>
      </c>
    </row>
    <row r="177" spans="1:6" ht="14.25" thickBot="1">
      <c r="A177" s="1839" t="s">
        <v>1409</v>
      </c>
      <c r="B177" s="1843" t="s">
        <v>2125</v>
      </c>
      <c r="C177" s="1844">
        <v>0.13</v>
      </c>
      <c r="D177" s="1844">
        <v>0.13</v>
      </c>
      <c r="E177" s="1844">
        <v>0.13</v>
      </c>
      <c r="F177" s="1845">
        <v>0.13</v>
      </c>
    </row>
    <row r="178" spans="1:6" ht="14.25" thickBot="1">
      <c r="A178" s="1839" t="s">
        <v>1409</v>
      </c>
      <c r="B178" s="1843" t="s">
        <v>1278</v>
      </c>
      <c r="C178" s="1844">
        <v>0.13</v>
      </c>
      <c r="D178" s="1844">
        <v>0.13</v>
      </c>
      <c r="E178" s="1844">
        <v>0.13</v>
      </c>
      <c r="F178" s="1845">
        <v>0.127</v>
      </c>
    </row>
    <row r="179" spans="1:6" ht="14.25" thickBot="1">
      <c r="A179" s="1839" t="s">
        <v>1409</v>
      </c>
      <c r="B179" s="1843" t="s">
        <v>1286</v>
      </c>
      <c r="C179" s="1844">
        <v>0.13</v>
      </c>
      <c r="D179" s="1844">
        <v>0.13</v>
      </c>
      <c r="E179" s="1844">
        <v>0.13</v>
      </c>
      <c r="F179" s="1852"/>
    </row>
    <row r="180" spans="1:6" ht="14.25" thickBot="1">
      <c r="A180" s="1839" t="s">
        <v>1409</v>
      </c>
      <c r="B180" s="1843" t="s">
        <v>2126</v>
      </c>
      <c r="C180" s="1844">
        <v>0.13</v>
      </c>
      <c r="D180" s="1844">
        <v>0.13</v>
      </c>
      <c r="E180" s="1844">
        <v>0.125</v>
      </c>
      <c r="F180" s="1845">
        <v>0.13</v>
      </c>
    </row>
    <row r="181" spans="1:6" ht="14.25" thickBot="1">
      <c r="A181" s="1839" t="s">
        <v>1409</v>
      </c>
      <c r="B181" s="1843" t="s">
        <v>1300</v>
      </c>
      <c r="C181" s="1844">
        <v>0.122</v>
      </c>
      <c r="D181" s="1844">
        <v>0.123</v>
      </c>
      <c r="E181" s="1844">
        <v>0.126</v>
      </c>
      <c r="F181" s="1845">
        <v>0.121</v>
      </c>
    </row>
    <row r="182" spans="1:6" ht="14.25" thickBot="1">
      <c r="A182" s="1839" t="s">
        <v>1409</v>
      </c>
      <c r="B182" s="1843" t="s">
        <v>1307</v>
      </c>
      <c r="C182" s="1844">
        <v>0.125</v>
      </c>
      <c r="D182" s="1844">
        <v>0.125</v>
      </c>
      <c r="E182" s="1844">
        <v>0.11700000000000001</v>
      </c>
      <c r="F182" s="1845">
        <v>0.13</v>
      </c>
    </row>
    <row r="183" spans="1:6" ht="14.25" thickBot="1">
      <c r="A183" s="1839" t="s">
        <v>1409</v>
      </c>
      <c r="B183" s="1843" t="s">
        <v>1314</v>
      </c>
      <c r="C183" s="1844">
        <v>0.127</v>
      </c>
      <c r="D183" s="1844">
        <v>0.127</v>
      </c>
      <c r="E183" s="1844">
        <v>0.128</v>
      </c>
      <c r="F183" s="1852"/>
    </row>
    <row r="184" spans="1:6" ht="14.25" thickBot="1">
      <c r="A184" s="1839" t="s">
        <v>1409</v>
      </c>
      <c r="B184" s="1843" t="s">
        <v>1321</v>
      </c>
      <c r="C184" s="1844">
        <v>0.125</v>
      </c>
      <c r="D184" s="1844">
        <v>0.125</v>
      </c>
      <c r="E184" s="1844">
        <v>0.127</v>
      </c>
      <c r="F184" s="1852"/>
    </row>
    <row r="185" spans="1:6" ht="14.25" thickBot="1">
      <c r="A185" s="1839" t="s">
        <v>1409</v>
      </c>
      <c r="B185" s="1843" t="s">
        <v>2127</v>
      </c>
      <c r="C185" s="1844">
        <v>0.127</v>
      </c>
      <c r="D185" s="1844">
        <v>0.127</v>
      </c>
      <c r="E185" s="1844">
        <v>0.128</v>
      </c>
      <c r="F185" s="1845">
        <v>0.13</v>
      </c>
    </row>
    <row r="186" spans="1:6" ht="24.75" thickBot="1">
      <c r="A186" s="1839" t="s">
        <v>1409</v>
      </c>
      <c r="B186" s="1843" t="s">
        <v>2128</v>
      </c>
      <c r="C186" s="1853"/>
      <c r="D186" s="1853"/>
      <c r="E186" s="1853"/>
      <c r="F186" s="1845">
        <v>0.05</v>
      </c>
    </row>
    <row r="187" spans="1:6" ht="14.25" thickBot="1">
      <c r="A187" s="1839" t="s">
        <v>1409</v>
      </c>
      <c r="B187" s="1843" t="s">
        <v>2129</v>
      </c>
      <c r="C187" s="1853"/>
      <c r="D187" s="1853"/>
      <c r="E187" s="1853"/>
      <c r="F187" s="1845">
        <v>0.05</v>
      </c>
    </row>
    <row r="188" spans="1:6" ht="14.25" thickBot="1">
      <c r="A188" s="1839" t="s">
        <v>1409</v>
      </c>
      <c r="B188" s="1843" t="s">
        <v>2130</v>
      </c>
      <c r="C188" s="1853"/>
      <c r="D188" s="1853"/>
      <c r="E188" s="1853"/>
      <c r="F188" s="1845">
        <v>0.05</v>
      </c>
    </row>
    <row r="189" spans="1:6" ht="24.75" thickBot="1">
      <c r="A189" s="1839" t="s">
        <v>1409</v>
      </c>
      <c r="B189" s="1843" t="s">
        <v>2131</v>
      </c>
      <c r="C189" s="1853"/>
      <c r="D189" s="1853"/>
      <c r="E189" s="1853"/>
      <c r="F189" s="1845">
        <v>0.05</v>
      </c>
    </row>
    <row r="190" spans="1:6" ht="24.75" thickBot="1">
      <c r="A190" s="1839" t="s">
        <v>1409</v>
      </c>
      <c r="B190" s="1843" t="s">
        <v>2132</v>
      </c>
      <c r="C190" s="1853"/>
      <c r="D190" s="1853"/>
      <c r="E190" s="1853"/>
      <c r="F190" s="1845">
        <v>0.05</v>
      </c>
    </row>
    <row r="191" spans="1:6" ht="24.75" thickBot="1">
      <c r="A191" s="1839" t="s">
        <v>1409</v>
      </c>
      <c r="B191" s="1843" t="s">
        <v>2133</v>
      </c>
      <c r="C191" s="1853"/>
      <c r="D191" s="1853"/>
      <c r="E191" s="1853"/>
      <c r="F191" s="1845">
        <v>0.05</v>
      </c>
    </row>
    <row r="192" spans="1:6" ht="24.75" thickBot="1">
      <c r="A192" s="1839" t="s">
        <v>1409</v>
      </c>
      <c r="B192" s="1843" t="s">
        <v>2134</v>
      </c>
      <c r="C192" s="1853"/>
      <c r="D192" s="1853"/>
      <c r="E192" s="1853"/>
      <c r="F192" s="1845">
        <v>0.05</v>
      </c>
    </row>
    <row r="193" spans="1:6" ht="24.75" thickBot="1">
      <c r="A193" s="1839" t="s">
        <v>1409</v>
      </c>
      <c r="B193" s="1843" t="s">
        <v>2135</v>
      </c>
      <c r="C193" s="1853"/>
      <c r="D193" s="1853"/>
      <c r="E193" s="1853"/>
      <c r="F193" s="1845">
        <v>0.05</v>
      </c>
    </row>
    <row r="194" spans="1:6" ht="24.75" thickBot="1">
      <c r="A194" s="1839" t="s">
        <v>1409</v>
      </c>
      <c r="B194" s="1843" t="s">
        <v>2136</v>
      </c>
      <c r="C194" s="1853"/>
      <c r="D194" s="1853"/>
      <c r="E194" s="1853"/>
      <c r="F194" s="1845">
        <v>0.05</v>
      </c>
    </row>
    <row r="195" spans="1:6" ht="14.25" thickBot="1">
      <c r="A195" s="1839" t="s">
        <v>1409</v>
      </c>
      <c r="B195" s="1843" t="s">
        <v>2137</v>
      </c>
      <c r="C195" s="1853"/>
      <c r="D195" s="1853"/>
      <c r="E195" s="1853"/>
      <c r="F195" s="1845">
        <v>0.05</v>
      </c>
    </row>
    <row r="196" spans="1:6" ht="24.75" thickBot="1">
      <c r="A196" s="1839" t="s">
        <v>1409</v>
      </c>
      <c r="B196" s="1843" t="s">
        <v>2138</v>
      </c>
      <c r="C196" s="1853"/>
      <c r="D196" s="1853"/>
      <c r="E196" s="1853"/>
      <c r="F196" s="1845">
        <v>0.05</v>
      </c>
    </row>
    <row r="197" spans="1:6" ht="24.75" thickBot="1">
      <c r="A197" s="1839" t="s">
        <v>1409</v>
      </c>
      <c r="B197" s="1843" t="s">
        <v>2139</v>
      </c>
      <c r="C197" s="1853"/>
      <c r="D197" s="1853"/>
      <c r="E197" s="1853"/>
      <c r="F197" s="1845">
        <v>0.05</v>
      </c>
    </row>
    <row r="198" spans="1:6" ht="24.75" thickBot="1">
      <c r="A198" s="1839" t="s">
        <v>1409</v>
      </c>
      <c r="B198" s="1843" t="s">
        <v>2140</v>
      </c>
      <c r="C198" s="1853"/>
      <c r="D198" s="1853"/>
      <c r="E198" s="1853"/>
      <c r="F198" s="1845">
        <v>0.05</v>
      </c>
    </row>
    <row r="199" spans="1:6" ht="24.75" thickBot="1">
      <c r="A199" s="1839" t="s">
        <v>1409</v>
      </c>
      <c r="B199" s="1843" t="s">
        <v>2141</v>
      </c>
      <c r="C199" s="1853"/>
      <c r="D199" s="1853"/>
      <c r="E199" s="1853"/>
      <c r="F199" s="1845">
        <v>0.05</v>
      </c>
    </row>
    <row r="200" spans="1:6" ht="24.75" thickBot="1">
      <c r="A200" s="1839" t="s">
        <v>1409</v>
      </c>
      <c r="B200" s="1843" t="s">
        <v>2142</v>
      </c>
      <c r="C200" s="1853"/>
      <c r="D200" s="1853"/>
      <c r="E200" s="1853"/>
      <c r="F200" s="1845">
        <v>0.05</v>
      </c>
    </row>
    <row r="201" spans="1:6" ht="24.75" thickBot="1">
      <c r="A201" s="1839" t="s">
        <v>1409</v>
      </c>
      <c r="B201" s="1843" t="s">
        <v>2143</v>
      </c>
      <c r="C201" s="1853"/>
      <c r="D201" s="1853"/>
      <c r="E201" s="1853"/>
      <c r="F201" s="1845">
        <v>0.05</v>
      </c>
    </row>
    <row r="202" spans="1:6" ht="24.75" thickBot="1">
      <c r="A202" s="1839" t="s">
        <v>1409</v>
      </c>
      <c r="B202" s="1843" t="s">
        <v>2144</v>
      </c>
      <c r="C202" s="1853"/>
      <c r="D202" s="1853"/>
      <c r="E202" s="1853"/>
      <c r="F202" s="1845">
        <v>0.05</v>
      </c>
    </row>
    <row r="203" spans="1:6" ht="24.75" thickBot="1">
      <c r="A203" s="1839" t="s">
        <v>1409</v>
      </c>
      <c r="B203" s="1843" t="s">
        <v>2145</v>
      </c>
      <c r="C203" s="1853"/>
      <c r="D203" s="1853"/>
      <c r="E203" s="1853"/>
      <c r="F203" s="1845">
        <v>0.05</v>
      </c>
    </row>
    <row r="204" spans="1:6" ht="14.25" thickBot="1">
      <c r="A204" s="1839" t="s">
        <v>1409</v>
      </c>
      <c r="B204" s="1843" t="s">
        <v>2146</v>
      </c>
      <c r="C204" s="1853"/>
      <c r="D204" s="1853"/>
      <c r="E204" s="1853"/>
      <c r="F204" s="1845">
        <v>0.05</v>
      </c>
    </row>
    <row r="205" spans="1:6" ht="14.25" thickBot="1">
      <c r="A205" s="1847" t="s">
        <v>1409</v>
      </c>
      <c r="B205" s="1854" t="s">
        <v>2147</v>
      </c>
      <c r="C205" s="1850"/>
      <c r="D205" s="1850"/>
      <c r="E205" s="1850"/>
      <c r="F205" s="1855">
        <v>0.05</v>
      </c>
    </row>
    <row r="206" spans="1:6" ht="14.25" thickBot="1">
      <c r="A206" s="1839" t="s">
        <v>1411</v>
      </c>
      <c r="B206" s="1840" t="s">
        <v>2148</v>
      </c>
      <c r="C206" s="1841">
        <v>0.15</v>
      </c>
      <c r="D206" s="1841">
        <v>0.15</v>
      </c>
      <c r="E206" s="1841">
        <v>0.15</v>
      </c>
      <c r="F206" s="1842">
        <v>0.15</v>
      </c>
    </row>
    <row r="207" spans="1:6" ht="14.25" thickBot="1">
      <c r="A207" s="1839" t="s">
        <v>1411</v>
      </c>
      <c r="B207" s="1843" t="s">
        <v>1075</v>
      </c>
      <c r="C207" s="1844">
        <v>0.15</v>
      </c>
      <c r="D207" s="1844">
        <v>0.15</v>
      </c>
      <c r="E207" s="1844">
        <v>0.15</v>
      </c>
      <c r="F207" s="1845">
        <v>0.14399999999999999</v>
      </c>
    </row>
    <row r="208" spans="1:6" ht="14.25" thickBot="1">
      <c r="A208" s="1839" t="s">
        <v>1411</v>
      </c>
      <c r="B208" s="1843" t="s">
        <v>1089</v>
      </c>
      <c r="C208" s="1844">
        <v>0.15</v>
      </c>
      <c r="D208" s="1844">
        <v>0.15</v>
      </c>
      <c r="E208" s="1844">
        <v>0.15</v>
      </c>
      <c r="F208" s="1845">
        <v>0.15</v>
      </c>
    </row>
    <row r="209" spans="1:6" ht="14.25" thickBot="1">
      <c r="A209" s="1839" t="s">
        <v>1411</v>
      </c>
      <c r="B209" s="1843" t="s">
        <v>1102</v>
      </c>
      <c r="C209" s="1844">
        <v>0.13700000000000001</v>
      </c>
      <c r="D209" s="1844">
        <v>0.13700000000000001</v>
      </c>
      <c r="E209" s="1844">
        <v>0.14000000000000001</v>
      </c>
      <c r="F209" s="1845">
        <v>0.11700000000000001</v>
      </c>
    </row>
    <row r="210" spans="1:6" ht="14.25" thickBot="1">
      <c r="A210" s="1839" t="s">
        <v>1411</v>
      </c>
      <c r="B210" s="1843" t="s">
        <v>2149</v>
      </c>
      <c r="C210" s="1844">
        <v>0.15</v>
      </c>
      <c r="D210" s="1844">
        <v>0.15</v>
      </c>
      <c r="E210" s="1844">
        <v>0.15</v>
      </c>
      <c r="F210" s="1845">
        <v>0.13800000000000001</v>
      </c>
    </row>
    <row r="211" spans="1:6" ht="14.25" thickBot="1">
      <c r="A211" s="1839" t="s">
        <v>1411</v>
      </c>
      <c r="B211" s="1843" t="s">
        <v>2150</v>
      </c>
      <c r="C211" s="1844">
        <v>0.13700000000000001</v>
      </c>
      <c r="D211" s="1844">
        <v>0.13500000000000001</v>
      </c>
      <c r="E211" s="1844">
        <v>0.13600000000000001</v>
      </c>
      <c r="F211" s="1845">
        <v>0.1</v>
      </c>
    </row>
    <row r="212" spans="1:6" ht="14.25" thickBot="1">
      <c r="A212" s="1839" t="s">
        <v>1411</v>
      </c>
      <c r="B212" s="1843" t="s">
        <v>2151</v>
      </c>
      <c r="C212" s="1844">
        <v>0.15</v>
      </c>
      <c r="D212" s="1844">
        <v>0.15</v>
      </c>
      <c r="E212" s="1844">
        <v>0.14799999999999999</v>
      </c>
      <c r="F212" s="1845">
        <v>0.13600000000000001</v>
      </c>
    </row>
    <row r="213" spans="1:6" ht="14.25" thickBot="1">
      <c r="A213" s="1839" t="s">
        <v>1411</v>
      </c>
      <c r="B213" s="1843" t="s">
        <v>1149</v>
      </c>
      <c r="C213" s="1844">
        <v>0.15</v>
      </c>
      <c r="D213" s="1844">
        <v>0.15</v>
      </c>
      <c r="E213" s="1844">
        <v>0.15</v>
      </c>
      <c r="F213" s="1845">
        <v>0.13800000000000001</v>
      </c>
    </row>
    <row r="214" spans="1:6" ht="14.25" thickBot="1">
      <c r="A214" s="1839" t="s">
        <v>1411</v>
      </c>
      <c r="B214" s="1843" t="s">
        <v>1161</v>
      </c>
      <c r="C214" s="1844">
        <v>9.0999999999999998E-2</v>
      </c>
      <c r="D214" s="1844">
        <v>0.09</v>
      </c>
      <c r="E214" s="1844">
        <v>9.1999999999999998E-2</v>
      </c>
      <c r="F214" s="1852"/>
    </row>
    <row r="215" spans="1:6" ht="14.25" thickBot="1">
      <c r="A215" s="1839" t="s">
        <v>1411</v>
      </c>
      <c r="B215" s="1843" t="s">
        <v>2152</v>
      </c>
      <c r="C215" s="1844">
        <v>0.15</v>
      </c>
      <c r="D215" s="1844">
        <v>0.15</v>
      </c>
      <c r="E215" s="1844">
        <v>0.15</v>
      </c>
      <c r="F215" s="1845">
        <v>0.15</v>
      </c>
    </row>
    <row r="216" spans="1:6" ht="14.25" thickBot="1">
      <c r="A216" s="1839" t="s">
        <v>1411</v>
      </c>
      <c r="B216" s="1843" t="s">
        <v>1181</v>
      </c>
      <c r="C216" s="1844">
        <v>0.14699999999999999</v>
      </c>
      <c r="D216" s="1844">
        <v>0.14699999999999999</v>
      </c>
      <c r="E216" s="1844">
        <v>0.15</v>
      </c>
      <c r="F216" s="1845">
        <v>0.14000000000000001</v>
      </c>
    </row>
    <row r="217" spans="1:6" ht="14.25" thickBot="1">
      <c r="A217" s="1839" t="s">
        <v>1411</v>
      </c>
      <c r="B217" s="1843" t="s">
        <v>1191</v>
      </c>
      <c r="C217" s="1844">
        <v>0.15</v>
      </c>
      <c r="D217" s="1844">
        <v>0.15</v>
      </c>
      <c r="E217" s="1844">
        <v>0.15</v>
      </c>
      <c r="F217" s="1845">
        <v>0.15</v>
      </c>
    </row>
    <row r="218" spans="1:6" ht="14.25" thickBot="1">
      <c r="A218" s="1839" t="s">
        <v>1411</v>
      </c>
      <c r="B218" s="1843" t="s">
        <v>2153</v>
      </c>
      <c r="C218" s="1844">
        <v>0.15</v>
      </c>
      <c r="D218" s="1844">
        <v>0.15</v>
      </c>
      <c r="E218" s="1844">
        <v>0.15</v>
      </c>
      <c r="F218" s="1845">
        <v>0.15</v>
      </c>
    </row>
    <row r="219" spans="1:6" ht="14.25" thickBot="1">
      <c r="A219" s="1839" t="s">
        <v>1411</v>
      </c>
      <c r="B219" s="1843" t="s">
        <v>1211</v>
      </c>
      <c r="C219" s="1844">
        <v>0.15</v>
      </c>
      <c r="D219" s="1844">
        <v>0.15</v>
      </c>
      <c r="E219" s="1844">
        <v>0.15</v>
      </c>
      <c r="F219" s="1845">
        <v>0.14799999999999999</v>
      </c>
    </row>
    <row r="220" spans="1:6" ht="14.25" thickBot="1">
      <c r="A220" s="1839" t="s">
        <v>1411</v>
      </c>
      <c r="B220" s="1843" t="s">
        <v>2154</v>
      </c>
      <c r="C220" s="1844">
        <v>0.15</v>
      </c>
      <c r="D220" s="1844">
        <v>0.15</v>
      </c>
      <c r="E220" s="1844">
        <v>0.15</v>
      </c>
      <c r="F220" s="1845">
        <v>0.15</v>
      </c>
    </row>
    <row r="221" spans="1:6" ht="14.25" thickBot="1">
      <c r="A221" s="1839" t="s">
        <v>1411</v>
      </c>
      <c r="B221" s="1843" t="s">
        <v>1231</v>
      </c>
      <c r="C221" s="1844"/>
      <c r="D221" s="1853"/>
      <c r="E221" s="1853"/>
      <c r="F221" s="1845">
        <v>0.14799999999999999</v>
      </c>
    </row>
    <row r="222" spans="1:6" ht="14.25" thickBot="1">
      <c r="A222" s="1839" t="s">
        <v>1411</v>
      </c>
      <c r="B222" s="1843" t="s">
        <v>1241</v>
      </c>
      <c r="C222" s="1844"/>
      <c r="D222" s="1853"/>
      <c r="E222" s="1853"/>
      <c r="F222" s="1845">
        <v>0.1</v>
      </c>
    </row>
    <row r="223" spans="1:6" ht="14.25" thickBot="1">
      <c r="A223" s="1839" t="s">
        <v>1411</v>
      </c>
      <c r="B223" s="1843" t="s">
        <v>1251</v>
      </c>
      <c r="C223" s="1844"/>
      <c r="D223" s="1853"/>
      <c r="E223" s="1853"/>
      <c r="F223" s="1845">
        <v>0.15</v>
      </c>
    </row>
    <row r="224" spans="1:6" ht="14.25" thickBot="1">
      <c r="A224" s="1839" t="s">
        <v>1411</v>
      </c>
      <c r="B224" s="1843" t="s">
        <v>1261</v>
      </c>
      <c r="C224" s="1844"/>
      <c r="D224" s="1853"/>
      <c r="E224" s="1853"/>
      <c r="F224" s="1845">
        <v>0.15</v>
      </c>
    </row>
    <row r="225" spans="1:6" ht="14.25" thickBot="1">
      <c r="A225" s="1839" t="s">
        <v>1411</v>
      </c>
      <c r="B225" s="1843" t="s">
        <v>2155</v>
      </c>
      <c r="C225" s="1844">
        <v>0.15</v>
      </c>
      <c r="D225" s="1844">
        <v>0.15</v>
      </c>
      <c r="E225" s="1844">
        <v>0.15</v>
      </c>
      <c r="F225" s="1845">
        <v>0.15</v>
      </c>
    </row>
    <row r="226" spans="1:6" ht="14.25" thickBot="1">
      <c r="A226" s="1839" t="s">
        <v>1411</v>
      </c>
      <c r="B226" s="1843" t="s">
        <v>1279</v>
      </c>
      <c r="C226" s="1844">
        <v>0.15</v>
      </c>
      <c r="D226" s="1844">
        <v>0.15</v>
      </c>
      <c r="E226" s="1844">
        <v>0.15</v>
      </c>
      <c r="F226" s="1845">
        <v>0.14799999999999999</v>
      </c>
    </row>
    <row r="227" spans="1:6" ht="14.25" thickBot="1">
      <c r="A227" s="1839" t="s">
        <v>1411</v>
      </c>
      <c r="B227" s="1843" t="s">
        <v>2156</v>
      </c>
      <c r="C227" s="1844">
        <v>0.15</v>
      </c>
      <c r="D227" s="1844">
        <v>0.15</v>
      </c>
      <c r="E227" s="1844">
        <v>0.15</v>
      </c>
      <c r="F227" s="1845">
        <v>0.15</v>
      </c>
    </row>
    <row r="228" spans="1:6" ht="14.25" thickBot="1">
      <c r="A228" s="1839" t="s">
        <v>1411</v>
      </c>
      <c r="B228" s="1843" t="s">
        <v>1294</v>
      </c>
      <c r="C228" s="1844">
        <v>0.15</v>
      </c>
      <c r="D228" s="1844">
        <v>0.15</v>
      </c>
      <c r="E228" s="1844">
        <v>0.15</v>
      </c>
      <c r="F228" s="1845">
        <v>0.15</v>
      </c>
    </row>
    <row r="229" spans="1:6" ht="14.25" thickBot="1">
      <c r="A229" s="1839" t="s">
        <v>1411</v>
      </c>
      <c r="B229" s="1843" t="s">
        <v>1301</v>
      </c>
      <c r="C229" s="1844">
        <v>0.15</v>
      </c>
      <c r="D229" s="1844">
        <v>0.15</v>
      </c>
      <c r="E229" s="1844">
        <v>0.15</v>
      </c>
      <c r="F229" s="1852"/>
    </row>
    <row r="230" spans="1:6" ht="14.25" thickBot="1">
      <c r="A230" s="1839" t="s">
        <v>1411</v>
      </c>
      <c r="B230" s="1843" t="s">
        <v>1308</v>
      </c>
      <c r="C230" s="1844">
        <v>0.14499999999999999</v>
      </c>
      <c r="D230" s="1844">
        <v>0.14499999999999999</v>
      </c>
      <c r="E230" s="1844">
        <v>0.14399999999999999</v>
      </c>
      <c r="F230" s="1852"/>
    </row>
    <row r="231" spans="1:6" ht="14.25" thickBot="1">
      <c r="A231" s="1839" t="s">
        <v>1411</v>
      </c>
      <c r="B231" s="1843" t="s">
        <v>2157</v>
      </c>
      <c r="C231" s="1844">
        <v>0.128</v>
      </c>
      <c r="D231" s="1844">
        <v>0.125</v>
      </c>
      <c r="E231" s="1844">
        <v>0.13200000000000001</v>
      </c>
      <c r="F231" s="1852"/>
    </row>
    <row r="232" spans="1:6" ht="14.25" thickBot="1">
      <c r="A232" s="1839" t="s">
        <v>1411</v>
      </c>
      <c r="B232" s="1843" t="s">
        <v>2158</v>
      </c>
      <c r="C232" s="1844">
        <v>0.14499999999999999</v>
      </c>
      <c r="D232" s="1844">
        <v>0.14399999999999999</v>
      </c>
      <c r="E232" s="1844">
        <v>0.14599999999999999</v>
      </c>
      <c r="F232" s="1845">
        <v>0.13800000000000001</v>
      </c>
    </row>
    <row r="233" spans="1:6" ht="14.25" thickBot="1">
      <c r="A233" s="1839" t="s">
        <v>1411</v>
      </c>
      <c r="B233" s="1843" t="s">
        <v>2159</v>
      </c>
      <c r="C233" s="1844">
        <v>0.14499999999999999</v>
      </c>
      <c r="D233" s="1844">
        <v>0.14299999999999999</v>
      </c>
      <c r="E233" s="1844">
        <v>0.14199999999999999</v>
      </c>
      <c r="F233" s="1852"/>
    </row>
    <row r="234" spans="1:6" ht="14.25" thickBot="1">
      <c r="A234" s="1839" t="s">
        <v>1411</v>
      </c>
      <c r="B234" s="1843" t="s">
        <v>2160</v>
      </c>
      <c r="C234" s="1844">
        <v>0.14000000000000001</v>
      </c>
      <c r="D234" s="1844">
        <v>0.14000000000000001</v>
      </c>
      <c r="E234" s="1844">
        <v>0.14399999999999999</v>
      </c>
      <c r="F234" s="1852"/>
    </row>
    <row r="235" spans="1:6" ht="14.25" thickBot="1">
      <c r="A235" s="1839" t="s">
        <v>1411</v>
      </c>
      <c r="B235" s="1843" t="s">
        <v>2161</v>
      </c>
      <c r="C235" s="1844">
        <v>0.14099999999999999</v>
      </c>
      <c r="D235" s="1844">
        <v>0.14199999999999999</v>
      </c>
      <c r="E235" s="1844">
        <v>0.14499999999999999</v>
      </c>
      <c r="F235" s="1845">
        <v>0.15</v>
      </c>
    </row>
    <row r="236" spans="1:6" ht="14.25" thickBot="1">
      <c r="A236" s="1839" t="s">
        <v>1411</v>
      </c>
      <c r="B236" s="1843" t="s">
        <v>1343</v>
      </c>
      <c r="C236" s="1853"/>
      <c r="D236" s="1853"/>
      <c r="E236" s="1853"/>
      <c r="F236" s="1845">
        <v>0.14299999999999999</v>
      </c>
    </row>
    <row r="237" spans="1:6" ht="24.75" thickBot="1">
      <c r="A237" s="1839" t="s">
        <v>1411</v>
      </c>
      <c r="B237" s="1843" t="s">
        <v>2162</v>
      </c>
      <c r="C237" s="1853"/>
      <c r="D237" s="1853"/>
      <c r="E237" s="1853"/>
      <c r="F237" s="1845">
        <v>0.05</v>
      </c>
    </row>
    <row r="238" spans="1:6" ht="24.75" thickBot="1">
      <c r="A238" s="1839" t="s">
        <v>1411</v>
      </c>
      <c r="B238" s="1843" t="s">
        <v>2163</v>
      </c>
      <c r="C238" s="1853"/>
      <c r="D238" s="1853"/>
      <c r="E238" s="1853"/>
      <c r="F238" s="1845">
        <v>0.05</v>
      </c>
    </row>
    <row r="239" spans="1:6" ht="24.75" thickBot="1">
      <c r="A239" s="1839" t="s">
        <v>1411</v>
      </c>
      <c r="B239" s="1843" t="s">
        <v>2164</v>
      </c>
      <c r="C239" s="1853"/>
      <c r="D239" s="1853"/>
      <c r="E239" s="1853"/>
      <c r="F239" s="1845">
        <v>0.05</v>
      </c>
    </row>
    <row r="240" spans="1:6" ht="24.75" thickBot="1">
      <c r="A240" s="1839" t="s">
        <v>1411</v>
      </c>
      <c r="B240" s="1843" t="s">
        <v>2165</v>
      </c>
      <c r="C240" s="1853"/>
      <c r="D240" s="1853"/>
      <c r="E240" s="1853"/>
      <c r="F240" s="1845">
        <v>0.05</v>
      </c>
    </row>
    <row r="241" spans="1:6" ht="24.75" thickBot="1">
      <c r="A241" s="1839" t="s">
        <v>1411</v>
      </c>
      <c r="B241" s="1843" t="s">
        <v>2166</v>
      </c>
      <c r="C241" s="1853"/>
      <c r="D241" s="1853"/>
      <c r="E241" s="1853"/>
      <c r="F241" s="1845">
        <v>0.05</v>
      </c>
    </row>
    <row r="242" spans="1:6" ht="24.75" thickBot="1">
      <c r="A242" s="1839" t="s">
        <v>1411</v>
      </c>
      <c r="B242" s="1843" t="s">
        <v>2167</v>
      </c>
      <c r="C242" s="1853"/>
      <c r="D242" s="1853"/>
      <c r="E242" s="1853"/>
      <c r="F242" s="1845">
        <v>0.05</v>
      </c>
    </row>
    <row r="243" spans="1:6" ht="24.75" thickBot="1">
      <c r="A243" s="1839" t="s">
        <v>1411</v>
      </c>
      <c r="B243" s="1843" t="s">
        <v>2168</v>
      </c>
      <c r="C243" s="1853"/>
      <c r="D243" s="1853"/>
      <c r="E243" s="1853"/>
      <c r="F243" s="1845">
        <v>0.05</v>
      </c>
    </row>
    <row r="244" spans="1:6" ht="24.75" thickBot="1">
      <c r="A244" s="1847" t="s">
        <v>1411</v>
      </c>
      <c r="B244" s="1854" t="s">
        <v>2169</v>
      </c>
      <c r="C244" s="1850"/>
      <c r="D244" s="1850"/>
      <c r="E244" s="1850"/>
      <c r="F244" s="1855">
        <v>0.05</v>
      </c>
    </row>
    <row r="245" spans="1:6" ht="14.25" thickBot="1">
      <c r="A245" s="1839" t="s">
        <v>1413</v>
      </c>
      <c r="B245" s="1840" t="s">
        <v>2170</v>
      </c>
      <c r="C245" s="1841">
        <v>0.15</v>
      </c>
      <c r="D245" s="1841">
        <v>0.15</v>
      </c>
      <c r="E245" s="1841">
        <v>0.15</v>
      </c>
      <c r="F245" s="1842">
        <v>0.14299999999999999</v>
      </c>
    </row>
    <row r="246" spans="1:6" ht="14.25" thickBot="1">
      <c r="A246" s="1839" t="s">
        <v>1413</v>
      </c>
      <c r="B246" s="1843" t="s">
        <v>1076</v>
      </c>
      <c r="C246" s="1844">
        <v>0.15</v>
      </c>
      <c r="D246" s="1844">
        <v>0.15</v>
      </c>
      <c r="E246" s="1844">
        <v>0.15</v>
      </c>
      <c r="F246" s="1845">
        <v>0.114</v>
      </c>
    </row>
    <row r="247" spans="1:6" ht="14.25" thickBot="1">
      <c r="A247" s="1839" t="s">
        <v>1413</v>
      </c>
      <c r="B247" s="1843" t="s">
        <v>2171</v>
      </c>
      <c r="C247" s="1844">
        <v>0.15</v>
      </c>
      <c r="D247" s="1844">
        <v>0.15</v>
      </c>
      <c r="E247" s="1844">
        <v>0.15</v>
      </c>
      <c r="F247" s="1845">
        <v>0.15</v>
      </c>
    </row>
    <row r="248" spans="1:6" ht="14.25" thickBot="1">
      <c r="A248" s="1839" t="s">
        <v>1413</v>
      </c>
      <c r="B248" s="1843" t="s">
        <v>2172</v>
      </c>
      <c r="C248" s="1844">
        <v>0.15</v>
      </c>
      <c r="D248" s="1844">
        <v>0.15</v>
      </c>
      <c r="E248" s="1844">
        <v>0.15</v>
      </c>
      <c r="F248" s="1845">
        <v>0.14000000000000001</v>
      </c>
    </row>
    <row r="249" spans="1:6" ht="14.25" thickBot="1">
      <c r="A249" s="1839" t="s">
        <v>1413</v>
      </c>
      <c r="B249" s="1843" t="s">
        <v>2173</v>
      </c>
      <c r="C249" s="1844">
        <v>0.15</v>
      </c>
      <c r="D249" s="1844">
        <v>0.14899999999999999</v>
      </c>
      <c r="E249" s="1844">
        <v>0.15</v>
      </c>
      <c r="F249" s="1845">
        <v>0.1</v>
      </c>
    </row>
    <row r="250" spans="1:6" ht="14.25" thickBot="1">
      <c r="A250" s="1839" t="s">
        <v>1413</v>
      </c>
      <c r="B250" s="1843" t="s">
        <v>2174</v>
      </c>
      <c r="C250" s="1844">
        <v>0.15</v>
      </c>
      <c r="D250" s="1844">
        <v>0.15</v>
      </c>
      <c r="E250" s="1844">
        <v>0.15</v>
      </c>
      <c r="F250" s="1845">
        <v>0.14399999999999999</v>
      </c>
    </row>
    <row r="251" spans="1:6" ht="14.25" thickBot="1">
      <c r="A251" s="1839" t="s">
        <v>1413</v>
      </c>
      <c r="B251" s="1843" t="s">
        <v>1139</v>
      </c>
      <c r="C251" s="1844">
        <v>0.15</v>
      </c>
      <c r="D251" s="1844">
        <v>0.15</v>
      </c>
      <c r="E251" s="1844">
        <v>0.15</v>
      </c>
      <c r="F251" s="1845">
        <v>0.14299999999999999</v>
      </c>
    </row>
    <row r="252" spans="1:6" ht="14.25" thickBot="1">
      <c r="A252" s="1839" t="s">
        <v>1413</v>
      </c>
      <c r="B252" s="1843" t="s">
        <v>1150</v>
      </c>
      <c r="C252" s="1844">
        <v>0.15</v>
      </c>
      <c r="D252" s="1844">
        <v>0.15</v>
      </c>
      <c r="E252" s="1844">
        <v>0.15</v>
      </c>
      <c r="F252" s="1845">
        <v>0.1</v>
      </c>
    </row>
    <row r="253" spans="1:6" ht="14.25" thickBot="1">
      <c r="A253" s="1839" t="s">
        <v>1413</v>
      </c>
      <c r="B253" s="1843" t="s">
        <v>1162</v>
      </c>
      <c r="C253" s="1844">
        <v>0.15</v>
      </c>
      <c r="D253" s="1844">
        <v>0.15</v>
      </c>
      <c r="E253" s="1844">
        <v>0.15</v>
      </c>
      <c r="F253" s="1845">
        <v>0.1</v>
      </c>
    </row>
    <row r="254" spans="1:6" ht="14.25" thickBot="1">
      <c r="A254" s="1839" t="s">
        <v>1413</v>
      </c>
      <c r="B254" s="1843" t="s">
        <v>1172</v>
      </c>
      <c r="C254" s="1853"/>
      <c r="D254" s="1853"/>
      <c r="E254" s="1853"/>
      <c r="F254" s="1845">
        <v>0.15</v>
      </c>
    </row>
    <row r="255" spans="1:6" ht="14.25" thickBot="1">
      <c r="A255" s="1839" t="s">
        <v>1413</v>
      </c>
      <c r="B255" s="1843" t="s">
        <v>1182</v>
      </c>
      <c r="C255" s="1853"/>
      <c r="D255" s="1853"/>
      <c r="E255" s="1853"/>
      <c r="F255" s="1845">
        <v>0.14299999999999999</v>
      </c>
    </row>
    <row r="256" spans="1:6" ht="14.25" thickBot="1">
      <c r="A256" s="1839" t="s">
        <v>1413</v>
      </c>
      <c r="B256" s="1843" t="s">
        <v>2175</v>
      </c>
      <c r="C256" s="1844">
        <v>0.14599999999999999</v>
      </c>
      <c r="D256" s="1844">
        <v>0.14699999999999999</v>
      </c>
      <c r="E256" s="1844">
        <v>0.15</v>
      </c>
      <c r="F256" s="1845">
        <v>0.13200000000000001</v>
      </c>
    </row>
    <row r="257" spans="1:6" ht="14.25" thickBot="1">
      <c r="A257" s="1839" t="s">
        <v>1413</v>
      </c>
      <c r="B257" s="1843" t="s">
        <v>1202</v>
      </c>
      <c r="C257" s="1844">
        <v>0.15</v>
      </c>
      <c r="D257" s="1844">
        <v>0.15</v>
      </c>
      <c r="E257" s="1844">
        <v>0.15</v>
      </c>
      <c r="F257" s="1845">
        <v>0.13900000000000001</v>
      </c>
    </row>
    <row r="258" spans="1:6" ht="14.25" thickBot="1">
      <c r="A258" s="1839" t="s">
        <v>1413</v>
      </c>
      <c r="B258" s="1843" t="s">
        <v>1212</v>
      </c>
      <c r="C258" s="1844">
        <v>0.15</v>
      </c>
      <c r="D258" s="1844">
        <v>0.15</v>
      </c>
      <c r="E258" s="1844">
        <v>0.15</v>
      </c>
      <c r="F258" s="1845">
        <v>0.13</v>
      </c>
    </row>
    <row r="259" spans="1:6" ht="14.25" thickBot="1">
      <c r="A259" s="1839" t="s">
        <v>1413</v>
      </c>
      <c r="B259" s="1843" t="s">
        <v>2176</v>
      </c>
      <c r="C259" s="1844">
        <v>0.14799999999999999</v>
      </c>
      <c r="D259" s="1844">
        <v>0.14899999999999999</v>
      </c>
      <c r="E259" s="1844">
        <v>0.15</v>
      </c>
      <c r="F259" s="1845">
        <v>0.13700000000000001</v>
      </c>
    </row>
    <row r="260" spans="1:6" ht="14.25" thickBot="1">
      <c r="A260" s="1839" t="s">
        <v>1413</v>
      </c>
      <c r="B260" s="1843" t="s">
        <v>1232</v>
      </c>
      <c r="C260" s="1844">
        <v>0.15</v>
      </c>
      <c r="D260" s="1844">
        <v>0.15</v>
      </c>
      <c r="E260" s="1844">
        <v>0.15</v>
      </c>
      <c r="F260" s="1845">
        <v>0.14199999999999999</v>
      </c>
    </row>
    <row r="261" spans="1:6" ht="14.25" thickBot="1">
      <c r="A261" s="1839" t="s">
        <v>1413</v>
      </c>
      <c r="B261" s="1843" t="s">
        <v>1242</v>
      </c>
      <c r="C261" s="1844">
        <v>0.15</v>
      </c>
      <c r="D261" s="1844">
        <v>0.15</v>
      </c>
      <c r="E261" s="1844">
        <v>0.14899999999999999</v>
      </c>
      <c r="F261" s="1845">
        <v>0.14799999999999999</v>
      </c>
    </row>
    <row r="262" spans="1:6" ht="14.25" thickBot="1">
      <c r="A262" s="1839" t="s">
        <v>1413</v>
      </c>
      <c r="B262" s="1843" t="s">
        <v>1252</v>
      </c>
      <c r="C262" s="1844">
        <v>0.15</v>
      </c>
      <c r="D262" s="1844">
        <v>0.15</v>
      </c>
      <c r="E262" s="1844">
        <v>0.15</v>
      </c>
      <c r="F262" s="1852"/>
    </row>
    <row r="263" spans="1:6" ht="14.25" thickBot="1">
      <c r="A263" s="1839" t="s">
        <v>1413</v>
      </c>
      <c r="B263" s="1843" t="s">
        <v>2177</v>
      </c>
      <c r="C263" s="1844">
        <v>0.14899999999999999</v>
      </c>
      <c r="D263" s="1844">
        <v>0.14899999999999999</v>
      </c>
      <c r="E263" s="1844">
        <v>0.15</v>
      </c>
      <c r="F263" s="1845">
        <v>0.13</v>
      </c>
    </row>
    <row r="264" spans="1:6" ht="14.25" thickBot="1">
      <c r="A264" s="1839" t="s">
        <v>1413</v>
      </c>
      <c r="B264" s="1843" t="s">
        <v>1271</v>
      </c>
      <c r="C264" s="1844">
        <v>0.14799999999999999</v>
      </c>
      <c r="D264" s="1844">
        <v>0.14699999999999999</v>
      </c>
      <c r="E264" s="1844">
        <v>0.15</v>
      </c>
      <c r="F264" s="1845">
        <v>7.8E-2</v>
      </c>
    </row>
    <row r="265" spans="1:6" ht="14.25" thickBot="1">
      <c r="A265" s="1839" t="s">
        <v>1413</v>
      </c>
      <c r="B265" s="1843" t="s">
        <v>1280</v>
      </c>
      <c r="C265" s="1844">
        <v>0.15</v>
      </c>
      <c r="D265" s="1844">
        <v>0.15</v>
      </c>
      <c r="E265" s="1844">
        <v>0.15</v>
      </c>
      <c r="F265" s="1845">
        <v>7.3999999999999996E-2</v>
      </c>
    </row>
    <row r="266" spans="1:6" ht="14.25" thickBot="1">
      <c r="A266" s="1839" t="s">
        <v>1413</v>
      </c>
      <c r="B266" s="1843" t="s">
        <v>1288</v>
      </c>
      <c r="C266" s="1844">
        <v>0.14699999999999999</v>
      </c>
      <c r="D266" s="1844">
        <v>0.14699999999999999</v>
      </c>
      <c r="E266" s="1844">
        <v>0.15</v>
      </c>
      <c r="F266" s="1845">
        <v>0.14299999999999999</v>
      </c>
    </row>
    <row r="267" spans="1:6" ht="14.25" thickBot="1">
      <c r="A267" s="1839" t="s">
        <v>1413</v>
      </c>
      <c r="B267" s="1843" t="s">
        <v>1295</v>
      </c>
      <c r="C267" s="1844">
        <v>0.14199999999999999</v>
      </c>
      <c r="D267" s="1844">
        <v>0.14299999999999999</v>
      </c>
      <c r="E267" s="1844">
        <v>0.15</v>
      </c>
      <c r="F267" s="1852"/>
    </row>
    <row r="268" spans="1:6" ht="14.25" thickBot="1">
      <c r="A268" s="1839" t="s">
        <v>1413</v>
      </c>
      <c r="B268" s="1843" t="s">
        <v>2178</v>
      </c>
      <c r="C268" s="1844">
        <v>0.15</v>
      </c>
      <c r="D268" s="1844">
        <v>0.15</v>
      </c>
      <c r="E268" s="1844">
        <v>0.15</v>
      </c>
      <c r="F268" s="1845">
        <v>0.13</v>
      </c>
    </row>
    <row r="269" spans="1:6" ht="14.25" thickBot="1">
      <c r="A269" s="1839" t="s">
        <v>1413</v>
      </c>
      <c r="B269" s="1843" t="s">
        <v>1309</v>
      </c>
      <c r="C269" s="1844">
        <v>0.15</v>
      </c>
      <c r="D269" s="1844">
        <v>0.15</v>
      </c>
      <c r="E269" s="1844">
        <v>0.15</v>
      </c>
      <c r="F269" s="1845">
        <v>0.14299999999999999</v>
      </c>
    </row>
    <row r="270" spans="1:6" ht="14.25" thickBot="1">
      <c r="A270" s="1839" t="s">
        <v>1413</v>
      </c>
      <c r="B270" s="1843" t="s">
        <v>1316</v>
      </c>
      <c r="C270" s="1844">
        <v>0.14499999999999999</v>
      </c>
      <c r="D270" s="1844">
        <v>0.14499999999999999</v>
      </c>
      <c r="E270" s="1844">
        <v>0.15</v>
      </c>
      <c r="F270" s="1845">
        <v>0.14699999999999999</v>
      </c>
    </row>
    <row r="271" spans="1:6" ht="14.25" thickBot="1">
      <c r="A271" s="1839" t="s">
        <v>1413</v>
      </c>
      <c r="B271" s="1843" t="s">
        <v>1323</v>
      </c>
      <c r="C271" s="1844">
        <v>0.15</v>
      </c>
      <c r="D271" s="1844">
        <v>0.15</v>
      </c>
      <c r="E271" s="1844">
        <v>0.15</v>
      </c>
      <c r="F271" s="1845">
        <v>0.13800000000000001</v>
      </c>
    </row>
    <row r="272" spans="1:6" ht="14.25" thickBot="1">
      <c r="A272" s="1839" t="s">
        <v>1413</v>
      </c>
      <c r="B272" s="1843" t="s">
        <v>1330</v>
      </c>
      <c r="C272" s="1853"/>
      <c r="D272" s="1853"/>
      <c r="E272" s="1853"/>
      <c r="F272" s="1845">
        <v>0.14000000000000001</v>
      </c>
    </row>
    <row r="273" spans="1:6" ht="14.25" thickBot="1">
      <c r="A273" s="1839" t="s">
        <v>1413</v>
      </c>
      <c r="B273" s="1843" t="s">
        <v>2179</v>
      </c>
      <c r="C273" s="1844">
        <v>0.14199999999999999</v>
      </c>
      <c r="D273" s="1844">
        <v>0.14299999999999999</v>
      </c>
      <c r="E273" s="1844">
        <v>0.15</v>
      </c>
      <c r="F273" s="1845">
        <v>0.1</v>
      </c>
    </row>
    <row r="274" spans="1:6" ht="14.25" thickBot="1">
      <c r="A274" s="1839" t="s">
        <v>1413</v>
      </c>
      <c r="B274" s="1843" t="s">
        <v>2180</v>
      </c>
      <c r="C274" s="1844">
        <v>0.14799999999999999</v>
      </c>
      <c r="D274" s="1844">
        <v>0.14799999999999999</v>
      </c>
      <c r="E274" s="1844">
        <v>0.15</v>
      </c>
      <c r="F274" s="1845">
        <v>6.7000000000000004E-2</v>
      </c>
    </row>
    <row r="275" spans="1:6" ht="14.25" thickBot="1">
      <c r="A275" s="1839" t="s">
        <v>1413</v>
      </c>
      <c r="B275" s="1843" t="s">
        <v>2181</v>
      </c>
      <c r="C275" s="1844">
        <v>0.15</v>
      </c>
      <c r="D275" s="1844">
        <v>0.15</v>
      </c>
      <c r="E275" s="1844">
        <v>0.15</v>
      </c>
      <c r="F275" s="1845">
        <v>0.15</v>
      </c>
    </row>
    <row r="276" spans="1:6" ht="14.25" thickBot="1">
      <c r="A276" s="1839" t="s">
        <v>1413</v>
      </c>
      <c r="B276" s="1843" t="s">
        <v>2182</v>
      </c>
      <c r="C276" s="1844">
        <v>0.14499999999999999</v>
      </c>
      <c r="D276" s="1844">
        <v>0.14299999999999999</v>
      </c>
      <c r="E276" s="1844">
        <v>0.15</v>
      </c>
      <c r="F276" s="1845">
        <v>5.8999999999999997E-2</v>
      </c>
    </row>
    <row r="277" spans="1:6" ht="14.25" thickBot="1">
      <c r="A277" s="1839" t="s">
        <v>1413</v>
      </c>
      <c r="B277" s="1843" t="s">
        <v>2183</v>
      </c>
      <c r="C277" s="1844">
        <v>0.15</v>
      </c>
      <c r="D277" s="1844">
        <v>0.15</v>
      </c>
      <c r="E277" s="1844">
        <v>0.15</v>
      </c>
      <c r="F277" s="1845">
        <v>0.121</v>
      </c>
    </row>
    <row r="278" spans="1:6" ht="14.25" thickBot="1">
      <c r="A278" s="1839" t="s">
        <v>1413</v>
      </c>
      <c r="B278" s="1843" t="s">
        <v>2184</v>
      </c>
      <c r="C278" s="1844">
        <v>0.15</v>
      </c>
      <c r="D278" s="1844">
        <v>0.15</v>
      </c>
      <c r="E278" s="1844">
        <v>0.15</v>
      </c>
      <c r="F278" s="1845">
        <v>0.13800000000000001</v>
      </c>
    </row>
    <row r="279" spans="1:6" ht="24.75" thickBot="1">
      <c r="A279" s="1839" t="s">
        <v>1413</v>
      </c>
      <c r="B279" s="1843" t="s">
        <v>2185</v>
      </c>
      <c r="C279" s="1853"/>
      <c r="D279" s="1853"/>
      <c r="E279" s="1853"/>
      <c r="F279" s="1845">
        <v>0.05</v>
      </c>
    </row>
    <row r="280" spans="1:6" ht="24.75" thickBot="1">
      <c r="A280" s="1839" t="s">
        <v>1413</v>
      </c>
      <c r="B280" s="1843" t="s">
        <v>2186</v>
      </c>
      <c r="C280" s="1853"/>
      <c r="D280" s="1853"/>
      <c r="E280" s="1853"/>
      <c r="F280" s="1845">
        <v>0.05</v>
      </c>
    </row>
    <row r="281" spans="1:6" ht="24.75" thickBot="1">
      <c r="A281" s="1839" t="s">
        <v>1413</v>
      </c>
      <c r="B281" s="1843" t="s">
        <v>2187</v>
      </c>
      <c r="C281" s="1853"/>
      <c r="D281" s="1853"/>
      <c r="E281" s="1853"/>
      <c r="F281" s="1845">
        <v>0.05</v>
      </c>
    </row>
    <row r="282" spans="1:6" ht="24.75" thickBot="1">
      <c r="A282" s="1839" t="s">
        <v>1413</v>
      </c>
      <c r="B282" s="1843" t="s">
        <v>2188</v>
      </c>
      <c r="C282" s="1853"/>
      <c r="D282" s="1853"/>
      <c r="E282" s="1853"/>
      <c r="F282" s="1845">
        <v>0.05</v>
      </c>
    </row>
    <row r="283" spans="1:6" ht="24.75" thickBot="1">
      <c r="A283" s="1839" t="s">
        <v>1413</v>
      </c>
      <c r="B283" s="1843" t="s">
        <v>2189</v>
      </c>
      <c r="C283" s="1853"/>
      <c r="D283" s="1853"/>
      <c r="E283" s="1853"/>
      <c r="F283" s="1845">
        <v>0.05</v>
      </c>
    </row>
    <row r="284" spans="1:6" ht="24.75" thickBot="1">
      <c r="A284" s="1839" t="s">
        <v>1413</v>
      </c>
      <c r="B284" s="1843" t="s">
        <v>2190</v>
      </c>
      <c r="C284" s="1853"/>
      <c r="D284" s="1853"/>
      <c r="E284" s="1853"/>
      <c r="F284" s="1845">
        <v>0.05</v>
      </c>
    </row>
    <row r="285" spans="1:6" ht="24.75" thickBot="1">
      <c r="A285" s="1839" t="s">
        <v>1413</v>
      </c>
      <c r="B285" s="1843" t="s">
        <v>2191</v>
      </c>
      <c r="C285" s="1853"/>
      <c r="D285" s="1853"/>
      <c r="E285" s="1853"/>
      <c r="F285" s="1845">
        <v>0.05</v>
      </c>
    </row>
    <row r="286" spans="1:6" ht="24.75" thickBot="1">
      <c r="A286" s="1839" t="s">
        <v>1413</v>
      </c>
      <c r="B286" s="1843" t="s">
        <v>2192</v>
      </c>
      <c r="C286" s="1853"/>
      <c r="D286" s="1853"/>
      <c r="E286" s="1853"/>
      <c r="F286" s="1845">
        <v>0.05</v>
      </c>
    </row>
    <row r="287" spans="1:6" ht="24.75" thickBot="1">
      <c r="A287" s="1839" t="s">
        <v>1413</v>
      </c>
      <c r="B287" s="1843" t="s">
        <v>2193</v>
      </c>
      <c r="C287" s="1853"/>
      <c r="D287" s="1853"/>
      <c r="E287" s="1853"/>
      <c r="F287" s="1845">
        <v>0.05</v>
      </c>
    </row>
    <row r="288" spans="1:6" ht="24.75" thickBot="1">
      <c r="A288" s="1839" t="s">
        <v>1413</v>
      </c>
      <c r="B288" s="1843" t="s">
        <v>2194</v>
      </c>
      <c r="C288" s="1853"/>
      <c r="D288" s="1853"/>
      <c r="E288" s="1853"/>
      <c r="F288" s="1845">
        <v>0.05</v>
      </c>
    </row>
    <row r="289" spans="1:6" ht="24.75" thickBot="1">
      <c r="A289" s="1847" t="s">
        <v>1413</v>
      </c>
      <c r="B289" s="1854" t="s">
        <v>2195</v>
      </c>
      <c r="C289" s="1850"/>
      <c r="D289" s="1850"/>
      <c r="E289" s="1850"/>
      <c r="F289" s="1855">
        <v>0.05</v>
      </c>
    </row>
    <row r="290" spans="1:6" ht="14.25" thickBot="1">
      <c r="A290" s="1839" t="s">
        <v>1417</v>
      </c>
      <c r="B290" s="1840" t="s">
        <v>2196</v>
      </c>
      <c r="C290" s="1841">
        <v>0.15</v>
      </c>
      <c r="D290" s="1841">
        <v>0.15</v>
      </c>
      <c r="E290" s="1841">
        <v>0.15</v>
      </c>
      <c r="F290" s="1863"/>
    </row>
    <row r="291" spans="1:6" ht="14.25" thickBot="1">
      <c r="A291" s="1839" t="s">
        <v>1417</v>
      </c>
      <c r="B291" s="1843" t="s">
        <v>1077</v>
      </c>
      <c r="C291" s="1844">
        <v>0.15</v>
      </c>
      <c r="D291" s="1844">
        <v>0.15</v>
      </c>
      <c r="E291" s="1844">
        <v>0.15</v>
      </c>
      <c r="F291" s="1852"/>
    </row>
    <row r="292" spans="1:6" ht="14.25" thickBot="1">
      <c r="A292" s="1839" t="s">
        <v>1417</v>
      </c>
      <c r="B292" s="1843" t="s">
        <v>2197</v>
      </c>
      <c r="C292" s="1844">
        <v>0.15</v>
      </c>
      <c r="D292" s="1844">
        <v>0.15</v>
      </c>
      <c r="E292" s="1844">
        <v>0.15</v>
      </c>
      <c r="F292" s="1845">
        <v>0.14699999999999999</v>
      </c>
    </row>
    <row r="293" spans="1:6" ht="14.25" thickBot="1">
      <c r="A293" s="1839" t="s">
        <v>1417</v>
      </c>
      <c r="B293" s="1843" t="s">
        <v>2198</v>
      </c>
      <c r="C293" s="1853"/>
      <c r="D293" s="1853"/>
      <c r="E293" s="1853"/>
      <c r="F293" s="1845">
        <v>0.1</v>
      </c>
    </row>
    <row r="294" spans="1:6" ht="14.25" thickBot="1">
      <c r="A294" s="1839" t="s">
        <v>1417</v>
      </c>
      <c r="B294" s="1843" t="s">
        <v>2199</v>
      </c>
      <c r="C294" s="1844">
        <v>0.15</v>
      </c>
      <c r="D294" s="1844">
        <v>0.15</v>
      </c>
      <c r="E294" s="1844">
        <v>0.15</v>
      </c>
      <c r="F294" s="1845">
        <v>0.15</v>
      </c>
    </row>
    <row r="295" spans="1:6" ht="14.25" thickBot="1">
      <c r="A295" s="1839" t="s">
        <v>1417</v>
      </c>
      <c r="B295" s="1843" t="s">
        <v>1118</v>
      </c>
      <c r="C295" s="1844">
        <v>0.15</v>
      </c>
      <c r="D295" s="1844">
        <v>0.15</v>
      </c>
      <c r="E295" s="1844">
        <v>0.15</v>
      </c>
      <c r="F295" s="1845">
        <v>0.15</v>
      </c>
    </row>
    <row r="296" spans="1:6" ht="14.25" thickBot="1">
      <c r="A296" s="1839" t="s">
        <v>1417</v>
      </c>
      <c r="B296" s="1843" t="s">
        <v>2200</v>
      </c>
      <c r="C296" s="1844">
        <v>0.15</v>
      </c>
      <c r="D296" s="1844">
        <v>0.15</v>
      </c>
      <c r="E296" s="1844">
        <v>0.15</v>
      </c>
      <c r="F296" s="1845">
        <v>0.15</v>
      </c>
    </row>
    <row r="297" spans="1:6" ht="14.25" thickBot="1">
      <c r="A297" s="1839" t="s">
        <v>1417</v>
      </c>
      <c r="B297" s="1843" t="s">
        <v>2201</v>
      </c>
      <c r="C297" s="1844">
        <v>0.14799999999999999</v>
      </c>
      <c r="D297" s="1844">
        <v>0.14899999999999999</v>
      </c>
      <c r="E297" s="1844">
        <v>0.15</v>
      </c>
      <c r="F297" s="1845">
        <v>0.13700000000000001</v>
      </c>
    </row>
    <row r="298" spans="1:6" ht="14.25" thickBot="1">
      <c r="A298" s="1839" t="s">
        <v>1417</v>
      </c>
      <c r="B298" s="1843" t="s">
        <v>1151</v>
      </c>
      <c r="C298" s="1844">
        <v>0.13400000000000001</v>
      </c>
      <c r="D298" s="1844">
        <v>0.13400000000000001</v>
      </c>
      <c r="E298" s="1844">
        <v>0.14499999999999999</v>
      </c>
      <c r="F298" s="1845">
        <v>0.14799999999999999</v>
      </c>
    </row>
    <row r="299" spans="1:6" ht="14.25" thickBot="1">
      <c r="A299" s="1839" t="s">
        <v>1417</v>
      </c>
      <c r="B299" s="1843" t="s">
        <v>1163</v>
      </c>
      <c r="C299" s="1844">
        <v>0.15</v>
      </c>
      <c r="D299" s="1844">
        <v>0.15</v>
      </c>
      <c r="E299" s="1844">
        <v>0.15</v>
      </c>
      <c r="F299" s="1852"/>
    </row>
    <row r="300" spans="1:6" ht="14.25" thickBot="1">
      <c r="A300" s="1839" t="s">
        <v>1417</v>
      </c>
      <c r="B300" s="1843" t="s">
        <v>2202</v>
      </c>
      <c r="C300" s="1844">
        <v>0.15</v>
      </c>
      <c r="D300" s="1844">
        <v>0.15</v>
      </c>
      <c r="E300" s="1844">
        <v>0.15</v>
      </c>
      <c r="F300" s="1845">
        <v>0.15</v>
      </c>
    </row>
    <row r="301" spans="1:6" ht="14.25" thickBot="1">
      <c r="A301" s="1839" t="s">
        <v>1417</v>
      </c>
      <c r="B301" s="1843" t="s">
        <v>1183</v>
      </c>
      <c r="C301" s="1844">
        <v>0.15</v>
      </c>
      <c r="D301" s="1844">
        <v>0.15</v>
      </c>
      <c r="E301" s="1844">
        <v>0.15</v>
      </c>
      <c r="F301" s="1852"/>
    </row>
    <row r="302" spans="1:6" ht="14.25" thickBot="1">
      <c r="A302" s="1839" t="s">
        <v>1417</v>
      </c>
      <c r="B302" s="1843" t="s">
        <v>2203</v>
      </c>
      <c r="C302" s="1844">
        <v>0.15</v>
      </c>
      <c r="D302" s="1844">
        <v>0.15</v>
      </c>
      <c r="E302" s="1844">
        <v>0.15</v>
      </c>
      <c r="F302" s="1845">
        <v>0.15</v>
      </c>
    </row>
    <row r="303" spans="1:6" ht="14.25" thickBot="1">
      <c r="A303" s="1839" t="s">
        <v>1417</v>
      </c>
      <c r="B303" s="1843" t="s">
        <v>1203</v>
      </c>
      <c r="C303" s="1844">
        <v>0.15</v>
      </c>
      <c r="D303" s="1844">
        <v>0.15</v>
      </c>
      <c r="E303" s="1844">
        <v>0.15</v>
      </c>
      <c r="F303" s="1845">
        <v>0.15</v>
      </c>
    </row>
    <row r="304" spans="1:6" ht="14.25" thickBot="1">
      <c r="A304" s="1839" t="s">
        <v>1417</v>
      </c>
      <c r="B304" s="1843" t="s">
        <v>1213</v>
      </c>
      <c r="C304" s="1844">
        <v>0.15</v>
      </c>
      <c r="D304" s="1844">
        <v>0.15</v>
      </c>
      <c r="E304" s="1844">
        <v>0.15</v>
      </c>
      <c r="F304" s="1852"/>
    </row>
    <row r="305" spans="1:6" ht="14.25" thickBot="1">
      <c r="A305" s="1839" t="s">
        <v>1417</v>
      </c>
      <c r="B305" s="1843" t="s">
        <v>2204</v>
      </c>
      <c r="C305" s="1844">
        <v>0.15</v>
      </c>
      <c r="D305" s="1844">
        <v>0.15</v>
      </c>
      <c r="E305" s="1844">
        <v>0.15</v>
      </c>
      <c r="F305" s="1845">
        <v>0.14000000000000001</v>
      </c>
    </row>
    <row r="306" spans="1:6" ht="14.25" thickBot="1">
      <c r="A306" s="1839" t="s">
        <v>1417</v>
      </c>
      <c r="B306" s="1843" t="s">
        <v>1233</v>
      </c>
      <c r="C306" s="1844">
        <v>0.15</v>
      </c>
      <c r="D306" s="1844">
        <v>0.15</v>
      </c>
      <c r="E306" s="1844">
        <v>0.15</v>
      </c>
      <c r="F306" s="1852"/>
    </row>
    <row r="307" spans="1:6" ht="14.25" thickBot="1">
      <c r="A307" s="1839" t="s">
        <v>1417</v>
      </c>
      <c r="B307" s="1843" t="s">
        <v>2205</v>
      </c>
      <c r="C307" s="1844">
        <v>0.15</v>
      </c>
      <c r="D307" s="1844">
        <v>0.15</v>
      </c>
      <c r="E307" s="1844">
        <v>0.15</v>
      </c>
      <c r="F307" s="1845">
        <v>0.14299999999999999</v>
      </c>
    </row>
    <row r="308" spans="1:6" ht="14.25" thickBot="1">
      <c r="A308" s="1839" t="s">
        <v>1417</v>
      </c>
      <c r="B308" s="1843" t="s">
        <v>1253</v>
      </c>
      <c r="C308" s="1844">
        <v>0.15</v>
      </c>
      <c r="D308" s="1844">
        <v>0.15</v>
      </c>
      <c r="E308" s="1844">
        <v>0.15</v>
      </c>
      <c r="F308" s="1845">
        <v>0.15</v>
      </c>
    </row>
    <row r="309" spans="1:6" ht="14.25" thickBot="1">
      <c r="A309" s="1839" t="s">
        <v>1417</v>
      </c>
      <c r="B309" s="1843" t="s">
        <v>1263</v>
      </c>
      <c r="C309" s="1844">
        <v>0.15</v>
      </c>
      <c r="D309" s="1844">
        <v>0.15</v>
      </c>
      <c r="E309" s="1844">
        <v>0.15</v>
      </c>
      <c r="F309" s="1852"/>
    </row>
    <row r="310" spans="1:6" ht="14.25" thickBot="1">
      <c r="A310" s="1839" t="s">
        <v>1417</v>
      </c>
      <c r="B310" s="1843" t="s">
        <v>2206</v>
      </c>
      <c r="C310" s="1844">
        <v>0.15</v>
      </c>
      <c r="D310" s="1844">
        <v>0.15</v>
      </c>
      <c r="E310" s="1844">
        <v>0.15</v>
      </c>
      <c r="F310" s="1845">
        <v>0.13700000000000001</v>
      </c>
    </row>
    <row r="311" spans="1:6" ht="14.25" thickBot="1">
      <c r="A311" s="1839" t="s">
        <v>1417</v>
      </c>
      <c r="B311" s="1843" t="s">
        <v>2207</v>
      </c>
      <c r="C311" s="1844">
        <v>0.15</v>
      </c>
      <c r="D311" s="1844">
        <v>0.15</v>
      </c>
      <c r="E311" s="1844">
        <v>0.15</v>
      </c>
      <c r="F311" s="1845">
        <v>0.15</v>
      </c>
    </row>
    <row r="312" spans="1:6" ht="14.25" thickBot="1">
      <c r="A312" s="1839" t="s">
        <v>1417</v>
      </c>
      <c r="B312" s="1843" t="s">
        <v>1289</v>
      </c>
      <c r="C312" s="1844">
        <v>0.15</v>
      </c>
      <c r="D312" s="1844">
        <v>0.15</v>
      </c>
      <c r="E312" s="1844">
        <v>0.15</v>
      </c>
      <c r="F312" s="1845">
        <v>0.1</v>
      </c>
    </row>
    <row r="313" spans="1:6" ht="14.25" thickBot="1">
      <c r="A313" s="1839" t="s">
        <v>1417</v>
      </c>
      <c r="B313" s="1843" t="s">
        <v>2208</v>
      </c>
      <c r="C313" s="1844">
        <v>0.15</v>
      </c>
      <c r="D313" s="1844">
        <v>0.15</v>
      </c>
      <c r="E313" s="1844">
        <v>0.15</v>
      </c>
      <c r="F313" s="1845">
        <v>0.15</v>
      </c>
    </row>
    <row r="314" spans="1:6" ht="24.75" thickBot="1">
      <c r="A314" s="1839" t="s">
        <v>1417</v>
      </c>
      <c r="B314" s="1843" t="s">
        <v>2209</v>
      </c>
      <c r="C314" s="1853"/>
      <c r="D314" s="1853"/>
      <c r="E314" s="1853"/>
      <c r="F314" s="1845">
        <v>0.05</v>
      </c>
    </row>
    <row r="315" spans="1:6" ht="24.75" thickBot="1">
      <c r="A315" s="1839" t="s">
        <v>1417</v>
      </c>
      <c r="B315" s="1843" t="s">
        <v>2210</v>
      </c>
      <c r="C315" s="1853"/>
      <c r="D315" s="1853"/>
      <c r="E315" s="1853"/>
      <c r="F315" s="1845">
        <v>0.05</v>
      </c>
    </row>
    <row r="316" spans="1:6" ht="24.75" thickBot="1">
      <c r="A316" s="1847" t="s">
        <v>1417</v>
      </c>
      <c r="B316" s="1854" t="s">
        <v>2211</v>
      </c>
      <c r="C316" s="1850"/>
      <c r="D316" s="1850"/>
      <c r="E316" s="1850"/>
      <c r="F316" s="1855">
        <v>0.05</v>
      </c>
    </row>
    <row r="317" spans="1:6" ht="14.25" thickBot="1">
      <c r="A317" s="1839" t="s">
        <v>2212</v>
      </c>
      <c r="B317" s="1840" t="s">
        <v>2213</v>
      </c>
      <c r="C317" s="1841">
        <v>0.15</v>
      </c>
      <c r="D317" s="1841">
        <v>0.15</v>
      </c>
      <c r="E317" s="1841">
        <v>0.15</v>
      </c>
      <c r="F317" s="1842">
        <v>0.15</v>
      </c>
    </row>
    <row r="318" spans="1:6" ht="14.25" thickBot="1">
      <c r="A318" s="1839" t="s">
        <v>2212</v>
      </c>
      <c r="B318" s="1843" t="s">
        <v>2214</v>
      </c>
      <c r="C318" s="1844">
        <v>0.107</v>
      </c>
      <c r="D318" s="1844">
        <v>0.11</v>
      </c>
      <c r="E318" s="1844">
        <v>0.112</v>
      </c>
      <c r="F318" s="1852"/>
    </row>
    <row r="319" spans="1:6" ht="14.25" thickBot="1">
      <c r="A319" s="1839" t="s">
        <v>2212</v>
      </c>
      <c r="B319" s="1843" t="s">
        <v>2215</v>
      </c>
      <c r="C319" s="1844">
        <v>0.15</v>
      </c>
      <c r="D319" s="1844">
        <v>0.15</v>
      </c>
      <c r="E319" s="1844">
        <v>0.15</v>
      </c>
      <c r="F319" s="1845">
        <v>0.15</v>
      </c>
    </row>
    <row r="320" spans="1:6" ht="14.25" thickBot="1">
      <c r="A320" s="1839" t="s">
        <v>2212</v>
      </c>
      <c r="B320" s="1843" t="s">
        <v>1105</v>
      </c>
      <c r="C320" s="1844">
        <v>0.15</v>
      </c>
      <c r="D320" s="1844">
        <v>0.15</v>
      </c>
      <c r="E320" s="1844">
        <v>0.15</v>
      </c>
      <c r="F320" s="1852"/>
    </row>
    <row r="321" spans="1:6" ht="14.25" thickBot="1">
      <c r="A321" s="1839" t="s">
        <v>2212</v>
      </c>
      <c r="B321" s="1843" t="s">
        <v>2216</v>
      </c>
      <c r="C321" s="1844">
        <v>0.15</v>
      </c>
      <c r="D321" s="1844">
        <v>0.15</v>
      </c>
      <c r="E321" s="1844">
        <v>0.15</v>
      </c>
      <c r="F321" s="1852"/>
    </row>
    <row r="322" spans="1:6" ht="14.25" thickBot="1">
      <c r="A322" s="1839" t="s">
        <v>2212</v>
      </c>
      <c r="B322" s="1843" t="s">
        <v>2217</v>
      </c>
      <c r="C322" s="1844">
        <v>0.15</v>
      </c>
      <c r="D322" s="1844">
        <v>0.15</v>
      </c>
      <c r="E322" s="1844">
        <v>0.15</v>
      </c>
      <c r="F322" s="1845">
        <v>0.15</v>
      </c>
    </row>
    <row r="323" spans="1:6" ht="14.25" thickBot="1">
      <c r="A323" s="1839" t="s">
        <v>2212</v>
      </c>
      <c r="B323" s="1843" t="s">
        <v>2218</v>
      </c>
      <c r="C323" s="1844">
        <v>0.15</v>
      </c>
      <c r="D323" s="1844">
        <v>0.15</v>
      </c>
      <c r="E323" s="1844">
        <v>0.15</v>
      </c>
      <c r="F323" s="1852"/>
    </row>
    <row r="324" spans="1:6" ht="14.25" thickBot="1">
      <c r="A324" s="1839" t="s">
        <v>2212</v>
      </c>
      <c r="B324" s="1843" t="s">
        <v>2219</v>
      </c>
      <c r="C324" s="1844">
        <v>0.15</v>
      </c>
      <c r="D324" s="1844">
        <v>0.15</v>
      </c>
      <c r="E324" s="1844">
        <v>0.15</v>
      </c>
      <c r="F324" s="1852"/>
    </row>
    <row r="325" spans="1:6" ht="14.25" thickBot="1">
      <c r="A325" s="1839" t="s">
        <v>2212</v>
      </c>
      <c r="B325" s="1843" t="s">
        <v>2220</v>
      </c>
      <c r="C325" s="1844">
        <v>0.15</v>
      </c>
      <c r="D325" s="1844">
        <v>0.15</v>
      </c>
      <c r="E325" s="1844">
        <v>0.15</v>
      </c>
      <c r="F325" s="1845">
        <v>0.14699999999999999</v>
      </c>
    </row>
    <row r="326" spans="1:6" ht="14.25" thickBot="1">
      <c r="A326" s="1839" t="s">
        <v>2212</v>
      </c>
      <c r="B326" s="1843" t="s">
        <v>1174</v>
      </c>
      <c r="C326" s="1844">
        <v>0.15</v>
      </c>
      <c r="D326" s="1844">
        <v>0.15</v>
      </c>
      <c r="E326" s="1844">
        <v>0.15</v>
      </c>
      <c r="F326" s="1852"/>
    </row>
    <row r="327" spans="1:6" ht="14.25" thickBot="1">
      <c r="A327" s="1839" t="s">
        <v>2212</v>
      </c>
      <c r="B327" s="1843" t="s">
        <v>2221</v>
      </c>
      <c r="C327" s="1844">
        <v>0.15</v>
      </c>
      <c r="D327" s="1844">
        <v>0.15</v>
      </c>
      <c r="E327" s="1844">
        <v>0.15</v>
      </c>
      <c r="F327" s="1845">
        <v>0.15</v>
      </c>
    </row>
    <row r="328" spans="1:6" ht="14.25" thickBot="1">
      <c r="A328" s="1839" t="s">
        <v>2212</v>
      </c>
      <c r="B328" s="1843" t="s">
        <v>1194</v>
      </c>
      <c r="C328" s="1844">
        <v>0.15</v>
      </c>
      <c r="D328" s="1844">
        <v>0.15</v>
      </c>
      <c r="E328" s="1844">
        <v>0.15</v>
      </c>
      <c r="F328" s="1845">
        <v>0.14099999999999999</v>
      </c>
    </row>
    <row r="329" spans="1:6" ht="14.25" thickBot="1">
      <c r="A329" s="1839" t="s">
        <v>2212</v>
      </c>
      <c r="B329" s="1843" t="s">
        <v>1204</v>
      </c>
      <c r="C329" s="1844">
        <v>0.15</v>
      </c>
      <c r="D329" s="1844">
        <v>0.15</v>
      </c>
      <c r="E329" s="1844">
        <v>0.15</v>
      </c>
      <c r="F329" s="1845">
        <v>0.15</v>
      </c>
    </row>
    <row r="330" spans="1:6" ht="14.25" thickBot="1">
      <c r="A330" s="1839" t="s">
        <v>2212</v>
      </c>
      <c r="B330" s="1843" t="s">
        <v>1214</v>
      </c>
      <c r="C330" s="1844">
        <v>0.15</v>
      </c>
      <c r="D330" s="1844">
        <v>0.15</v>
      </c>
      <c r="E330" s="1844">
        <v>0.15</v>
      </c>
      <c r="F330" s="1852"/>
    </row>
    <row r="331" spans="1:6" ht="14.25" thickBot="1">
      <c r="A331" s="1839" t="s">
        <v>2212</v>
      </c>
      <c r="B331" s="1843" t="s">
        <v>2222</v>
      </c>
      <c r="C331" s="1844">
        <v>0.15</v>
      </c>
      <c r="D331" s="1844">
        <v>0.15</v>
      </c>
      <c r="E331" s="1844">
        <v>0.15</v>
      </c>
      <c r="F331" s="1845">
        <v>0.15</v>
      </c>
    </row>
    <row r="332" spans="1:6" ht="14.25" thickBot="1">
      <c r="A332" s="1839" t="s">
        <v>2212</v>
      </c>
      <c r="B332" s="1843" t="s">
        <v>1234</v>
      </c>
      <c r="C332" s="1844">
        <v>0.15</v>
      </c>
      <c r="D332" s="1844">
        <v>0.15</v>
      </c>
      <c r="E332" s="1844">
        <v>0.15</v>
      </c>
      <c r="F332" s="1845">
        <v>0.15</v>
      </c>
    </row>
    <row r="333" spans="1:6" ht="14.25" thickBot="1">
      <c r="A333" s="1839" t="s">
        <v>2212</v>
      </c>
      <c r="B333" s="1843" t="s">
        <v>2223</v>
      </c>
      <c r="C333" s="1844">
        <v>0.15</v>
      </c>
      <c r="D333" s="1844">
        <v>0.15</v>
      </c>
      <c r="E333" s="1844">
        <v>0.15</v>
      </c>
      <c r="F333" s="1845">
        <v>0.14099999999999999</v>
      </c>
    </row>
    <row r="334" spans="1:6" ht="14.25" thickBot="1">
      <c r="A334" s="1839" t="s">
        <v>2212</v>
      </c>
      <c r="B334" s="1843" t="s">
        <v>1254</v>
      </c>
      <c r="C334" s="1844">
        <v>0.15</v>
      </c>
      <c r="D334" s="1844">
        <v>0.15</v>
      </c>
      <c r="E334" s="1844">
        <v>0.15</v>
      </c>
      <c r="F334" s="1845">
        <v>0.15</v>
      </c>
    </row>
    <row r="335" spans="1:6" ht="14.25" thickBot="1">
      <c r="A335" s="1839" t="s">
        <v>2212</v>
      </c>
      <c r="B335" s="1843" t="s">
        <v>1264</v>
      </c>
      <c r="C335" s="1844">
        <v>0.15</v>
      </c>
      <c r="D335" s="1844">
        <v>0.15</v>
      </c>
      <c r="E335" s="1844">
        <v>0.15</v>
      </c>
      <c r="F335" s="1852"/>
    </row>
    <row r="336" spans="1:6" ht="14.25" thickBot="1">
      <c r="A336" s="1839" t="s">
        <v>2212</v>
      </c>
      <c r="B336" s="1843" t="s">
        <v>2224</v>
      </c>
      <c r="C336" s="1844">
        <v>0.15</v>
      </c>
      <c r="D336" s="1844">
        <v>0.15</v>
      </c>
      <c r="E336" s="1844">
        <v>0.15</v>
      </c>
      <c r="F336" s="1845">
        <v>0.11799999999999999</v>
      </c>
    </row>
    <row r="337" spans="1:6" ht="14.25" thickBot="1">
      <c r="A337" s="1847" t="s">
        <v>2212</v>
      </c>
      <c r="B337" s="1854" t="s">
        <v>1282</v>
      </c>
      <c r="C337" s="1850"/>
      <c r="D337" s="1850"/>
      <c r="E337" s="1850"/>
      <c r="F337" s="1855">
        <v>0.14299999999999999</v>
      </c>
    </row>
    <row r="338" spans="1:6" ht="14.25" thickBot="1">
      <c r="A338" s="1839" t="s">
        <v>2225</v>
      </c>
      <c r="B338" s="1840" t="s">
        <v>2226</v>
      </c>
      <c r="C338" s="1841">
        <v>0.15</v>
      </c>
      <c r="D338" s="1841">
        <v>0.15</v>
      </c>
      <c r="E338" s="1841">
        <v>0.15</v>
      </c>
      <c r="F338" s="1863"/>
    </row>
    <row r="339" spans="1:6" ht="14.25" thickBot="1">
      <c r="A339" s="1839" t="s">
        <v>2225</v>
      </c>
      <c r="B339" s="1843" t="s">
        <v>2227</v>
      </c>
      <c r="C339" s="1844">
        <v>0.15</v>
      </c>
      <c r="D339" s="1844">
        <v>0.15</v>
      </c>
      <c r="E339" s="1844">
        <v>0.15</v>
      </c>
      <c r="F339" s="1852"/>
    </row>
    <row r="340" spans="1:6" ht="14.25" thickBot="1">
      <c r="A340" s="1839" t="s">
        <v>2225</v>
      </c>
      <c r="B340" s="1843" t="s">
        <v>2228</v>
      </c>
      <c r="C340" s="1844">
        <v>0.15</v>
      </c>
      <c r="D340" s="1844">
        <v>0.15</v>
      </c>
      <c r="E340" s="1844">
        <v>0.15</v>
      </c>
      <c r="F340" s="1852"/>
    </row>
    <row r="341" spans="1:6" ht="14.25" thickBot="1">
      <c r="A341" s="1839" t="s">
        <v>2229</v>
      </c>
      <c r="B341" s="1843" t="s">
        <v>2230</v>
      </c>
      <c r="C341" s="1844">
        <v>0.15</v>
      </c>
      <c r="D341" s="1844">
        <v>0.15</v>
      </c>
      <c r="E341" s="1844">
        <v>0.15</v>
      </c>
      <c r="F341" s="1845">
        <v>0.15</v>
      </c>
    </row>
    <row r="342" spans="1:6" ht="14.25" thickBot="1">
      <c r="A342" s="1839" t="s">
        <v>2225</v>
      </c>
      <c r="B342" s="1843" t="s">
        <v>2231</v>
      </c>
      <c r="C342" s="1844">
        <v>0.15</v>
      </c>
      <c r="D342" s="1844">
        <v>0.15</v>
      </c>
      <c r="E342" s="1844">
        <v>0.15</v>
      </c>
      <c r="F342" s="1845">
        <v>0.15</v>
      </c>
    </row>
    <row r="343" spans="1:6" ht="14.25" thickBot="1">
      <c r="A343" s="1839" t="s">
        <v>2225</v>
      </c>
      <c r="B343" s="1843" t="s">
        <v>2232</v>
      </c>
      <c r="C343" s="1844">
        <v>0.15</v>
      </c>
      <c r="D343" s="1844">
        <v>0.15</v>
      </c>
      <c r="E343" s="1844">
        <v>0.15</v>
      </c>
      <c r="F343" s="1845">
        <v>0.15</v>
      </c>
    </row>
    <row r="344" spans="1:6" ht="14.25" thickBot="1">
      <c r="A344" s="1847" t="s">
        <v>2225</v>
      </c>
      <c r="B344" s="1854" t="s">
        <v>2233</v>
      </c>
      <c r="C344" s="1849">
        <v>0.15</v>
      </c>
      <c r="D344" s="1849">
        <v>0.15</v>
      </c>
      <c r="E344" s="1849">
        <v>0.15</v>
      </c>
      <c r="F344" s="1855">
        <v>0.15</v>
      </c>
    </row>
  </sheetData>
  <sheetProtection password="C66D" sheet="1" objects="1" scenarios="1"/>
  <mergeCells count="1">
    <mergeCell ref="A1:B1"/>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受贵公司委托，我公司对北京市出让国有建设用地使用权市场价格进行了预评估。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96343.56平方米。根据《建设工程规划许可证》[]、《出让合同》[]，估价对象规划建筑面积为96343.56平方米。</v>
      </c>
    </row>
    <row r="7" spans="1:4" ht="56.25">
      <c r="A7" s="1779" t="s">
        <v>2741</v>
      </c>
    </row>
    <row r="8" spans="1:4" ht="18.75">
      <c r="A8" s="1778" t="s">
        <v>1904</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2022</v>
      </c>
    </row>
    <row r="11" spans="1:4" ht="18.75">
      <c r="A11" s="1764" t="str">
        <f>TEXT(项目基本情况!D3,"yyyy年m月d日;;")&amp;IF(项目基本情况!B3=项目基本情况!D3,"（评估专业人员勘察现场之日）","")</f>
        <v>2020年6月19日（评估专业人员勘察现场之日）</v>
      </c>
    </row>
    <row r="12" spans="1:4" ht="18.75">
      <c r="A12" s="1781" t="s">
        <v>2021</v>
      </c>
    </row>
    <row r="13" spans="1:4" ht="18.75">
      <c r="A13" s="1775" t="s">
        <v>2935</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根据《国有土地使用证》[]，估价对象（分摊）出让国有建设用地使用权面积为96343.56平方米。根据《建设工程规划许可证》[]、《出让合同》[]，估价对象规划建筑面积为96343.56平方米。</v>
      </c>
    </row>
    <row r="21" spans="1:1" ht="18.75">
      <c r="A21" s="1775" t="s">
        <v>2070</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2070年7月1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2071</v>
      </c>
    </row>
    <row r="25" spans="1:1" ht="75">
      <c r="A25" s="1775" t="str">
        <f>定义!C53</f>
        <v>本次估价的“出让国有建设用地使用权价格”是指在估价对象土地所有权为国家所有，使用权性质为出让，在公开市场条件下、于估价期日2020年6月19日，在规划利用条件下、设定土地开发程度为红线外“七通”、宗地内场地，设定用途为，剩余土地使用年限为的出让国有建设用地使用权价格。</v>
      </c>
    </row>
    <row r="26" spans="1:1" ht="18.75">
      <c r="A26" s="1775" t="str">
        <f>IF(项目基本情况!B9="市场价格","——",IF(项目基本情况!E8="抵押价格",定义!C54,IF(项目基本情况!E8="已注销",定义!C55,定义!C56)))</f>
        <v>——</v>
      </c>
    </row>
    <row r="27" spans="1:1" ht="18.7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5" t="str">
        <f>IF(项目基本情况!B9="市场价格","——",IF(项目基本情况!E9="——","",定义!C57))</f>
        <v>——</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2942</v>
      </c>
      <c r="B1" s="3050"/>
      <c r="C1" s="3050"/>
      <c r="D1" s="3050"/>
      <c r="E1" s="3050"/>
      <c r="F1" s="3050"/>
    </row>
    <row r="2" spans="1:6" ht="14.25">
      <c r="A2" s="3051" t="s">
        <v>2937</v>
      </c>
      <c r="B2" s="3052">
        <f ca="1">SUMIF(B7:B14,"&lt;&gt;#ref!",B7:B14)</f>
        <v>21677</v>
      </c>
      <c r="C2" s="3051" t="s">
        <v>2938</v>
      </c>
      <c r="D2" s="3050"/>
      <c r="E2" s="3050"/>
      <c r="F2" s="3050"/>
    </row>
    <row r="3" spans="1:6" ht="14.25">
      <c r="A3" s="3051" t="s">
        <v>2970</v>
      </c>
      <c r="B3" s="3052">
        <f ca="1">ROUND(B2*10000/E3,0)</f>
        <v>2250</v>
      </c>
      <c r="C3" s="3051" t="s">
        <v>2074</v>
      </c>
      <c r="D3" s="3051" t="s">
        <v>2939</v>
      </c>
      <c r="E3" s="3052">
        <f ca="1">SUMIF(E7:E14,"&lt;&gt;#ref!",E7:E14)</f>
        <v>96343.56</v>
      </c>
      <c r="F3" s="3050"/>
    </row>
    <row r="4" spans="1:6" ht="14.25">
      <c r="A4" s="3051" t="s">
        <v>2946</v>
      </c>
      <c r="B4" s="3052">
        <f ca="1">ROUND(B2*10000/E4,0)</f>
        <v>2250</v>
      </c>
      <c r="C4" s="3051" t="s">
        <v>2074</v>
      </c>
      <c r="D4" s="3051" t="s">
        <v>2947</v>
      </c>
      <c r="E4" s="3052">
        <f ca="1">SUMIF(F7:F14,"&lt;&gt;#ref!",F7:F14)</f>
        <v>96343.56</v>
      </c>
      <c r="F4" s="3050"/>
    </row>
    <row r="5" spans="1:6" ht="14.25">
      <c r="A5" s="3053"/>
      <c r="B5" s="1865"/>
      <c r="C5" s="1865"/>
      <c r="D5" s="1865"/>
      <c r="E5" s="1865"/>
      <c r="F5" s="3050"/>
    </row>
    <row r="6" spans="1:6" ht="28.5">
      <c r="A6" s="3054" t="s">
        <v>2943</v>
      </c>
      <c r="B6" s="3051" t="s">
        <v>2940</v>
      </c>
      <c r="C6" s="3052"/>
      <c r="D6" s="1865"/>
      <c r="E6" s="3051" t="s">
        <v>2941</v>
      </c>
      <c r="F6" s="3051" t="s">
        <v>2945</v>
      </c>
    </row>
    <row r="7" spans="1:6" ht="14.25">
      <c r="A7" s="260" t="s">
        <v>2944</v>
      </c>
      <c r="B7" s="3055">
        <f ca="1">SUMIF(INDIRECT("'"&amp;A7&amp;"'"&amp;"!A:A"),"总价",INDIRECT("'"&amp;A7&amp;"'"&amp;"!B:B"))</f>
        <v>21677</v>
      </c>
      <c r="C7" s="3051" t="s">
        <v>2938</v>
      </c>
      <c r="D7" s="1865"/>
      <c r="E7" s="3056">
        <f ca="1">SUMIF(INDIRECT("'"&amp;A7&amp;"'"&amp;"!C:C"),"建筑面积",INDIRECT("'"&amp;A7&amp;"'"&amp;"!D:D"))</f>
        <v>96343.56</v>
      </c>
      <c r="F7" s="3056">
        <f ca="1">SUMIF(INDIRECT("'"&amp;A7&amp;"'"&amp;"!E:E"),"土地面积",INDIRECT("'"&amp;A7&amp;"'"&amp;"!F:F"))</f>
        <v>96343.56</v>
      </c>
    </row>
    <row r="8" spans="1:6" ht="14.25">
      <c r="A8" s="260"/>
      <c r="B8" s="3055" t="e">
        <f t="shared" ref="B8:B14" ca="1" si="0">SUMIF(INDIRECT("'"&amp;A8&amp;"'"&amp;"!A:A"),"总价",INDIRECT("'"&amp;A8&amp;"'"&amp;"!B:B"))</f>
        <v>#REF!</v>
      </c>
      <c r="C8" s="3051" t="s">
        <v>2938</v>
      </c>
      <c r="D8" s="1865"/>
      <c r="E8" s="3056" t="e">
        <f t="shared" ref="E8:E14" ca="1" si="1">SUMIF(INDIRECT("'"&amp;A8&amp;"'"&amp;"!C:C"),"建筑面积",INDIRECT("'"&amp;A8&amp;"'"&amp;"!D:D"))</f>
        <v>#REF!</v>
      </c>
      <c r="F8" s="3056" t="e">
        <f t="shared" ref="F8:F14" ca="1" si="2">SUMIF(INDIRECT("'"&amp;A8&amp;"'"&amp;"!E:E"),"土地面积",INDIRECT("'"&amp;A8&amp;"'"&amp;"!F:F"))</f>
        <v>#REF!</v>
      </c>
    </row>
    <row r="9" spans="1:6" ht="14.25">
      <c r="A9" s="260"/>
      <c r="B9" s="3055" t="e">
        <f t="shared" ca="1" si="0"/>
        <v>#REF!</v>
      </c>
      <c r="C9" s="3051" t="s">
        <v>2938</v>
      </c>
      <c r="D9" s="1865"/>
      <c r="E9" s="3056" t="e">
        <f t="shared" ca="1" si="1"/>
        <v>#REF!</v>
      </c>
      <c r="F9" s="3056" t="e">
        <f t="shared" ca="1" si="2"/>
        <v>#REF!</v>
      </c>
    </row>
    <row r="10" spans="1:6" ht="14.25">
      <c r="A10" s="260"/>
      <c r="B10" s="3055" t="e">
        <f t="shared" ca="1" si="0"/>
        <v>#REF!</v>
      </c>
      <c r="C10" s="3051" t="s">
        <v>2938</v>
      </c>
      <c r="D10" s="1865"/>
      <c r="E10" s="3056" t="e">
        <f t="shared" ca="1" si="1"/>
        <v>#REF!</v>
      </c>
      <c r="F10" s="3056" t="e">
        <f t="shared" ca="1" si="2"/>
        <v>#REF!</v>
      </c>
    </row>
    <row r="11" spans="1:6" ht="14.25">
      <c r="A11" s="260"/>
      <c r="B11" s="3055" t="e">
        <f t="shared" ca="1" si="0"/>
        <v>#REF!</v>
      </c>
      <c r="C11" s="3051" t="s">
        <v>2938</v>
      </c>
      <c r="D11" s="1865"/>
      <c r="E11" s="3056" t="e">
        <f t="shared" ca="1" si="1"/>
        <v>#REF!</v>
      </c>
      <c r="F11" s="3056" t="e">
        <f t="shared" ca="1" si="2"/>
        <v>#REF!</v>
      </c>
    </row>
    <row r="12" spans="1:6" ht="14.25">
      <c r="A12" s="260"/>
      <c r="B12" s="3055" t="e">
        <f t="shared" ca="1" si="0"/>
        <v>#REF!</v>
      </c>
      <c r="C12" s="3051" t="s">
        <v>2938</v>
      </c>
      <c r="D12" s="1865"/>
      <c r="E12" s="3056" t="e">
        <f t="shared" ca="1" si="1"/>
        <v>#REF!</v>
      </c>
      <c r="F12" s="3056" t="e">
        <f t="shared" ca="1" si="2"/>
        <v>#REF!</v>
      </c>
    </row>
    <row r="13" spans="1:6" ht="14.25">
      <c r="A13" s="260"/>
      <c r="B13" s="3055" t="e">
        <f t="shared" ca="1" si="0"/>
        <v>#REF!</v>
      </c>
      <c r="C13" s="3051" t="s">
        <v>2938</v>
      </c>
      <c r="D13" s="1865"/>
      <c r="E13" s="3056" t="e">
        <f t="shared" ca="1" si="1"/>
        <v>#REF!</v>
      </c>
      <c r="F13" s="3056" t="e">
        <f t="shared" ca="1" si="2"/>
        <v>#REF!</v>
      </c>
    </row>
    <row r="14" spans="1:6" ht="14.25">
      <c r="A14" s="3049"/>
      <c r="B14" s="3055" t="e">
        <f t="shared" ca="1" si="0"/>
        <v>#REF!</v>
      </c>
      <c r="C14" s="3051" t="s">
        <v>2938</v>
      </c>
      <c r="D14" s="1865"/>
      <c r="E14" s="3056" t="e">
        <f t="shared" ca="1" si="1"/>
        <v>#REF!</v>
      </c>
      <c r="F14" s="3056"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2" sqref="C1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1723</v>
      </c>
      <c r="B1" s="738"/>
      <c r="C1" s="772" t="s">
        <v>979</v>
      </c>
      <c r="D1" s="3070" t="s">
        <v>950</v>
      </c>
      <c r="E1" s="2350" t="s">
        <v>2369</v>
      </c>
      <c r="F1" s="2351">
        <f ca="1">J53</f>
        <v>50</v>
      </c>
      <c r="G1" s="773">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1724</v>
      </c>
      <c r="B2" s="774">
        <f ca="1">C40+J29+L46</f>
        <v>70948</v>
      </c>
      <c r="C2" s="2041"/>
      <c r="D2" s="2039"/>
      <c r="E2" s="2040"/>
      <c r="F2" s="2040"/>
      <c r="G2" s="1575"/>
      <c r="H2" s="2041"/>
      <c r="I2" s="2041"/>
      <c r="J2" s="2041"/>
      <c r="K2" s="2042"/>
      <c r="L2" s="2041"/>
      <c r="M2" s="2041"/>
    </row>
    <row r="3" spans="1:33" ht="18" customHeight="1" thickBot="1">
      <c r="A3" s="832" t="s">
        <v>1725</v>
      </c>
      <c r="B3" s="833">
        <f ca="1">IF(ISERROR(B2*10000/F43),0,ROUND(B2*10000/F43,0))</f>
        <v>7364</v>
      </c>
      <c r="C3" s="2041"/>
      <c r="D3" s="2039"/>
      <c r="E3" s="2040"/>
      <c r="F3" s="2040"/>
      <c r="G3" s="1575"/>
      <c r="H3" s="775" t="s">
        <v>695</v>
      </c>
      <c r="I3" s="1357"/>
      <c r="J3" s="1357"/>
      <c r="K3" s="1576"/>
      <c r="L3" s="1357"/>
      <c r="M3" s="1357"/>
    </row>
    <row r="4" spans="1:33" ht="18" customHeight="1">
      <c r="A4" s="776" t="s">
        <v>1726</v>
      </c>
      <c r="B4" s="777" t="s">
        <v>1727</v>
      </c>
      <c r="C4" s="777" t="s">
        <v>1728</v>
      </c>
      <c r="D4" s="777" t="s">
        <v>633</v>
      </c>
      <c r="E4" s="778" t="s">
        <v>1729</v>
      </c>
      <c r="F4" s="779"/>
      <c r="G4" s="1577"/>
      <c r="H4" s="776" t="s">
        <v>1730</v>
      </c>
      <c r="I4" s="777" t="s">
        <v>1731</v>
      </c>
      <c r="J4" s="777" t="s">
        <v>1732</v>
      </c>
      <c r="K4" s="777" t="s">
        <v>1733</v>
      </c>
      <c r="L4" s="778" t="s">
        <v>1734</v>
      </c>
      <c r="M4" s="779"/>
    </row>
    <row r="5" spans="1:33" ht="18" customHeight="1">
      <c r="A5" s="780">
        <v>1</v>
      </c>
      <c r="B5" s="781" t="s">
        <v>2453</v>
      </c>
      <c r="C5" s="55">
        <f ca="1">C6+C10+C12</f>
        <v>3169</v>
      </c>
      <c r="D5" s="2459" t="s">
        <v>2456</v>
      </c>
      <c r="E5" s="2453"/>
      <c r="F5" s="2454"/>
      <c r="G5" s="1577"/>
      <c r="H5" s="780">
        <v>1</v>
      </c>
      <c r="I5" s="781" t="s">
        <v>2453</v>
      </c>
      <c r="J5" s="55">
        <f ca="1">J6+J10+J12</f>
        <v>0</v>
      </c>
      <c r="K5" s="2459" t="s">
        <v>2456</v>
      </c>
      <c r="L5" s="2453"/>
      <c r="M5" s="2454"/>
    </row>
    <row r="6" spans="1:33" ht="18" customHeight="1">
      <c r="A6" s="1814" t="s">
        <v>1822</v>
      </c>
      <c r="B6" s="3497" t="s">
        <v>2458</v>
      </c>
      <c r="C6" s="782">
        <f ca="1">ROUND(F6*F8*F7*(1-F9)/10000,0)</f>
        <v>3165</v>
      </c>
      <c r="D6" s="2460" t="s">
        <v>2457</v>
      </c>
      <c r="E6" s="783" t="s">
        <v>1736</v>
      </c>
      <c r="F6" s="784">
        <f ca="1">INDIRECT("'数据-取费表'!u"&amp;$G$1)</f>
        <v>1</v>
      </c>
      <c r="G6" s="1577"/>
      <c r="H6" s="2467" t="s">
        <v>2463</v>
      </c>
      <c r="I6" s="3497" t="s">
        <v>2458</v>
      </c>
      <c r="J6" s="782">
        <f ca="1">ROUND(M6*M8*M7*(1-M9)/10000,0)</f>
        <v>0</v>
      </c>
      <c r="K6" s="341" t="s">
        <v>1735</v>
      </c>
      <c r="L6" s="783" t="s">
        <v>1736</v>
      </c>
      <c r="M6" s="784">
        <f ca="1">INDIRECT("'数据-取费表'!z"&amp;$G$1)</f>
        <v>0</v>
      </c>
    </row>
    <row r="7" spans="1:33" ht="18" customHeight="1">
      <c r="A7" s="2463"/>
      <c r="B7" s="3498"/>
      <c r="C7" s="787"/>
      <c r="D7" s="788"/>
      <c r="E7" s="783" t="s">
        <v>1737</v>
      </c>
      <c r="F7" s="784">
        <f ca="1">IF(INDIRECT("'数据-取费表'!ah"&amp;$G$1)="",INDIRECT("'数据-取费表'!k"&amp;$G$1),INDIRECT("'数据-取费表'!ah"&amp;$G$1))</f>
        <v>96343.56</v>
      </c>
      <c r="G7" s="1577"/>
      <c r="H7" s="2452"/>
      <c r="I7" s="3498"/>
      <c r="J7" s="787"/>
      <c r="K7" s="788"/>
      <c r="L7" s="783" t="s">
        <v>1737</v>
      </c>
      <c r="M7" s="784">
        <f ca="1">F7</f>
        <v>96343.56</v>
      </c>
    </row>
    <row r="8" spans="1:33" ht="18" customHeight="1">
      <c r="A8" s="2456"/>
      <c r="B8" s="3499"/>
      <c r="C8" s="787"/>
      <c r="D8" s="788"/>
      <c r="E8" s="783" t="s">
        <v>1738</v>
      </c>
      <c r="F8" s="784">
        <f ca="1">INDIRECT("'数据-取费表'!ai"&amp;$G$1)</f>
        <v>365</v>
      </c>
      <c r="G8" s="1577"/>
      <c r="H8" s="2452"/>
      <c r="I8" s="3499"/>
      <c r="J8" s="787"/>
      <c r="K8" s="788"/>
      <c r="L8" s="783" t="s">
        <v>1738</v>
      </c>
      <c r="M8" s="784">
        <f ca="1">INDIRECT("'数据-取费表'!ai"&amp;$G$1)</f>
        <v>365</v>
      </c>
    </row>
    <row r="9" spans="1:33" ht="18" customHeight="1">
      <c r="A9" s="785"/>
      <c r="B9" s="3500"/>
      <c r="C9" s="787"/>
      <c r="D9" s="788"/>
      <c r="E9" s="783" t="s">
        <v>1739</v>
      </c>
      <c r="F9" s="793">
        <f ca="1">INDIRECT("'数据-取费表'!w"&amp;$G$1)</f>
        <v>0.1</v>
      </c>
      <c r="G9" s="1577"/>
      <c r="H9" s="2468"/>
      <c r="I9" s="3499"/>
      <c r="J9" s="787"/>
      <c r="K9" s="788"/>
      <c r="L9" s="794" t="s">
        <v>1739</v>
      </c>
      <c r="M9" s="795">
        <f ca="1">INDIRECT("'数据-取费表'!ab"&amp;$G$1)</f>
        <v>0</v>
      </c>
    </row>
    <row r="10" spans="1:33" ht="18" customHeight="1">
      <c r="A10" s="1814" t="s">
        <v>2461</v>
      </c>
      <c r="B10" s="2457" t="s">
        <v>2454</v>
      </c>
      <c r="C10" s="798">
        <f ca="1">ROUND(IF(F10="押一",C6/12*F11,IF(F10="押二",C6/12*2*F11,IF(F10="押三",C6/12*3*F11,C11*F11))),0)</f>
        <v>4</v>
      </c>
      <c r="D10" s="2464" t="s">
        <v>2967</v>
      </c>
      <c r="E10" s="2461" t="s">
        <v>2459</v>
      </c>
      <c r="F10" s="2584" t="s">
        <v>3172</v>
      </c>
      <c r="G10" s="1577"/>
      <c r="H10" s="2524" t="s">
        <v>2464</v>
      </c>
      <c r="I10" s="2529" t="s">
        <v>2454</v>
      </c>
      <c r="J10" s="782">
        <f ca="1">ROUND(IF(M10="押一",J6/12*M11,IF(M10="押二",J6/12*2*M11,IF(M10="押三",J6/12*3*M11,J11*M11))),0)</f>
        <v>0</v>
      </c>
      <c r="K10" s="2464" t="s">
        <v>2967</v>
      </c>
      <c r="L10" s="2461" t="s">
        <v>2459</v>
      </c>
      <c r="M10" s="2584"/>
    </row>
    <row r="11" spans="1:33" ht="18" customHeight="1">
      <c r="A11" s="789"/>
      <c r="B11" s="2458" t="s">
        <v>2568</v>
      </c>
      <c r="C11" s="2462"/>
      <c r="D11" s="788"/>
      <c r="E11" s="2461" t="s">
        <v>2460</v>
      </c>
      <c r="F11" s="795">
        <f ca="1">'数据-取费表'!B39</f>
        <v>1.4999999999999999E-2</v>
      </c>
      <c r="G11" s="1577"/>
      <c r="H11" s="2525"/>
      <c r="I11" s="2458" t="s">
        <v>2568</v>
      </c>
      <c r="J11" s="2462"/>
      <c r="K11" s="2526"/>
      <c r="L11" s="2461" t="s">
        <v>2460</v>
      </c>
      <c r="M11" s="2455">
        <f ca="1">'数据-取费表'!B39</f>
        <v>1.4999999999999999E-2</v>
      </c>
    </row>
    <row r="12" spans="1:33" ht="18" customHeight="1" thickBot="1">
      <c r="A12" s="2500" t="s">
        <v>2462</v>
      </c>
      <c r="B12" s="2501" t="s">
        <v>2455</v>
      </c>
      <c r="C12" s="2502"/>
      <c r="D12" s="2503"/>
      <c r="E12" s="2504"/>
      <c r="F12" s="2505"/>
      <c r="G12" s="1577"/>
      <c r="H12" s="2514" t="s">
        <v>2465</v>
      </c>
      <c r="I12" s="2527" t="s">
        <v>2455</v>
      </c>
      <c r="J12" s="2528"/>
      <c r="K12" s="2503"/>
      <c r="L12" s="2504"/>
      <c r="M12" s="2517"/>
    </row>
    <row r="13" spans="1:33" ht="18" customHeight="1" thickTop="1">
      <c r="A13" s="1813">
        <v>2</v>
      </c>
      <c r="B13" s="1811" t="s">
        <v>1740</v>
      </c>
      <c r="C13" s="791">
        <f ca="1">ROUND(C29*F13,0)</f>
        <v>21096</v>
      </c>
      <c r="D13" s="1818" t="s">
        <v>2292</v>
      </c>
      <c r="E13" s="1818" t="s">
        <v>1742</v>
      </c>
      <c r="F13" s="2499">
        <f ca="1">INDIRECT("'数据-取费表'!y"&amp;$G$1)</f>
        <v>1</v>
      </c>
      <c r="G13" s="1577"/>
      <c r="H13" s="1813">
        <v>2</v>
      </c>
      <c r="I13" s="1811" t="s">
        <v>1740</v>
      </c>
      <c r="J13" s="1803">
        <f ca="1">ROUND(J14*J15,0)</f>
        <v>0</v>
      </c>
      <c r="K13" s="1805" t="s">
        <v>1741</v>
      </c>
      <c r="L13" s="2515"/>
      <c r="M13" s="2516"/>
    </row>
    <row r="14" spans="1:33" ht="18" customHeight="1">
      <c r="A14" s="1632" t="s">
        <v>1882</v>
      </c>
      <c r="B14" s="783" t="s">
        <v>645</v>
      </c>
      <c r="C14" s="803">
        <f ca="1">INDIRECT("'数据-取费表'!m"&amp;$G$1)+INDIRECT("'数据-取费表'!t"&amp;$G$1)</f>
        <v>14452</v>
      </c>
      <c r="D14" s="1963" t="s">
        <v>1743</v>
      </c>
      <c r="E14" s="1964"/>
      <c r="F14" s="804"/>
      <c r="G14" s="1577"/>
      <c r="H14" s="1633" t="s">
        <v>1828</v>
      </c>
      <c r="I14" s="2215" t="s">
        <v>2819</v>
      </c>
      <c r="J14" s="53">
        <f ca="1">C29</f>
        <v>21096</v>
      </c>
      <c r="K14" s="26"/>
      <c r="L14" s="800"/>
      <c r="M14" s="801"/>
    </row>
    <row r="15" spans="1:33" s="2048" customFormat="1" ht="18" customHeight="1" thickBot="1">
      <c r="A15" s="1632" t="s">
        <v>1883</v>
      </c>
      <c r="B15" s="783" t="s">
        <v>647</v>
      </c>
      <c r="C15" s="53">
        <f ca="1">ROUND(C14*F15,0)</f>
        <v>434</v>
      </c>
      <c r="D15" s="805" t="s">
        <v>1744</v>
      </c>
      <c r="E15" s="805" t="s">
        <v>1745</v>
      </c>
      <c r="F15" s="806">
        <f>'数据-取费表'!B33</f>
        <v>0.03</v>
      </c>
      <c r="G15" s="1578"/>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1884</v>
      </c>
      <c r="B16" s="783" t="s">
        <v>650</v>
      </c>
      <c r="C16" s="53">
        <f ca="1">ROUND(INDIRECT("'数据-取费表'!m"&amp;$G$1)*F16,0)</f>
        <v>0</v>
      </c>
      <c r="D16" s="783" t="s">
        <v>1744</v>
      </c>
      <c r="E16" s="783" t="s">
        <v>1745</v>
      </c>
      <c r="F16" s="808">
        <f ca="1">IF(INDIRECT("'数据-取费表'!c"&amp;$G$1)="住宅",'数据-取费表'!B34,0)</f>
        <v>0</v>
      </c>
      <c r="G16" s="1577"/>
      <c r="H16" s="1813" t="s">
        <v>1746</v>
      </c>
      <c r="I16" s="1811" t="s">
        <v>1747</v>
      </c>
      <c r="J16" s="791">
        <f ca="1">ROUND(J17+J22+J23+J24,0)</f>
        <v>613</v>
      </c>
      <c r="K16" s="1805" t="s">
        <v>1748</v>
      </c>
      <c r="L16" s="2449"/>
      <c r="M16" s="2454"/>
    </row>
    <row r="17" spans="1:33" s="2048" customFormat="1" ht="18" customHeight="1">
      <c r="A17" s="1632" t="s">
        <v>1885</v>
      </c>
      <c r="B17" s="783" t="s">
        <v>653</v>
      </c>
      <c r="C17" s="53">
        <f ca="1">ROUND(F17*(F43+INDIRECT("'数据-取费表'!S"&amp;$G$1))/10000,0)</f>
        <v>1927</v>
      </c>
      <c r="D17" s="783" t="s">
        <v>1749</v>
      </c>
      <c r="E17" s="783" t="s">
        <v>1750</v>
      </c>
      <c r="F17" s="56">
        <f>'数据-取费表'!B35</f>
        <v>200</v>
      </c>
      <c r="G17" s="1578"/>
      <c r="H17" s="1633" t="s">
        <v>1828</v>
      </c>
      <c r="I17" s="783" t="s">
        <v>656</v>
      </c>
      <c r="J17" s="53">
        <f ca="1">ROUND(IF(项目基本情况!B11="自然人",J6*M17/(1+'数据-取费表'!C42),J18+J19+J20),0)</f>
        <v>191</v>
      </c>
      <c r="K17" s="2448" t="s">
        <v>1751</v>
      </c>
      <c r="L17" s="2447" t="s">
        <v>1752</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1886</v>
      </c>
      <c r="B18" s="783" t="s">
        <v>659</v>
      </c>
      <c r="C18" s="53">
        <f ca="1">ROUND(C14*F18,0)</f>
        <v>217</v>
      </c>
      <c r="D18" s="783" t="s">
        <v>1744</v>
      </c>
      <c r="E18" s="783" t="s">
        <v>1745</v>
      </c>
      <c r="F18" s="808">
        <f>'数据-取费表'!B36</f>
        <v>1.4999999999999999E-2</v>
      </c>
      <c r="G18" s="1578"/>
      <c r="H18" s="1632" t="s">
        <v>1882</v>
      </c>
      <c r="I18" s="783" t="s">
        <v>1753</v>
      </c>
      <c r="J18" s="53">
        <f ca="1">ROUND(J6*M18/(1+'数据-取费表'!C42),1)</f>
        <v>0</v>
      </c>
      <c r="K18" s="2447" t="s">
        <v>1754</v>
      </c>
      <c r="L18" s="783" t="s">
        <v>1745</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1828</v>
      </c>
      <c r="B19" s="783" t="s">
        <v>662</v>
      </c>
      <c r="C19" s="53">
        <f ca="1">SUM(C14:C18)</f>
        <v>17030</v>
      </c>
      <c r="D19" s="261" t="s">
        <v>1755</v>
      </c>
      <c r="E19" s="1966"/>
      <c r="F19" s="56"/>
      <c r="G19" s="1577"/>
      <c r="H19" s="1632" t="s">
        <v>1883</v>
      </c>
      <c r="I19" s="783" t="s">
        <v>1756</v>
      </c>
      <c r="J19" s="53">
        <f ca="1">IF(K19="按租金收入计税",ROUND(J6*M19/(1+'数据-取费表'!C42),1),ROUND(C29*F33*0.7,1))</f>
        <v>177.2</v>
      </c>
      <c r="K19" s="810" t="s">
        <v>665</v>
      </c>
      <c r="L19" s="783" t="s">
        <v>1745</v>
      </c>
      <c r="M19" s="808">
        <f>IF(K19="按租金收入计税",'数据-取费表'!B51,'数据-取费表'!B50)</f>
        <v>1.2E-2</v>
      </c>
    </row>
    <row r="20" spans="1:33" s="2048" customFormat="1" ht="18" customHeight="1">
      <c r="A20" s="1633" t="s">
        <v>1887</v>
      </c>
      <c r="B20" s="783" t="s">
        <v>666</v>
      </c>
      <c r="C20" s="53">
        <f ca="1">ROUND(C19*F20,0)</f>
        <v>341</v>
      </c>
      <c r="D20" s="811" t="s">
        <v>1757</v>
      </c>
      <c r="E20" s="783" t="s">
        <v>1745</v>
      </c>
      <c r="F20" s="808">
        <f>'数据-取费表'!B37</f>
        <v>0.02</v>
      </c>
      <c r="G20" s="1578"/>
      <c r="H20" s="1635" t="s">
        <v>1878</v>
      </c>
      <c r="I20" s="341" t="s">
        <v>1758</v>
      </c>
      <c r="J20" s="54">
        <f ca="1">ROUND(M20*M21/10000,0)</f>
        <v>14</v>
      </c>
      <c r="K20" s="813" t="s">
        <v>1759</v>
      </c>
      <c r="L20" s="783" t="s">
        <v>1760</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1888</v>
      </c>
      <c r="B21" s="783" t="s">
        <v>1761</v>
      </c>
      <c r="C21" s="53" t="s">
        <v>1762</v>
      </c>
      <c r="D21" s="811" t="s">
        <v>2293</v>
      </c>
      <c r="E21" s="783" t="s">
        <v>1763</v>
      </c>
      <c r="F21" s="808">
        <f>'数据-取费表'!B38</f>
        <v>0.02</v>
      </c>
      <c r="G21" s="1578"/>
      <c r="H21" s="2469"/>
      <c r="I21" s="792"/>
      <c r="J21" s="69"/>
      <c r="K21" s="815"/>
      <c r="L21" s="783" t="s">
        <v>1764</v>
      </c>
      <c r="M21" s="784">
        <f ca="1">INDIRECT("'数据-取费表'!r"&amp;$G$1)</f>
        <v>96343.56</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1889</v>
      </c>
      <c r="B22" s="783" t="s">
        <v>1765</v>
      </c>
      <c r="C22" s="53"/>
      <c r="D22" s="2535" t="str">
        <f>IF(F23&lt;=1,"单利计息。","复利计息。")&amp;"建造成本、管理费用、销售费用产生的利息。"</f>
        <v>单利计息。建造成本、管理费用、销售费用产生的利息。</v>
      </c>
      <c r="E22" s="1966"/>
      <c r="F22" s="56"/>
      <c r="G22" s="1577"/>
      <c r="H22" s="1633" t="s">
        <v>1887</v>
      </c>
      <c r="I22" s="783" t="s">
        <v>1766</v>
      </c>
      <c r="J22" s="53">
        <f ca="1">ROUND(J14*M22,0)</f>
        <v>422</v>
      </c>
      <c r="K22" s="2447" t="s">
        <v>1767</v>
      </c>
      <c r="L22" s="783" t="s">
        <v>1745</v>
      </c>
      <c r="M22" s="816">
        <f ca="1">INDIRECT("'数据-取费表'!Ak"&amp;$G$1)</f>
        <v>0.02</v>
      </c>
    </row>
    <row r="23" spans="1:33" s="2048" customFormat="1" ht="18" customHeight="1">
      <c r="A23" s="1632" t="s">
        <v>1829</v>
      </c>
      <c r="B23" s="783" t="s">
        <v>2530</v>
      </c>
      <c r="C23" s="53">
        <f ca="1">ROUND(IF('数据-取费表'!B22&lt;=1,(C19+C20)*F24*F23/2,(C19+C20)*(POWER((1+F24),F23/2)-1)),0)</f>
        <v>408</v>
      </c>
      <c r="D23" s="2534" t="str">
        <f>IF(F23&lt;=1,"(建造成本+管理费用)×利率×(建设周期÷2)","(建造成本+管理费用)×((1+利率)^(建设周期÷2)-1)")</f>
        <v>(建造成本+管理费用)×利率×(建设周期÷2)</v>
      </c>
      <c r="E23" s="783" t="s">
        <v>1768</v>
      </c>
      <c r="F23" s="640">
        <f>'数据-取费表'!B20</f>
        <v>1</v>
      </c>
      <c r="G23" s="1578"/>
      <c r="H23" s="1633" t="s">
        <v>1888</v>
      </c>
      <c r="I23" s="783" t="s">
        <v>679</v>
      </c>
      <c r="J23" s="53">
        <f ca="1">ROUND(J13*M23,0)</f>
        <v>0</v>
      </c>
      <c r="K23" s="2447" t="s">
        <v>1769</v>
      </c>
      <c r="L23" s="783" t="s">
        <v>1745</v>
      </c>
      <c r="M23" s="817">
        <f ca="1">INDIRECT("'数据-取费表'!Al"&amp;$G$1)</f>
        <v>2E-3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1830</v>
      </c>
      <c r="B24" s="783" t="s">
        <v>1770</v>
      </c>
      <c r="C24" s="53">
        <f ca="1">ROUND(IF('数据-取费表'!B22&lt;=1,F21*F24*F23/2,F21*(POWER((1+F24),F23/2)-1)),4)</f>
        <v>5.0000000000000001E-4</v>
      </c>
      <c r="D24" s="2534" t="str">
        <f>IF(F23&lt;=1,"销售费用×利率×(建设周期÷2)","销售费用×((1+利率)^(建设周期÷2)-1)")</f>
        <v>销售费用×利率×(建设周期÷2)</v>
      </c>
      <c r="E24" s="783" t="s">
        <v>1771</v>
      </c>
      <c r="F24" s="818">
        <f ca="1">'数据-取费表'!B40</f>
        <v>4.7500000000000001E-2</v>
      </c>
      <c r="G24" s="1578"/>
      <c r="H24" s="2514" t="s">
        <v>1889</v>
      </c>
      <c r="I24" s="2509" t="s">
        <v>666</v>
      </c>
      <c r="J24" s="2507">
        <f ca="1">ROUND(J5*M24,0)</f>
        <v>0</v>
      </c>
      <c r="K24" s="2508" t="s">
        <v>1772</v>
      </c>
      <c r="L24" s="2509" t="s">
        <v>1745</v>
      </c>
      <c r="M24" s="2505">
        <f ca="1">INDIRECT("'数据-取费表'!Am"&amp;$G$1)</f>
        <v>0.02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1838</v>
      </c>
      <c r="B25" s="783" t="s">
        <v>684</v>
      </c>
      <c r="C25" s="53"/>
      <c r="D25" s="261" t="s">
        <v>1773</v>
      </c>
      <c r="E25" s="1966"/>
      <c r="F25" s="56"/>
      <c r="G25" s="1577"/>
      <c r="H25" s="1813" t="s">
        <v>1774</v>
      </c>
      <c r="I25" s="2961" t="s">
        <v>2815</v>
      </c>
      <c r="J25" s="791">
        <f ca="1">J5-J16</f>
        <v>-613</v>
      </c>
      <c r="K25" s="2511" t="s">
        <v>1775</v>
      </c>
      <c r="L25" s="2512"/>
      <c r="M25" s="2513"/>
    </row>
    <row r="26" spans="1:33" ht="18" customHeight="1">
      <c r="A26" s="1632" t="s">
        <v>1829</v>
      </c>
      <c r="B26" s="783" t="s">
        <v>2433</v>
      </c>
      <c r="C26" s="53">
        <f ca="1">ROUND((C19+C20)*F26,0)</f>
        <v>1737</v>
      </c>
      <c r="D26" s="811" t="s">
        <v>1776</v>
      </c>
      <c r="E26" s="794" t="s">
        <v>1777</v>
      </c>
      <c r="F26" s="793">
        <f ca="1">INDIRECT("'数据-取费表'!q"&amp;$G$1)</f>
        <v>0.1</v>
      </c>
      <c r="G26" s="1577"/>
      <c r="H26" s="2465" t="s">
        <v>1778</v>
      </c>
      <c r="I26" s="2216" t="s">
        <v>2820</v>
      </c>
      <c r="J26" s="782">
        <f ca="1">IF(J5&lt;&gt;0,ROUND(J25*(1-((1+M28)/(1+M26))^M27)/(M26-M28),0),0)</f>
        <v>0</v>
      </c>
      <c r="K26" s="813" t="s">
        <v>1779</v>
      </c>
      <c r="L26" s="783" t="s">
        <v>2414</v>
      </c>
      <c r="M26" s="793">
        <f ca="1">INDIRECT("'数据-取费表'!I"&amp;$G$1)</f>
        <v>0.04</v>
      </c>
    </row>
    <row r="27" spans="1:33" ht="18" customHeight="1">
      <c r="A27" s="1632" t="s">
        <v>1830</v>
      </c>
      <c r="B27" s="783" t="s">
        <v>686</v>
      </c>
      <c r="C27" s="53">
        <f ca="1">ROUND(F21*F26,4)</f>
        <v>2E-3</v>
      </c>
      <c r="D27" s="811" t="s">
        <v>1780</v>
      </c>
      <c r="E27" s="805"/>
      <c r="F27" s="806"/>
      <c r="G27" s="1577"/>
      <c r="H27" s="2466"/>
      <c r="I27" s="786"/>
      <c r="J27" s="787"/>
      <c r="K27" s="820" t="s">
        <v>1781</v>
      </c>
      <c r="L27" s="783" t="s">
        <v>1782</v>
      </c>
      <c r="M27" s="821">
        <f ca="1">INDIRECT("'数据-取费表'!ag"&amp;$G$1)</f>
        <v>0</v>
      </c>
    </row>
    <row r="28" spans="1:33" s="2048" customFormat="1" ht="18" customHeight="1">
      <c r="A28" s="1634" t="s">
        <v>1839</v>
      </c>
      <c r="B28" s="783" t="s">
        <v>687</v>
      </c>
      <c r="C28" s="53">
        <f>ROUND(F28/(1+'数据-取费表'!C42),4)</f>
        <v>5.2400000000000002E-2</v>
      </c>
      <c r="D28" s="811" t="s">
        <v>2294</v>
      </c>
      <c r="E28" s="783" t="s">
        <v>1783</v>
      </c>
      <c r="F28" s="808">
        <f>'数据-取费表'!B41</f>
        <v>5.5000000000000007E-2</v>
      </c>
      <c r="G28" s="1578"/>
      <c r="H28" s="1813"/>
      <c r="I28" s="790"/>
      <c r="J28" s="791"/>
      <c r="K28" s="815"/>
      <c r="L28" s="783" t="s">
        <v>1784</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2295</v>
      </c>
      <c r="C29" s="2507">
        <f ca="1">ROUND((C19+C20+C23+C26)/(1-F21-C24-C27-C28),0)</f>
        <v>21096</v>
      </c>
      <c r="D29" s="2508"/>
      <c r="E29" s="2509"/>
      <c r="F29" s="2510"/>
      <c r="G29" s="1578"/>
      <c r="H29" s="822" t="s">
        <v>1785</v>
      </c>
      <c r="I29" s="823" t="s">
        <v>1786</v>
      </c>
      <c r="J29" s="824">
        <f ca="1">ROUND(J26/(1+F40)^F41,0)</f>
        <v>0</v>
      </c>
      <c r="K29" s="825" t="s">
        <v>1787</v>
      </c>
      <c r="L29" s="826"/>
      <c r="M29" s="827">
        <f ca="1">INDIRECT("'数据-取费表'!k"&amp;$G$1)</f>
        <v>96343.56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1">
        <f ca="1">ROUND(C31+C36+C37+C38,0)</f>
        <v>885</v>
      </c>
      <c r="D30" s="1805" t="s">
        <v>1789</v>
      </c>
      <c r="E30" s="2449"/>
      <c r="F30" s="2454"/>
      <c r="G30" s="2046"/>
      <c r="H30" s="2049"/>
      <c r="I30" s="2050"/>
      <c r="J30" s="2051"/>
      <c r="K30" s="2052"/>
      <c r="L30" s="2053"/>
      <c r="M30" s="2054"/>
    </row>
    <row r="31" spans="1:33" ht="18" customHeight="1">
      <c r="A31" s="1633" t="s">
        <v>1828</v>
      </c>
      <c r="B31" s="783" t="s">
        <v>656</v>
      </c>
      <c r="C31" s="53">
        <f ca="1">ROUND(IF(项目基本情况!B11="自然人",C6*F31/(1+'数据-取费表'!C42),C32+C33+C34),1)</f>
        <v>357.5</v>
      </c>
      <c r="D31" s="1963" t="s">
        <v>1790</v>
      </c>
      <c r="E31" s="1961" t="s">
        <v>1791</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1829</v>
      </c>
      <c r="B32" s="783" t="s">
        <v>1792</v>
      </c>
      <c r="C32" s="53">
        <f ca="1">ROUND(C6*F32/(1+'数据-取费表'!C42),1)</f>
        <v>165.8</v>
      </c>
      <c r="D32" s="1961" t="s">
        <v>1793</v>
      </c>
      <c r="E32" s="783" t="s">
        <v>1794</v>
      </c>
      <c r="F32" s="808">
        <f>'数据-取费表'!B41</f>
        <v>5.5000000000000007E-2</v>
      </c>
      <c r="G32" s="2046"/>
      <c r="H32" s="2055"/>
      <c r="I32" s="2056"/>
      <c r="J32" s="2057"/>
      <c r="K32" s="2058"/>
      <c r="L32" s="2059"/>
      <c r="M32" s="2060"/>
    </row>
    <row r="33" spans="1:18" ht="18" customHeight="1">
      <c r="A33" s="1632" t="s">
        <v>1830</v>
      </c>
      <c r="B33" s="783" t="s">
        <v>1795</v>
      </c>
      <c r="C33" s="53">
        <f ca="1">IF(D33="按租金收入计税",ROUND(C6*F33/(1+'数据-取费表'!C42),1),IF(D33="按房产原值计税",ROUND(C29*F33*0.7,1),INDIRECT("'数据-取费表'!Aj"&amp;$G$1)))</f>
        <v>177.2</v>
      </c>
      <c r="D33" s="810" t="s">
        <v>1678</v>
      </c>
      <c r="E33" s="783" t="s">
        <v>1794</v>
      </c>
      <c r="F33" s="808">
        <f>IF(D33="按租金收入计税",'数据-取费表'!B51,'数据-取费表'!B50)</f>
        <v>1.2E-2</v>
      </c>
      <c r="G33" s="2046"/>
      <c r="H33" s="2061"/>
      <c r="I33" s="2061"/>
      <c r="J33" s="2061"/>
      <c r="K33" s="2062"/>
      <c r="L33" s="2061"/>
      <c r="M33" s="2061"/>
    </row>
    <row r="34" spans="1:18" ht="18" customHeight="1">
      <c r="A34" s="1635" t="s">
        <v>1831</v>
      </c>
      <c r="B34" s="341" t="s">
        <v>1796</v>
      </c>
      <c r="C34" s="54">
        <f ca="1">ROUND(F34*F35/10000,1)</f>
        <v>14.5</v>
      </c>
      <c r="D34" s="813" t="s">
        <v>1797</v>
      </c>
      <c r="E34" s="783" t="s">
        <v>1798</v>
      </c>
      <c r="F34" s="640">
        <f>'数据-取费表'!B52</f>
        <v>1.5</v>
      </c>
      <c r="G34" s="2046"/>
      <c r="H34" s="2049"/>
      <c r="I34" s="834" t="s">
        <v>1811</v>
      </c>
      <c r="J34" s="835"/>
      <c r="K34" s="2064"/>
      <c r="L34" s="2063"/>
      <c r="M34" s="2063"/>
    </row>
    <row r="35" spans="1:18" ht="18" customHeight="1">
      <c r="A35" s="814"/>
      <c r="B35" s="792"/>
      <c r="C35" s="69"/>
      <c r="D35" s="815"/>
      <c r="E35" s="783" t="s">
        <v>1799</v>
      </c>
      <c r="F35" s="784">
        <f ca="1">INDIRECT("'数据-取费表'!r"&amp;$G$1)</f>
        <v>96343.56</v>
      </c>
      <c r="G35" s="2046"/>
      <c r="H35" s="2049"/>
      <c r="I35" s="836" t="s">
        <v>1812</v>
      </c>
      <c r="J35" s="837">
        <f ca="1">ROUND(C13*J36,0)</f>
        <v>1688</v>
      </c>
      <c r="K35" s="2062"/>
      <c r="L35" s="2061"/>
      <c r="M35" s="2061"/>
    </row>
    <row r="36" spans="1:18" ht="18" customHeight="1">
      <c r="A36" s="1633" t="s">
        <v>1887</v>
      </c>
      <c r="B36" s="783" t="s">
        <v>1800</v>
      </c>
      <c r="C36" s="53">
        <f ca="1">ROUND(C29*F36,1)</f>
        <v>421.9</v>
      </c>
      <c r="D36" s="1961" t="s">
        <v>1801</v>
      </c>
      <c r="E36" s="783" t="s">
        <v>1794</v>
      </c>
      <c r="F36" s="816">
        <f ca="1">INDIRECT("'数据-取费表'!Ak"&amp;$G$1)</f>
        <v>0.02</v>
      </c>
      <c r="G36" s="2046"/>
      <c r="H36" s="2061"/>
      <c r="I36" s="838" t="s">
        <v>1813</v>
      </c>
      <c r="J36" s="839">
        <f ca="1">INDIRECT("'数据-取费表'!j"&amp;$G$1)</f>
        <v>0.08</v>
      </c>
      <c r="K36" s="2066"/>
      <c r="L36" s="2061"/>
      <c r="M36" s="2061"/>
    </row>
    <row r="37" spans="1:18" ht="18" customHeight="1">
      <c r="A37" s="1633" t="s">
        <v>1888</v>
      </c>
      <c r="B37" s="783" t="s">
        <v>679</v>
      </c>
      <c r="C37" s="53">
        <f ca="1">ROUND(C13*F37,1)</f>
        <v>42.2</v>
      </c>
      <c r="D37" s="1961" t="s">
        <v>1802</v>
      </c>
      <c r="E37" s="783" t="s">
        <v>1794</v>
      </c>
      <c r="F37" s="817">
        <f ca="1">INDIRECT("'数据-取费表'!Al"&amp;$G$1)</f>
        <v>2E-3</v>
      </c>
      <c r="G37" s="2046"/>
      <c r="H37" s="2061"/>
      <c r="I37" s="840" t="s">
        <v>1814</v>
      </c>
      <c r="J37" s="841"/>
      <c r="K37" s="2066"/>
      <c r="L37" s="2061"/>
      <c r="M37" s="2061"/>
    </row>
    <row r="38" spans="1:18" ht="18" customHeight="1" thickBot="1">
      <c r="A38" s="2514" t="s">
        <v>1889</v>
      </c>
      <c r="B38" s="2509" t="s">
        <v>666</v>
      </c>
      <c r="C38" s="2507">
        <f ca="1">ROUND(C5*F38,1)</f>
        <v>63.4</v>
      </c>
      <c r="D38" s="2508" t="s">
        <v>1803</v>
      </c>
      <c r="E38" s="2509" t="s">
        <v>1794</v>
      </c>
      <c r="F38" s="2505">
        <f ca="1">INDIRECT("'数据-取费表'!Am"&amp;$G$1)</f>
        <v>0.02</v>
      </c>
      <c r="G38" s="2046"/>
      <c r="H38" s="2061"/>
      <c r="I38" s="842" t="s">
        <v>1815</v>
      </c>
      <c r="J38" s="843"/>
      <c r="K38" s="2067"/>
      <c r="L38" s="2061"/>
      <c r="M38" s="2061"/>
    </row>
    <row r="39" spans="1:18" ht="24.6" customHeight="1" thickTop="1">
      <c r="A39" s="1813" t="s">
        <v>1892</v>
      </c>
      <c r="B39" s="2961" t="s">
        <v>2815</v>
      </c>
      <c r="C39" s="791">
        <f ca="1">C5-C30</f>
        <v>2284</v>
      </c>
      <c r="D39" s="2511" t="s">
        <v>1804</v>
      </c>
      <c r="E39" s="2512"/>
      <c r="F39" s="2513"/>
      <c r="G39" s="2046"/>
      <c r="H39" s="2061"/>
      <c r="I39" s="836" t="s">
        <v>1816</v>
      </c>
      <c r="J39" s="844">
        <f ca="1">ROUND(J35/C39,3)</f>
        <v>0.73899999999999999</v>
      </c>
      <c r="K39" s="2067"/>
      <c r="L39" s="2061"/>
      <c r="M39" s="2061"/>
    </row>
    <row r="40" spans="1:18" ht="18" customHeight="1">
      <c r="A40" s="780" t="s">
        <v>1893</v>
      </c>
      <c r="B40" s="2216" t="s">
        <v>2296</v>
      </c>
      <c r="C40" s="782">
        <f ca="1">ROUND(C39*(1-((1+F42)/(1+F40))^F41)/(F40-F42),0)</f>
        <v>70948</v>
      </c>
      <c r="D40" s="813" t="s">
        <v>1805</v>
      </c>
      <c r="E40" s="783" t="s">
        <v>2414</v>
      </c>
      <c r="F40" s="793">
        <f ca="1">INDIRECT("'数据-取费表'!I"&amp;$G$1)</f>
        <v>0.04</v>
      </c>
      <c r="G40" s="2046"/>
      <c r="H40" s="2046"/>
      <c r="I40" s="836" t="s">
        <v>1817</v>
      </c>
      <c r="J40" s="844">
        <f ca="1">1-J39</f>
        <v>0.26100000000000001</v>
      </c>
      <c r="K40" s="2067"/>
      <c r="L40" s="2046"/>
      <c r="M40" s="2046"/>
    </row>
    <row r="41" spans="1:18" ht="18" customHeight="1">
      <c r="A41" s="785"/>
      <c r="B41" s="786"/>
      <c r="C41" s="787"/>
      <c r="D41" s="820" t="s">
        <v>1806</v>
      </c>
      <c r="E41" s="783" t="s">
        <v>2957</v>
      </c>
      <c r="F41" s="821">
        <f ca="1">IF(INDIRECT("'数据-取费表'!af"&amp;$G$1)=0,INDIRECT("'数据-取费表'!ae"&amp;$G$1),INDIRECT("'数据-取费表'!af"&amp;$G$1))</f>
        <v>50</v>
      </c>
      <c r="G41" s="2046"/>
      <c r="H41" s="1972"/>
      <c r="I41" s="842" t="s">
        <v>1818</v>
      </c>
      <c r="J41" s="845"/>
      <c r="K41" s="2066"/>
      <c r="L41" s="1972"/>
      <c r="M41" s="1972"/>
    </row>
    <row r="42" spans="1:18" ht="18" customHeight="1">
      <c r="A42" s="789"/>
      <c r="B42" s="790"/>
      <c r="C42" s="791"/>
      <c r="D42" s="815"/>
      <c r="E42" s="783" t="s">
        <v>1807</v>
      </c>
      <c r="F42" s="793">
        <f ca="1">INDIRECT("'数据-取费表'!v"&amp;$G$1)</f>
        <v>0.02</v>
      </c>
      <c r="G42" s="2046"/>
      <c r="H42" s="1972"/>
      <c r="I42" s="846" t="s">
        <v>1819</v>
      </c>
      <c r="J42" s="844">
        <f ca="1">ROUND(C13/C40,3)</f>
        <v>0.29699999999999999</v>
      </c>
      <c r="K42" s="2066"/>
      <c r="L42" s="1972"/>
      <c r="M42" s="1972"/>
    </row>
    <row r="43" spans="1:18" ht="18" customHeight="1" thickBot="1">
      <c r="A43" s="822" t="s">
        <v>1785</v>
      </c>
      <c r="B43" s="823" t="s">
        <v>1808</v>
      </c>
      <c r="C43" s="824">
        <f ca="1">ROUND(C40*10000/F43,0)</f>
        <v>7364</v>
      </c>
      <c r="D43" s="825" t="s">
        <v>1809</v>
      </c>
      <c r="E43" s="826" t="s">
        <v>1810</v>
      </c>
      <c r="F43" s="827">
        <f ca="1">INDIRECT("'数据-取费表'!k"&amp;$G$1)</f>
        <v>96343.56</v>
      </c>
      <c r="G43" s="2046"/>
      <c r="H43" s="1972"/>
      <c r="I43" s="846" t="s">
        <v>1820</v>
      </c>
      <c r="J43" s="847">
        <f ca="1">1-J42</f>
        <v>0.70300000000000007</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f ca="1">C67-C40</f>
        <v>-85040</v>
      </c>
      <c r="D46" s="2069"/>
      <c r="E46" s="2069"/>
      <c r="F46" s="2069"/>
      <c r="I46" s="2341" t="s">
        <v>2338</v>
      </c>
      <c r="J46" s="2342"/>
      <c r="K46" s="2343"/>
      <c r="L46" s="3101" t="str">
        <f ca="1">IF(OR(M47="住宅",D1="土地（套用方法）"),0,IF(L48&gt;J51,L60,J60))</f>
        <v>0</v>
      </c>
      <c r="O46" s="2357" t="s">
        <v>2405</v>
      </c>
      <c r="P46" s="1577"/>
      <c r="Q46" s="1588"/>
      <c r="R46" s="1577"/>
    </row>
    <row r="47" spans="1:18" s="2043" customFormat="1" ht="18" customHeight="1" thickBot="1">
      <c r="A47" s="2335">
        <v>1</v>
      </c>
      <c r="B47" s="2336" t="s">
        <v>635</v>
      </c>
      <c r="C47" s="2537">
        <f ca="1">C48+C52+C54</f>
        <v>0</v>
      </c>
      <c r="D47" s="2069"/>
      <c r="E47" s="2069"/>
      <c r="F47" s="2069"/>
      <c r="I47" s="3092" t="s">
        <v>2339</v>
      </c>
      <c r="J47" s="2344" t="s">
        <v>3174</v>
      </c>
      <c r="K47" s="3098" t="s">
        <v>2344</v>
      </c>
      <c r="L47" s="3102">
        <f ca="1">INDIRECT("'数据-取费表'!d"&amp;$G$1)</f>
        <v>50</v>
      </c>
      <c r="M47" s="1588" t="str">
        <f>IF(ISNUMBER(FIND("住宅",C1)),"住宅","非住宅")</f>
        <v>非住宅</v>
      </c>
      <c r="O47" s="2358" t="s">
        <v>2370</v>
      </c>
      <c r="P47" s="2359" t="s">
        <v>2371</v>
      </c>
      <c r="Q47" s="2360" t="s">
        <v>2372</v>
      </c>
      <c r="R47" s="2359" t="s">
        <v>2373</v>
      </c>
    </row>
    <row r="48" spans="1:18" s="2043" customFormat="1" ht="18" customHeight="1" thickBot="1">
      <c r="A48" s="2605" t="s">
        <v>2532</v>
      </c>
      <c r="B48" s="2606" t="s">
        <v>2533</v>
      </c>
      <c r="C48" s="2337">
        <f ca="1">ROUND(F48*F50*F49*(1-F51)/10000,0)</f>
        <v>0</v>
      </c>
      <c r="D48" s="2338" t="s">
        <v>636</v>
      </c>
      <c r="E48" s="2339" t="s">
        <v>2291</v>
      </c>
      <c r="F48" s="2340"/>
      <c r="G48" s="2074"/>
      <c r="I48" s="3071" t="s">
        <v>2340</v>
      </c>
      <c r="J48" s="2345" t="s">
        <v>2363</v>
      </c>
      <c r="K48" s="3099" t="s">
        <v>2346</v>
      </c>
      <c r="L48" s="1892">
        <f ca="1">INDIRECT("'数据-取费表'!f"&amp;$G$1)</f>
        <v>50</v>
      </c>
      <c r="O48" s="2361" t="s">
        <v>2374</v>
      </c>
      <c r="P48" s="2362" t="s">
        <v>2400</v>
      </c>
      <c r="Q48" s="2363">
        <f ca="1">C40+J29</f>
        <v>70948</v>
      </c>
      <c r="R48" s="2362" t="s">
        <v>2375</v>
      </c>
    </row>
    <row r="49" spans="1:18" s="2043" customFormat="1" ht="18" customHeight="1" thickBot="1">
      <c r="A49" s="785"/>
      <c r="B49" s="786"/>
      <c r="C49" s="787"/>
      <c r="D49" s="788"/>
      <c r="E49" s="783" t="s">
        <v>1737</v>
      </c>
      <c r="F49" s="784">
        <f ca="1">F7</f>
        <v>96343.56</v>
      </c>
      <c r="G49" s="2074"/>
      <c r="H49" s="2077"/>
      <c r="I49" s="3071" t="s">
        <v>2341</v>
      </c>
      <c r="J49" s="2346"/>
      <c r="K49" s="3100" t="s">
        <v>2347</v>
      </c>
      <c r="L49" s="2347"/>
      <c r="O49" s="2361" t="s">
        <v>2376</v>
      </c>
      <c r="P49" s="2362" t="s">
        <v>2401</v>
      </c>
      <c r="Q49" s="2363" t="str">
        <f ca="1">J60</f>
        <v>0</v>
      </c>
      <c r="R49" s="2362" t="s">
        <v>2377</v>
      </c>
    </row>
    <row r="50" spans="1:18" s="2043" customFormat="1" ht="18" customHeight="1" thickBot="1">
      <c r="A50" s="785"/>
      <c r="B50" s="786"/>
      <c r="C50" s="787"/>
      <c r="D50" s="788"/>
      <c r="E50" s="783" t="s">
        <v>1738</v>
      </c>
      <c r="F50" s="784">
        <f ca="1">F8</f>
        <v>365</v>
      </c>
      <c r="G50" s="2079"/>
      <c r="H50" s="2077"/>
      <c r="I50" s="3071" t="s">
        <v>2342</v>
      </c>
      <c r="J50" s="3096">
        <f>SUMPRODUCT((I63:I65=J47)*(J62:L62=J48)*(J63:L65))</f>
        <v>50</v>
      </c>
      <c r="K50" s="3100" t="s">
        <v>2348</v>
      </c>
      <c r="L50" s="2347"/>
      <c r="O50" s="2364" t="s">
        <v>2378</v>
      </c>
      <c r="P50" s="2362" t="s">
        <v>2402</v>
      </c>
      <c r="Q50" s="2363">
        <f ca="1">C29</f>
        <v>21096</v>
      </c>
      <c r="R50" s="2362" t="s">
        <v>2375</v>
      </c>
    </row>
    <row r="51" spans="1:18" s="2043" customFormat="1" ht="18" customHeight="1" thickBot="1">
      <c r="A51" s="785"/>
      <c r="B51" s="786"/>
      <c r="C51" s="787"/>
      <c r="D51" s="788"/>
      <c r="E51" s="783" t="s">
        <v>640</v>
      </c>
      <c r="F51" s="2334"/>
      <c r="H51" s="2077"/>
      <c r="I51" s="3093" t="s">
        <v>2343</v>
      </c>
      <c r="J51" s="3097">
        <f>IF(J49="",J50,J49+J50-YEAR('数据-取费表'!B2))</f>
        <v>50</v>
      </c>
      <c r="K51" s="3071" t="s">
        <v>2349</v>
      </c>
      <c r="L51" s="3103">
        <f ca="1">ROUND(-PV(INDIRECT("'数据-取费表'!h"&amp;$G$1),J51,(C39-C13*J36),0),0)</f>
        <v>13987</v>
      </c>
      <c r="O51" s="2364" t="s">
        <v>2379</v>
      </c>
      <c r="P51" s="2362" t="s">
        <v>2380</v>
      </c>
      <c r="Q51" s="2365" t="e">
        <f ca="1">J58</f>
        <v>#VALUE!</v>
      </c>
      <c r="R51" s="2366"/>
    </row>
    <row r="52" spans="1:18" s="2043" customFormat="1" ht="18" customHeight="1" thickBot="1">
      <c r="A52" s="780" t="s">
        <v>2531</v>
      </c>
      <c r="B52" s="2457" t="s">
        <v>2454</v>
      </c>
      <c r="C52" s="798">
        <f ca="1">ROUND(IF(F52="押一",C48/12*F11,IF(F52="押二",C48/12*2*F11,IF(F52="押三",C48/12*3*F11,C53*F11))),0)</f>
        <v>0</v>
      </c>
      <c r="D52" s="2464" t="s">
        <v>2968</v>
      </c>
      <c r="E52" s="2461" t="s">
        <v>2459</v>
      </c>
      <c r="F52" s="2584"/>
      <c r="I52" s="3094" t="s">
        <v>2416</v>
      </c>
      <c r="J52" s="2348"/>
      <c r="K52" s="3094" t="s">
        <v>2415</v>
      </c>
      <c r="L52" s="2348"/>
      <c r="O52" s="2364" t="s">
        <v>2381</v>
      </c>
      <c r="P52" s="2362" t="s">
        <v>2382</v>
      </c>
      <c r="Q52" s="2365">
        <f>J52</f>
        <v>0</v>
      </c>
      <c r="R52" s="2366"/>
    </row>
    <row r="53" spans="1:18" s="2043" customFormat="1" ht="39.75" customHeight="1" thickBot="1">
      <c r="A53" s="785"/>
      <c r="B53" s="2458" t="s">
        <v>2568</v>
      </c>
      <c r="C53" s="2462"/>
      <c r="D53" s="2464"/>
      <c r="E53" s="2461"/>
      <c r="F53" s="799"/>
      <c r="I53" s="3095" t="s">
        <v>2971</v>
      </c>
      <c r="J53" s="3174">
        <f ca="1">IF(M47="住宅",IF(D1="——",MAX(J51,L48),MAX(J51,L48-'数据-取费表'!B20)),IF(D1="——",MIN(J51,L48),MIN(J51,L48-'数据-取费表'!B20)))</f>
        <v>50</v>
      </c>
      <c r="K53" s="3495" t="s">
        <v>2959</v>
      </c>
      <c r="L53" s="3496"/>
      <c r="O53" s="2364" t="s">
        <v>2383</v>
      </c>
      <c r="P53" s="2362" t="s">
        <v>2384</v>
      </c>
      <c r="Q53" s="2363">
        <f ca="1">J53</f>
        <v>50</v>
      </c>
      <c r="R53" s="2362" t="s">
        <v>2385</v>
      </c>
    </row>
    <row r="54" spans="1:18" s="2043" customFormat="1" ht="18" customHeight="1" thickBot="1">
      <c r="A54" s="2500" t="s">
        <v>2462</v>
      </c>
      <c r="B54" s="2501" t="s">
        <v>2455</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2386</v>
      </c>
      <c r="P54" s="2362" t="s">
        <v>2403</v>
      </c>
      <c r="Q54" s="2363">
        <f ca="1">Q48+Q49</f>
        <v>70948</v>
      </c>
      <c r="R54" s="2366" t="s">
        <v>2387</v>
      </c>
    </row>
    <row r="55" spans="1:18" s="2043" customFormat="1" ht="18" customHeight="1" thickTop="1" thickBot="1">
      <c r="A55" s="796">
        <v>2</v>
      </c>
      <c r="B55" s="797" t="s">
        <v>644</v>
      </c>
      <c r="C55" s="798">
        <f ca="1">C13</f>
        <v>21096</v>
      </c>
      <c r="D55" s="794"/>
      <c r="E55" s="794"/>
      <c r="F55" s="799"/>
      <c r="I55" s="3106" t="s">
        <v>2350</v>
      </c>
      <c r="J55" s="3046" t="e">
        <f ca="1">ROUND(IF(J47="钢混",J57/J50,1-(1-2%)*(J50-J57)/J50),3)</f>
        <v>#VALUE!</v>
      </c>
      <c r="K55" s="3107" t="s">
        <v>2351</v>
      </c>
      <c r="L55" s="2349"/>
      <c r="O55" s="2367" t="s">
        <v>2406</v>
      </c>
      <c r="P55" s="1577"/>
      <c r="Q55" s="1588"/>
      <c r="R55" s="1577"/>
    </row>
    <row r="56" spans="1:18" s="2043" customFormat="1" ht="42.75" customHeight="1" thickBot="1">
      <c r="A56" s="1634"/>
      <c r="B56" s="2215" t="s">
        <v>2297</v>
      </c>
      <c r="C56" s="53">
        <f ca="1">C29</f>
        <v>21096</v>
      </c>
      <c r="D56" s="2602"/>
      <c r="E56" s="783"/>
      <c r="F56" s="808"/>
      <c r="I56" s="3108" t="s">
        <v>2352</v>
      </c>
      <c r="J56" s="3118" t="s">
        <v>1676</v>
      </c>
      <c r="K56" s="3071" t="s">
        <v>2357</v>
      </c>
      <c r="L56" s="1892">
        <f ca="1">IF(L48&lt;J51,"——",L48-J51)</f>
        <v>0</v>
      </c>
      <c r="O56" s="2358" t="s">
        <v>2370</v>
      </c>
      <c r="P56" s="2359" t="s">
        <v>2371</v>
      </c>
      <c r="Q56" s="2360" t="s">
        <v>2372</v>
      </c>
      <c r="R56" s="2359" t="s">
        <v>2373</v>
      </c>
    </row>
    <row r="57" spans="1:18" s="2043" customFormat="1" ht="28.5" customHeight="1" thickBot="1">
      <c r="A57" s="796" t="s">
        <v>1746</v>
      </c>
      <c r="B57" s="797" t="s">
        <v>651</v>
      </c>
      <c r="C57" s="798">
        <f ca="1">ROUND(C58+C63+C64+C65,0)</f>
        <v>656</v>
      </c>
      <c r="D57" s="26" t="s">
        <v>1748</v>
      </c>
      <c r="E57" s="2603"/>
      <c r="F57" s="56"/>
      <c r="I57" s="3109" t="s">
        <v>2353</v>
      </c>
      <c r="J57" s="3110" t="str">
        <f ca="1">IF(OR(M47="住宅",J51&lt;L48,J56="是"),"——",J51-L48)</f>
        <v>——</v>
      </c>
      <c r="K57" s="3071" t="s">
        <v>2358</v>
      </c>
      <c r="L57" s="1892">
        <f ca="1">IF(L48&lt;J51,"——",IF(L55="比较法",L49,IF(L55="基准地价",L50,L51)))</f>
        <v>13987</v>
      </c>
      <c r="O57" s="2361" t="s">
        <v>2374</v>
      </c>
      <c r="P57" s="2362" t="s">
        <v>2404</v>
      </c>
      <c r="Q57" s="2363">
        <f ca="1">C40+J29</f>
        <v>70948</v>
      </c>
      <c r="R57" s="2362" t="s">
        <v>2375</v>
      </c>
    </row>
    <row r="58" spans="1:18" s="2043" customFormat="1" ht="28.5" customHeight="1" thickBot="1">
      <c r="A58" s="1633" t="s">
        <v>1822</v>
      </c>
      <c r="B58" s="783" t="s">
        <v>656</v>
      </c>
      <c r="C58" s="53">
        <f ca="1">ROUND(IF(项目基本情况!B11="自然人",C47*F58,C59+C60+C61),1)</f>
        <v>191.7</v>
      </c>
      <c r="D58" s="2601" t="s">
        <v>657</v>
      </c>
      <c r="E58" s="2602" t="s">
        <v>690</v>
      </c>
      <c r="F58" s="809" t="str">
        <f ca="1">IF(项目基本情况!B11="企业","",IF(INDIRECT("'数据-取费表'!c"&amp;$G$1)="住宅",5%,IF(F48*F49*F50/12/(1+'数据-取费表'!C42)&gt;20000,12%,7%)))</f>
        <v/>
      </c>
      <c r="I58" s="3109" t="s">
        <v>2354</v>
      </c>
      <c r="J58" s="3047" t="e">
        <f ca="1">IF(J55&lt;0.4,0.4,J55)</f>
        <v>#VALUE!</v>
      </c>
      <c r="K58" s="3071" t="s">
        <v>2359</v>
      </c>
      <c r="L58" s="1892" t="e">
        <f ca="1">ROUND(POWER(1+L52,L47-L48)*(POWER(1+L52,L48)-1)/(POWER(1+L52,L47)-1),4)</f>
        <v>#DIV/0!</v>
      </c>
      <c r="O58" s="2361" t="s">
        <v>2376</v>
      </c>
      <c r="P58" s="2362" t="s">
        <v>2407</v>
      </c>
      <c r="Q58" s="2363" t="e">
        <f ca="1">L60</f>
        <v>#DIV/0!</v>
      </c>
      <c r="R58" s="2366" t="s">
        <v>2409</v>
      </c>
    </row>
    <row r="59" spans="1:18" s="2043" customFormat="1" ht="28.5" customHeight="1" thickBot="1">
      <c r="A59" s="1632" t="s">
        <v>1829</v>
      </c>
      <c r="B59" s="783" t="s">
        <v>660</v>
      </c>
      <c r="C59" s="53">
        <f ca="1">ROUND(C47*F59/1.05,1)</f>
        <v>0</v>
      </c>
      <c r="D59" s="2602" t="s">
        <v>1754</v>
      </c>
      <c r="E59" s="783" t="s">
        <v>1745</v>
      </c>
      <c r="F59" s="808">
        <f t="shared" ref="F59:F65" si="0">F32</f>
        <v>5.5000000000000007E-2</v>
      </c>
      <c r="I59" s="3109" t="s">
        <v>2355</v>
      </c>
      <c r="J59" s="3110" t="str">
        <f ca="1">IF(OR(M47="住宅",J51&lt;L48,J56="是"),"——",ROUND(C29*J58,0))</f>
        <v>——</v>
      </c>
      <c r="K59" s="3071"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3" customFormat="1" ht="18" customHeight="1" thickBot="1">
      <c r="A60" s="1632" t="s">
        <v>1830</v>
      </c>
      <c r="B60" s="783" t="s">
        <v>1756</v>
      </c>
      <c r="C60" s="53">
        <f ca="1">IF(D60="按租金收入计税",ROUND(C47*F60,1),IF(D60="按房产原值计税",ROUND(C56*F60*0.7,1),INDIRECT("'数据-取费表'!Aj"&amp;$G$1)))</f>
        <v>177.2</v>
      </c>
      <c r="D60" s="2602" t="str">
        <f>D33</f>
        <v>按房产原值计税</v>
      </c>
      <c r="E60" s="783" t="s">
        <v>1745</v>
      </c>
      <c r="F60" s="808">
        <f t="shared" si="0"/>
        <v>1.2E-2</v>
      </c>
      <c r="I60" s="3111" t="s">
        <v>2356</v>
      </c>
      <c r="J60" s="3112" t="str">
        <f ca="1">IF(OR(M47="住宅",J51&lt;L48,J56="是"),"0",ROUND(J59/(1+J52)^J53,0))</f>
        <v>0</v>
      </c>
      <c r="K60" s="3113" t="s">
        <v>2361</v>
      </c>
      <c r="L60" s="3112" t="e">
        <f ca="1">IF(OR(M47="住宅",L48&lt;J51),0,ROUND(L57*(L58/L59-1),0))</f>
        <v>#DIV/0!</v>
      </c>
      <c r="O60" s="2364" t="s">
        <v>2379</v>
      </c>
      <c r="P60" s="2362" t="s">
        <v>2388</v>
      </c>
      <c r="Q60" s="2365">
        <f>L52</f>
        <v>0</v>
      </c>
      <c r="R60" s="2366"/>
    </row>
    <row r="61" spans="1:18" s="2043" customFormat="1" ht="18" customHeight="1" thickBot="1">
      <c r="A61" s="1635" t="s">
        <v>1831</v>
      </c>
      <c r="B61" s="341" t="s">
        <v>668</v>
      </c>
      <c r="C61" s="54">
        <f ca="1">ROUND(F61*F62/10000,1)</f>
        <v>14.5</v>
      </c>
      <c r="D61" s="813" t="s">
        <v>669</v>
      </c>
      <c r="E61" s="783" t="s">
        <v>670</v>
      </c>
      <c r="F61" s="640">
        <f t="shared" si="0"/>
        <v>1.5</v>
      </c>
      <c r="K61" s="2070"/>
      <c r="O61" s="2364" t="s">
        <v>2381</v>
      </c>
      <c r="P61" s="2362" t="s">
        <v>2389</v>
      </c>
      <c r="Q61" s="2363" t="e">
        <f ca="1">L58</f>
        <v>#DIV/0!</v>
      </c>
      <c r="R61" s="2366" t="s">
        <v>2390</v>
      </c>
    </row>
    <row r="62" spans="1:18" s="2043" customFormat="1" ht="15.75" thickBot="1">
      <c r="A62" s="814"/>
      <c r="B62" s="792"/>
      <c r="C62" s="69"/>
      <c r="D62" s="815"/>
      <c r="E62" s="783" t="s">
        <v>674</v>
      </c>
      <c r="F62" s="784">
        <f t="shared" ca="1" si="0"/>
        <v>96343.56</v>
      </c>
      <c r="I62" s="3114" t="s">
        <v>2362</v>
      </c>
      <c r="J62" s="3115" t="s">
        <v>2363</v>
      </c>
      <c r="K62" s="3115" t="s">
        <v>2364</v>
      </c>
      <c r="L62" s="3115" t="s">
        <v>2345</v>
      </c>
      <c r="M62" s="3116" t="s">
        <v>2936</v>
      </c>
      <c r="O62" s="2364" t="s">
        <v>2383</v>
      </c>
      <c r="P62" s="2362" t="str">
        <f>K59</f>
        <v>建筑物剩余耐用年限下的土地年期修正系数Kn</v>
      </c>
      <c r="Q62" s="2363" t="e">
        <f ca="1">L59</f>
        <v>#DIV/0!</v>
      </c>
      <c r="R62" s="2366" t="s">
        <v>2392</v>
      </c>
    </row>
    <row r="63" spans="1:18" s="2043" customFormat="1" ht="15.75" thickBot="1">
      <c r="A63" s="1633" t="s">
        <v>1887</v>
      </c>
      <c r="B63" s="783" t="s">
        <v>676</v>
      </c>
      <c r="C63" s="53">
        <f ca="1">ROUND(C56*F63,1)</f>
        <v>421.9</v>
      </c>
      <c r="D63" s="2602" t="s">
        <v>1801</v>
      </c>
      <c r="E63" s="783" t="s">
        <v>1745</v>
      </c>
      <c r="F63" s="816">
        <f t="shared" ca="1" si="0"/>
        <v>0.02</v>
      </c>
      <c r="I63" s="3114" t="s">
        <v>2365</v>
      </c>
      <c r="J63" s="3115">
        <v>70</v>
      </c>
      <c r="K63" s="3115">
        <v>50</v>
      </c>
      <c r="L63" s="3115">
        <v>80</v>
      </c>
      <c r="M63" s="3117">
        <v>0.02</v>
      </c>
      <c r="O63" s="2361" t="s">
        <v>2386</v>
      </c>
      <c r="P63" s="2362" t="s">
        <v>2403</v>
      </c>
      <c r="Q63" s="2363" t="e">
        <f ca="1">Q57+Q58</f>
        <v>#DIV/0!</v>
      </c>
      <c r="R63" s="2366" t="s">
        <v>2387</v>
      </c>
    </row>
    <row r="64" spans="1:18" s="2043" customFormat="1" ht="16.5" thickBot="1">
      <c r="A64" s="1633" t="s">
        <v>1888</v>
      </c>
      <c r="B64" s="783" t="s">
        <v>679</v>
      </c>
      <c r="C64" s="53">
        <f ca="1">ROUND(C55*F64,1)</f>
        <v>42.2</v>
      </c>
      <c r="D64" s="2602" t="s">
        <v>680</v>
      </c>
      <c r="E64" s="783" t="s">
        <v>1745</v>
      </c>
      <c r="F64" s="817">
        <f t="shared" ca="1" si="0"/>
        <v>2E-3</v>
      </c>
      <c r="I64" s="3114" t="s">
        <v>2366</v>
      </c>
      <c r="J64" s="3115">
        <v>50</v>
      </c>
      <c r="K64" s="3115">
        <v>35</v>
      </c>
      <c r="L64" s="3115">
        <v>60</v>
      </c>
      <c r="M64" s="845">
        <v>0</v>
      </c>
      <c r="O64" s="2367" t="s">
        <v>2410</v>
      </c>
      <c r="P64" s="1577"/>
      <c r="Q64" s="1588"/>
      <c r="R64" s="1577"/>
    </row>
    <row r="65" spans="1:18" s="2043" customFormat="1" ht="15.75" thickBot="1">
      <c r="A65" s="1633" t="s">
        <v>1889</v>
      </c>
      <c r="B65" s="783" t="s">
        <v>666</v>
      </c>
      <c r="C65" s="53">
        <f ca="1">ROUND(C47*F65,1)</f>
        <v>0</v>
      </c>
      <c r="D65" s="2602" t="s">
        <v>683</v>
      </c>
      <c r="E65" s="783" t="s">
        <v>1745</v>
      </c>
      <c r="F65" s="793">
        <f t="shared" ca="1" si="0"/>
        <v>0.02</v>
      </c>
      <c r="I65" s="3114" t="s">
        <v>2367</v>
      </c>
      <c r="J65" s="3115">
        <v>40</v>
      </c>
      <c r="K65" s="3115">
        <v>30</v>
      </c>
      <c r="L65" s="3115">
        <v>50</v>
      </c>
      <c r="M65" s="3117">
        <v>0.02</v>
      </c>
      <c r="O65" s="2358" t="s">
        <v>2370</v>
      </c>
      <c r="P65" s="2359" t="s">
        <v>2371</v>
      </c>
      <c r="Q65" s="2360" t="s">
        <v>2372</v>
      </c>
      <c r="R65" s="2359" t="s">
        <v>2373</v>
      </c>
    </row>
    <row r="66" spans="1:18" s="2043" customFormat="1" ht="24.75" thickBot="1">
      <c r="A66" s="796" t="s">
        <v>1774</v>
      </c>
      <c r="B66" s="2962" t="s">
        <v>2815</v>
      </c>
      <c r="C66" s="798">
        <f ca="1">C47-C57</f>
        <v>-656</v>
      </c>
      <c r="D66" s="2601" t="s">
        <v>700</v>
      </c>
      <c r="E66" s="2600"/>
      <c r="F66" s="819"/>
      <c r="K66" s="2070"/>
      <c r="O66" s="2361" t="s">
        <v>2374</v>
      </c>
      <c r="P66" s="2362" t="s">
        <v>2404</v>
      </c>
      <c r="Q66" s="2363">
        <f ca="1">C40+J29</f>
        <v>70948</v>
      </c>
      <c r="R66" s="2362" t="s">
        <v>2375</v>
      </c>
    </row>
    <row r="67" spans="1:18" s="2043" customFormat="1" ht="20.25" thickBot="1">
      <c r="A67" s="780" t="s">
        <v>1778</v>
      </c>
      <c r="B67" s="2216" t="s">
        <v>2296</v>
      </c>
      <c r="C67" s="782">
        <f ca="1">ROUND(C66*(1-((1+F69)/(1+F67))^F68)/(F67-F69),0)</f>
        <v>-14092</v>
      </c>
      <c r="D67" s="813" t="s">
        <v>704</v>
      </c>
      <c r="E67" s="783" t="s">
        <v>705</v>
      </c>
      <c r="F67" s="793">
        <f ca="1">F40</f>
        <v>0.04</v>
      </c>
      <c r="K67" s="2070"/>
      <c r="O67" s="2361" t="s">
        <v>2376</v>
      </c>
      <c r="P67" s="2362" t="s">
        <v>2407</v>
      </c>
      <c r="Q67" s="2363" t="e">
        <f ca="1">L60</f>
        <v>#DIV/0!</v>
      </c>
      <c r="R67" s="2366" t="s">
        <v>2409</v>
      </c>
    </row>
    <row r="68" spans="1:18" ht="21.75" thickBot="1">
      <c r="A68" s="785"/>
      <c r="B68" s="786"/>
      <c r="C68" s="787"/>
      <c r="D68" s="820" t="s">
        <v>1806</v>
      </c>
      <c r="E68" s="783" t="s">
        <v>1782</v>
      </c>
      <c r="F68" s="821">
        <f ca="1">F41</f>
        <v>50</v>
      </c>
      <c r="O68" s="2364" t="s">
        <v>2378</v>
      </c>
      <c r="P68" s="2362" t="s">
        <v>2408</v>
      </c>
      <c r="Q68" s="2368">
        <f ca="1">L51</f>
        <v>13987</v>
      </c>
      <c r="R68" s="2369" t="s">
        <v>2411</v>
      </c>
    </row>
    <row r="69" spans="1:18" ht="20.25" thickBot="1">
      <c r="A69" s="789"/>
      <c r="B69" s="790"/>
      <c r="C69" s="791"/>
      <c r="D69" s="815"/>
      <c r="E69" s="783" t="s">
        <v>710</v>
      </c>
      <c r="F69" s="2334"/>
      <c r="O69" s="2364" t="s">
        <v>2379</v>
      </c>
      <c r="P69" s="2370" t="s">
        <v>2393</v>
      </c>
      <c r="Q69" s="2363">
        <f ca="1">ROUND(Q70-Q71*Q72,0)</f>
        <v>596</v>
      </c>
      <c r="R69" s="2366"/>
    </row>
    <row r="70" spans="1:18" ht="15.75" thickBot="1">
      <c r="A70" s="822" t="s">
        <v>1785</v>
      </c>
      <c r="B70" s="823" t="s">
        <v>1808</v>
      </c>
      <c r="C70" s="824">
        <f ca="1">ROUND(C67*10000/F70,0)</f>
        <v>-1463</v>
      </c>
      <c r="D70" s="825" t="s">
        <v>1809</v>
      </c>
      <c r="E70" s="826" t="s">
        <v>1810</v>
      </c>
      <c r="F70" s="827">
        <f ca="1">F43</f>
        <v>96343.56</v>
      </c>
      <c r="O70" s="2364" t="s">
        <v>2394</v>
      </c>
      <c r="P70" s="2370" t="s">
        <v>2395</v>
      </c>
      <c r="Q70" s="2363">
        <f ca="1">C39</f>
        <v>2284</v>
      </c>
      <c r="R70" s="2362" t="s">
        <v>2375</v>
      </c>
    </row>
    <row r="71" spans="1:18" ht="15.75" thickBot="1">
      <c r="O71" s="2364" t="s">
        <v>2396</v>
      </c>
      <c r="P71" s="2370" t="s">
        <v>2397</v>
      </c>
      <c r="Q71" s="2363">
        <f ca="1">C13</f>
        <v>21096</v>
      </c>
      <c r="R71" s="2362" t="s">
        <v>2375</v>
      </c>
    </row>
    <row r="72" spans="1:18" ht="15.75" thickBot="1">
      <c r="O72" s="2364" t="s">
        <v>2398</v>
      </c>
      <c r="P72" s="2370" t="s">
        <v>2399</v>
      </c>
      <c r="Q72" s="2365">
        <f ca="1">J36</f>
        <v>0.08</v>
      </c>
      <c r="R72" s="2366"/>
    </row>
    <row r="73" spans="1:18" ht="15.75" thickBot="1">
      <c r="O73" s="2364" t="s">
        <v>2381</v>
      </c>
      <c r="P73" s="2362" t="s">
        <v>2388</v>
      </c>
      <c r="Q73" s="2365">
        <f>L52</f>
        <v>0</v>
      </c>
      <c r="R73" s="2366"/>
    </row>
    <row r="74" spans="1:18" ht="20.25" thickBot="1">
      <c r="O74" s="2364" t="s">
        <v>2383</v>
      </c>
      <c r="P74" s="2362" t="s">
        <v>2389</v>
      </c>
      <c r="Q74" s="2363" t="e">
        <f ca="1">L58</f>
        <v>#DIV/0!</v>
      </c>
      <c r="R74" s="2366" t="s">
        <v>2390</v>
      </c>
    </row>
    <row r="75" spans="1:18" ht="15.75" thickBot="1">
      <c r="O75" s="2364" t="s">
        <v>2412</v>
      </c>
      <c r="P75" s="2362" t="str">
        <f>K59</f>
        <v>建筑物剩余耐用年限下的土地年期修正系数Kn</v>
      </c>
      <c r="Q75" s="2363" t="e">
        <f ca="1">L59</f>
        <v>#DIV/0!</v>
      </c>
      <c r="R75" s="2366" t="s">
        <v>2392</v>
      </c>
    </row>
    <row r="76" spans="1:18" ht="15.75" thickBot="1">
      <c r="O76" s="2361" t="s">
        <v>2386</v>
      </c>
      <c r="P76" s="2362" t="s">
        <v>2403</v>
      </c>
      <c r="Q76" s="2363" t="e">
        <f ca="1">Q66+Q67</f>
        <v>#DIV/0!</v>
      </c>
      <c r="R76" s="2366" t="s">
        <v>2387</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2" priority="7">
      <formula>$L$48&gt;$J$51</formula>
    </cfRule>
  </conditionalFormatting>
  <conditionalFormatting sqref="I55">
    <cfRule type="expression" dxfId="101" priority="8">
      <formula>$J$51&gt;$L$48</formula>
    </cfRule>
  </conditionalFormatting>
  <conditionalFormatting sqref="I60">
    <cfRule type="expression" dxfId="100" priority="6">
      <formula>$J$51&gt;$L$48</formula>
    </cfRule>
  </conditionalFormatting>
  <conditionalFormatting sqref="K60">
    <cfRule type="expression" dxfId="99" priority="5">
      <formula>$L$48&gt;$J$51</formula>
    </cfRule>
  </conditionalFormatting>
  <conditionalFormatting sqref="C11">
    <cfRule type="expression" dxfId="98" priority="4">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1" t="s">
        <v>2466</v>
      </c>
      <c r="B1" s="3502"/>
      <c r="C1" s="3503"/>
      <c r="D1" s="3504">
        <f>SUM(I10,I15,I20,I21,I23)</f>
        <v>0</v>
      </c>
      <c r="E1" s="3504"/>
      <c r="F1" s="3504"/>
      <c r="G1" s="3504"/>
      <c r="H1" s="3504"/>
      <c r="I1" s="3505"/>
    </row>
    <row r="2" spans="1:9">
      <c r="A2" s="3506" t="s">
        <v>2467</v>
      </c>
      <c r="B2" s="3507" t="s">
        <v>2468</v>
      </c>
      <c r="C2" s="3507"/>
      <c r="D2" s="2470" t="s">
        <v>2469</v>
      </c>
      <c r="E2" s="2470" t="s">
        <v>2470</v>
      </c>
      <c r="F2" s="2470" t="s">
        <v>2471</v>
      </c>
      <c r="G2" s="2470" t="s">
        <v>2472</v>
      </c>
      <c r="H2" s="2470" t="s">
        <v>2473</v>
      </c>
      <c r="I2" s="2471" t="s">
        <v>2474</v>
      </c>
    </row>
    <row r="3" spans="1:9">
      <c r="A3" s="3506"/>
      <c r="B3" s="3507" t="s">
        <v>2475</v>
      </c>
      <c r="C3" s="3507"/>
      <c r="D3" s="2472"/>
      <c r="E3" s="2470"/>
      <c r="F3" s="2473"/>
      <c r="G3" s="2473"/>
      <c r="H3" s="2474"/>
      <c r="I3" s="2475">
        <f>ROUND(D3*E3*F3*G3*H3/10000,0)</f>
        <v>0</v>
      </c>
    </row>
    <row r="4" spans="1:9">
      <c r="A4" s="3506"/>
      <c r="B4" s="3507" t="s">
        <v>2476</v>
      </c>
      <c r="C4" s="3507"/>
      <c r="D4" s="2472"/>
      <c r="E4" s="2470"/>
      <c r="F4" s="2473"/>
      <c r="G4" s="2473"/>
      <c r="H4" s="2474"/>
      <c r="I4" s="2475">
        <f t="shared" ref="I4:I9" si="0">ROUND(D4*E4*F4*G4*H4/10000,0)</f>
        <v>0</v>
      </c>
    </row>
    <row r="5" spans="1:9">
      <c r="A5" s="3506"/>
      <c r="B5" s="3507" t="s">
        <v>2477</v>
      </c>
      <c r="C5" s="3507"/>
      <c r="D5" s="2472"/>
      <c r="E5" s="2470"/>
      <c r="F5" s="2473"/>
      <c r="G5" s="2473"/>
      <c r="H5" s="2474"/>
      <c r="I5" s="2475">
        <f t="shared" si="0"/>
        <v>0</v>
      </c>
    </row>
    <row r="6" spans="1:9">
      <c r="A6" s="3506"/>
      <c r="B6" s="3507" t="s">
        <v>2478</v>
      </c>
      <c r="C6" s="3507"/>
      <c r="D6" s="2472"/>
      <c r="E6" s="2470"/>
      <c r="F6" s="2473"/>
      <c r="G6" s="2473"/>
      <c r="H6" s="2474"/>
      <c r="I6" s="2475">
        <f t="shared" si="0"/>
        <v>0</v>
      </c>
    </row>
    <row r="7" spans="1:9">
      <c r="A7" s="3506"/>
      <c r="B7" s="3507" t="s">
        <v>2479</v>
      </c>
      <c r="C7" s="3507"/>
      <c r="D7" s="2472"/>
      <c r="E7" s="2470"/>
      <c r="F7" s="2473"/>
      <c r="G7" s="2473"/>
      <c r="H7" s="2474"/>
      <c r="I7" s="2475">
        <f t="shared" si="0"/>
        <v>0</v>
      </c>
    </row>
    <row r="8" spans="1:9">
      <c r="A8" s="3506"/>
      <c r="B8" s="3507" t="s">
        <v>2480</v>
      </c>
      <c r="C8" s="3507"/>
      <c r="D8" s="2472"/>
      <c r="E8" s="2470"/>
      <c r="F8" s="2473"/>
      <c r="G8" s="2473"/>
      <c r="H8" s="2474"/>
      <c r="I8" s="2475">
        <f t="shared" si="0"/>
        <v>0</v>
      </c>
    </row>
    <row r="9" spans="1:9">
      <c r="A9" s="3506"/>
      <c r="B9" s="3507" t="s">
        <v>2481</v>
      </c>
      <c r="C9" s="3507"/>
      <c r="D9" s="2472"/>
      <c r="E9" s="2470"/>
      <c r="F9" s="2473"/>
      <c r="G9" s="2473"/>
      <c r="H9" s="2474"/>
      <c r="I9" s="2475">
        <f t="shared" si="0"/>
        <v>0</v>
      </c>
    </row>
    <row r="10" spans="1:9">
      <c r="A10" s="3506"/>
      <c r="B10" s="3508" t="s">
        <v>2482</v>
      </c>
      <c r="C10" s="3508"/>
      <c r="D10" s="2476">
        <v>527</v>
      </c>
      <c r="E10" s="2476" t="e">
        <f>ROUND(D1*10000/D10/H9,0)</f>
        <v>#DIV/0!</v>
      </c>
      <c r="F10" s="2477"/>
      <c r="G10" s="2477"/>
      <c r="H10" s="2478"/>
      <c r="I10" s="2479">
        <f>SUM(I3:I9)</f>
        <v>0</v>
      </c>
    </row>
    <row r="11" spans="1:9" ht="14.25">
      <c r="A11" s="3506" t="s">
        <v>2483</v>
      </c>
      <c r="B11" s="3507" t="s">
        <v>2484</v>
      </c>
      <c r="C11" s="3507"/>
      <c r="D11" s="2472" t="s">
        <v>2485</v>
      </c>
      <c r="E11" s="2472" t="s">
        <v>2486</v>
      </c>
      <c r="F11" s="2473" t="s">
        <v>2487</v>
      </c>
      <c r="G11" s="2473" t="s">
        <v>2488</v>
      </c>
      <c r="H11" s="2480" t="s">
        <v>2489</v>
      </c>
      <c r="I11" s="2471" t="s">
        <v>2490</v>
      </c>
    </row>
    <row r="12" spans="1:9">
      <c r="A12" s="3506"/>
      <c r="B12" s="3507" t="s">
        <v>2491</v>
      </c>
      <c r="C12" s="3507"/>
      <c r="D12" s="2472"/>
      <c r="E12" s="2472"/>
      <c r="F12" s="2473"/>
      <c r="G12" s="2474"/>
      <c r="H12" s="2481"/>
      <c r="I12" s="2471">
        <f>ROUND(D12*E12*F12*G12/10000,0)</f>
        <v>0</v>
      </c>
    </row>
    <row r="13" spans="1:9">
      <c r="A13" s="3506"/>
      <c r="B13" s="3507" t="s">
        <v>2492</v>
      </c>
      <c r="C13" s="3507"/>
      <c r="D13" s="2472"/>
      <c r="E13" s="2472"/>
      <c r="F13" s="2473"/>
      <c r="G13" s="2474"/>
      <c r="H13" s="2481"/>
      <c r="I13" s="2471">
        <f>ROUND(D13*E13*F13*G13/10000,0)</f>
        <v>0</v>
      </c>
    </row>
    <row r="14" spans="1:9">
      <c r="A14" s="3506"/>
      <c r="B14" s="3507" t="s">
        <v>2493</v>
      </c>
      <c r="C14" s="3507"/>
      <c r="D14" s="2472"/>
      <c r="E14" s="2472"/>
      <c r="F14" s="2473"/>
      <c r="G14" s="2474"/>
      <c r="H14" s="2481"/>
      <c r="I14" s="2471">
        <f>ROUND(D14*E14*F14*G14/10000,0)</f>
        <v>0</v>
      </c>
    </row>
    <row r="15" spans="1:9">
      <c r="A15" s="3506"/>
      <c r="B15" s="3508" t="s">
        <v>2482</v>
      </c>
      <c r="C15" s="3508"/>
      <c r="D15" s="2476"/>
      <c r="E15" s="2476">
        <f>SUM(E12:E14)</f>
        <v>0</v>
      </c>
      <c r="F15" s="2477"/>
      <c r="G15" s="2474"/>
      <c r="H15" s="2481"/>
      <c r="I15" s="2482">
        <f>SUM(I12:I14)</f>
        <v>0</v>
      </c>
    </row>
    <row r="16" spans="1:9" ht="24">
      <c r="A16" s="3506" t="s">
        <v>2494</v>
      </c>
      <c r="B16" s="3507" t="s">
        <v>2495</v>
      </c>
      <c r="C16" s="3507"/>
      <c r="D16" s="2472" t="s">
        <v>2496</v>
      </c>
      <c r="E16" s="2483" t="s">
        <v>2497</v>
      </c>
      <c r="F16" s="2473" t="s">
        <v>2498</v>
      </c>
      <c r="G16" s="2474" t="s">
        <v>2488</v>
      </c>
      <c r="H16" s="2480" t="s">
        <v>2489</v>
      </c>
      <c r="I16" s="2471" t="s">
        <v>2490</v>
      </c>
    </row>
    <row r="17" spans="1:9" ht="14.25">
      <c r="A17" s="3506"/>
      <c r="B17" s="3507" t="s">
        <v>2499</v>
      </c>
      <c r="C17" s="3507"/>
      <c r="D17" s="2472"/>
      <c r="E17" s="2472"/>
      <c r="F17" s="2473"/>
      <c r="G17" s="2474"/>
      <c r="H17" s="2484"/>
      <c r="I17" s="2485">
        <f>ROUND(D17*E17*F17*G17/10000,0)</f>
        <v>0</v>
      </c>
    </row>
    <row r="18" spans="1:9" ht="14.25">
      <c r="A18" s="3506"/>
      <c r="B18" s="3507" t="s">
        <v>2500</v>
      </c>
      <c r="C18" s="3507"/>
      <c r="D18" s="2472"/>
      <c r="E18" s="2472"/>
      <c r="F18" s="2473"/>
      <c r="G18" s="2474"/>
      <c r="H18" s="2484"/>
      <c r="I18" s="2485">
        <f>ROUND(D18*E18*F18*G18/10000,0)</f>
        <v>0</v>
      </c>
    </row>
    <row r="19" spans="1:9" ht="14.25">
      <c r="A19" s="3506"/>
      <c r="B19" s="3507" t="s">
        <v>2501</v>
      </c>
      <c r="C19" s="3507"/>
      <c r="D19" s="2472"/>
      <c r="E19" s="2472"/>
      <c r="F19" s="2473"/>
      <c r="G19" s="2474"/>
      <c r="H19" s="2484"/>
      <c r="I19" s="2485">
        <f>ROUND(D19*E19*F19*G19/10000,0)</f>
        <v>0</v>
      </c>
    </row>
    <row r="20" spans="1:9">
      <c r="A20" s="3506"/>
      <c r="B20" s="3508" t="s">
        <v>2482</v>
      </c>
      <c r="C20" s="3508"/>
      <c r="D20" s="2476">
        <f>SUM(D17:D19)</f>
        <v>0</v>
      </c>
      <c r="E20" s="2476"/>
      <c r="F20" s="2477"/>
      <c r="G20" s="2474"/>
      <c r="H20" s="2481"/>
      <c r="I20" s="2482">
        <f>SUM(I17:I19)</f>
        <v>0</v>
      </c>
    </row>
    <row r="21" spans="1:9">
      <c r="A21" s="3506" t="s">
        <v>2502</v>
      </c>
      <c r="B21" s="3510"/>
      <c r="C21" s="3510"/>
      <c r="D21" s="3510"/>
      <c r="E21" s="3510"/>
      <c r="F21" s="3510"/>
      <c r="G21" s="3510"/>
      <c r="H21" s="2486">
        <v>0.1</v>
      </c>
      <c r="I21" s="2479">
        <f>ROUND(I10*H21,0)</f>
        <v>0</v>
      </c>
    </row>
    <row r="22" spans="1:9" ht="14.25">
      <c r="A22" s="3511" t="s">
        <v>2503</v>
      </c>
      <c r="B22" s="3512"/>
      <c r="C22" s="3513"/>
      <c r="D22" s="2487" t="s">
        <v>2504</v>
      </c>
      <c r="E22" s="2487" t="s">
        <v>2505</v>
      </c>
      <c r="F22" s="2488" t="s">
        <v>2506</v>
      </c>
      <c r="G22" s="2488" t="s">
        <v>2507</v>
      </c>
      <c r="H22" s="2480" t="s">
        <v>2508</v>
      </c>
      <c r="I22" s="2471" t="s">
        <v>2509</v>
      </c>
    </row>
    <row r="23" spans="1:9" ht="14.25" thickBot="1">
      <c r="A23" s="3514"/>
      <c r="B23" s="3515"/>
      <c r="C23" s="3516"/>
      <c r="D23" s="2489"/>
      <c r="E23" s="2489"/>
      <c r="F23" s="2489"/>
      <c r="G23" s="2490"/>
      <c r="H23" s="2491"/>
      <c r="I23" s="2492">
        <f>ROUND(E23*D23*F23*(1-G23)/10000,0)</f>
        <v>0</v>
      </c>
    </row>
    <row r="26" spans="1:9">
      <c r="A26" s="2493" t="s">
        <v>2510</v>
      </c>
      <c r="B26" s="2493"/>
      <c r="C26" s="2493"/>
      <c r="D26" s="2493"/>
      <c r="E26" s="3517">
        <f>C27-C30-C31-C32</f>
        <v>0</v>
      </c>
      <c r="F26" s="3517"/>
      <c r="G26" s="3517"/>
      <c r="H26" s="2994" t="s">
        <v>2835</v>
      </c>
    </row>
    <row r="27" spans="1:9">
      <c r="A27" s="2494">
        <v>1</v>
      </c>
      <c r="B27" s="2495" t="s">
        <v>2511</v>
      </c>
      <c r="C27" s="2495"/>
      <c r="D27" s="2495"/>
      <c r="E27" s="3518"/>
      <c r="F27" s="3518"/>
      <c r="G27" s="3518"/>
    </row>
    <row r="28" spans="1:9">
      <c r="A28" s="2496" t="s">
        <v>2512</v>
      </c>
      <c r="B28" s="2495" t="s">
        <v>2513</v>
      </c>
      <c r="C28" s="2495"/>
      <c r="D28" s="2495"/>
      <c r="E28" s="3518"/>
      <c r="F28" s="3518"/>
      <c r="G28" s="3518"/>
    </row>
    <row r="29" spans="1:9">
      <c r="A29" s="2496" t="s">
        <v>2514</v>
      </c>
      <c r="B29" s="2495" t="s">
        <v>2455</v>
      </c>
      <c r="C29" s="2495"/>
      <c r="D29" s="2495"/>
      <c r="E29" s="2495" t="s">
        <v>2515</v>
      </c>
      <c r="F29" s="2495"/>
      <c r="G29" s="2495"/>
    </row>
    <row r="30" spans="1:9">
      <c r="A30" s="2494">
        <v>2</v>
      </c>
      <c r="B30" s="2495" t="s">
        <v>2516</v>
      </c>
      <c r="C30" s="2495">
        <f>C27*D30</f>
        <v>0</v>
      </c>
      <c r="D30" s="2497">
        <v>0.2</v>
      </c>
      <c r="E30" s="2495" t="s">
        <v>2517</v>
      </c>
      <c r="F30" s="2495"/>
      <c r="G30" s="2495"/>
    </row>
    <row r="31" spans="1:9">
      <c r="A31" s="2494">
        <v>3</v>
      </c>
      <c r="B31" s="2495" t="s">
        <v>2518</v>
      </c>
      <c r="C31" s="2495">
        <f>C25*D31</f>
        <v>0</v>
      </c>
      <c r="D31" s="2497">
        <v>0.15</v>
      </c>
      <c r="E31" s="2495" t="s">
        <v>2519</v>
      </c>
      <c r="F31" s="2495"/>
      <c r="G31" s="2495"/>
    </row>
    <row r="32" spans="1:9">
      <c r="A32" s="2494">
        <v>4</v>
      </c>
      <c r="B32" s="2495" t="s">
        <v>2520</v>
      </c>
      <c r="C32" s="2495">
        <f>C27*D32</f>
        <v>0</v>
      </c>
      <c r="D32" s="2497">
        <v>0.05</v>
      </c>
      <c r="E32" s="3509"/>
      <c r="F32" s="3509"/>
      <c r="G32" s="3509"/>
    </row>
    <row r="33" spans="1:7" hidden="1">
      <c r="A33" s="3519" t="s">
        <v>2521</v>
      </c>
      <c r="B33" s="3520"/>
      <c r="C33" s="3520"/>
      <c r="D33" s="3521"/>
      <c r="E33" s="3517"/>
      <c r="F33" s="3517"/>
      <c r="G33" s="3517"/>
    </row>
    <row r="34" spans="1:7" hidden="1">
      <c r="A34" s="2498">
        <v>1</v>
      </c>
      <c r="B34" s="2495" t="s">
        <v>2522</v>
      </c>
      <c r="C34" s="2495"/>
      <c r="D34" s="2495"/>
      <c r="E34" s="3518"/>
      <c r="F34" s="3518"/>
      <c r="G34" s="3518"/>
    </row>
    <row r="35" spans="1:7" hidden="1">
      <c r="A35" s="2498">
        <v>2</v>
      </c>
      <c r="B35" s="2495" t="s">
        <v>2523</v>
      </c>
      <c r="C35" s="2495"/>
      <c r="D35" s="2495"/>
      <c r="E35" s="3518"/>
      <c r="F35" s="3518"/>
      <c r="G35" s="3518"/>
    </row>
    <row r="36" spans="1:7" hidden="1">
      <c r="A36" s="2498">
        <v>3</v>
      </c>
      <c r="B36" s="2495" t="s">
        <v>2524</v>
      </c>
      <c r="C36" s="2495"/>
      <c r="D36" s="2495"/>
      <c r="E36" s="3518"/>
      <c r="F36" s="3518"/>
      <c r="G36" s="3518"/>
    </row>
    <row r="37" spans="1:7" hidden="1">
      <c r="A37" s="2498">
        <v>4</v>
      </c>
      <c r="B37" s="2495" t="s">
        <v>2525</v>
      </c>
      <c r="C37" s="2495"/>
      <c r="D37" s="2495"/>
      <c r="E37" s="3518"/>
      <c r="F37" s="3518"/>
      <c r="G37" s="3518"/>
    </row>
    <row r="38" spans="1:7" hidden="1">
      <c r="A38" s="3519" t="s">
        <v>2526</v>
      </c>
      <c r="B38" s="3520"/>
      <c r="C38" s="3520"/>
      <c r="D38" s="3521"/>
      <c r="E38" s="3517"/>
      <c r="F38" s="3517"/>
      <c r="G38" s="35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2586" t="s">
        <v>719</v>
      </c>
      <c r="C1" s="2587" t="s">
        <v>720</v>
      </c>
      <c r="D1" s="2588"/>
      <c r="E1" s="2589"/>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519</v>
      </c>
      <c r="B3" s="850" t="e">
        <f>C49</f>
        <v>#DIV/0!</v>
      </c>
      <c r="C3" s="851" t="s">
        <v>722</v>
      </c>
      <c r="D3" s="850">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447" t="s">
        <v>522</v>
      </c>
      <c r="D4" s="3448"/>
      <c r="E4" s="3481" t="s">
        <v>523</v>
      </c>
      <c r="F4" s="3482"/>
      <c r="G4" s="3447" t="s">
        <v>524</v>
      </c>
      <c r="H4" s="3448"/>
      <c r="I4" s="3447" t="s">
        <v>525</v>
      </c>
      <c r="J4" s="3448"/>
      <c r="K4" s="852" t="s">
        <v>526</v>
      </c>
      <c r="L4" s="2117"/>
      <c r="M4" s="2118"/>
      <c r="N4" s="2118"/>
      <c r="O4" s="2118"/>
      <c r="P4" s="3449" t="s">
        <v>527</v>
      </c>
      <c r="Q4" s="3450"/>
      <c r="R4" s="3455" t="s">
        <v>523</v>
      </c>
      <c r="S4" s="3456"/>
      <c r="T4" s="3455" t="s">
        <v>524</v>
      </c>
      <c r="U4" s="3456"/>
      <c r="V4" s="3442" t="s">
        <v>525</v>
      </c>
      <c r="W4" s="3442"/>
      <c r="X4" s="1552"/>
      <c r="Y4" s="3455" t="s">
        <v>527</v>
      </c>
      <c r="Z4" s="3456"/>
      <c r="AA4" s="3444" t="s">
        <v>523</v>
      </c>
      <c r="AB4" s="3444" t="s">
        <v>524</v>
      </c>
      <c r="AC4" s="3444" t="s">
        <v>525</v>
      </c>
    </row>
    <row r="5" spans="1:29" ht="15">
      <c r="A5" s="515"/>
      <c r="B5" s="516"/>
      <c r="C5" s="3463" t="s">
        <v>2923</v>
      </c>
      <c r="D5" s="3464"/>
      <c r="E5" s="3483" t="s">
        <v>2924</v>
      </c>
      <c r="F5" s="3484"/>
      <c r="G5" s="3463" t="s">
        <v>2925</v>
      </c>
      <c r="H5" s="3464"/>
      <c r="I5" s="3463" t="s">
        <v>2926</v>
      </c>
      <c r="J5" s="3464"/>
      <c r="K5" s="853"/>
      <c r="L5" s="2117"/>
      <c r="M5" s="2118"/>
      <c r="N5" s="2118"/>
      <c r="O5" s="2118"/>
      <c r="P5" s="3451"/>
      <c r="Q5" s="3452"/>
      <c r="R5" s="3457"/>
      <c r="S5" s="3458"/>
      <c r="T5" s="3457"/>
      <c r="U5" s="3458"/>
      <c r="V5" s="3442"/>
      <c r="W5" s="3442"/>
      <c r="X5" s="1552"/>
      <c r="Y5" s="3457"/>
      <c r="Z5" s="3458"/>
      <c r="AA5" s="3445"/>
      <c r="AB5" s="3445"/>
      <c r="AC5" s="3445"/>
    </row>
    <row r="6" spans="1:29" ht="15.75" thickBot="1">
      <c r="A6" s="517"/>
      <c r="B6" s="518"/>
      <c r="C6" s="3461" t="s">
        <v>2927</v>
      </c>
      <c r="D6" s="3462"/>
      <c r="E6" s="3479" t="s">
        <v>2927</v>
      </c>
      <c r="F6" s="3480"/>
      <c r="G6" s="3461" t="s">
        <v>2927</v>
      </c>
      <c r="H6" s="3462"/>
      <c r="I6" s="3461" t="s">
        <v>2927</v>
      </c>
      <c r="J6" s="3462"/>
      <c r="K6" s="853" t="s">
        <v>528</v>
      </c>
      <c r="L6" s="2117"/>
      <c r="M6" s="2118"/>
      <c r="N6" s="2118"/>
      <c r="O6" s="2118"/>
      <c r="P6" s="3453"/>
      <c r="Q6" s="3454"/>
      <c r="R6" s="3457"/>
      <c r="S6" s="3458"/>
      <c r="T6" s="3459"/>
      <c r="U6" s="3460"/>
      <c r="V6" s="3442"/>
      <c r="W6" s="3442"/>
      <c r="X6" s="1552"/>
      <c r="Y6" s="3459"/>
      <c r="Z6" s="3460"/>
      <c r="AA6" s="3446"/>
      <c r="AB6" s="3446"/>
      <c r="AC6" s="3446"/>
    </row>
    <row r="7" spans="1:29" s="1214" customFormat="1" ht="15.75" thickBot="1">
      <c r="A7" s="2866"/>
      <c r="B7" s="2873" t="s">
        <v>529</v>
      </c>
      <c r="C7" s="519">
        <f>'数据-取费表'!B2</f>
        <v>44001</v>
      </c>
      <c r="D7" s="520">
        <v>100</v>
      </c>
      <c r="E7" s="521"/>
      <c r="F7" s="522">
        <f>SUMIF(58:58,YEAR(E7)&amp;"-"&amp;MONTH(E7),59:59)</f>
        <v>0</v>
      </c>
      <c r="G7" s="523"/>
      <c r="H7" s="520">
        <f>SUMIF(58:58,YEAR(G7)&amp;"-"&amp;MONTH(G7),59:59)</f>
        <v>0</v>
      </c>
      <c r="I7" s="523"/>
      <c r="J7" s="520">
        <f>SUMIF(58:58,YEAR(I7)&amp;"-"&amp;MONTH(I7),59:59)</f>
        <v>0</v>
      </c>
      <c r="K7" s="854"/>
      <c r="L7" s="2119"/>
      <c r="M7" s="2120"/>
      <c r="N7" s="2120"/>
      <c r="O7" s="2120"/>
      <c r="P7" s="3472" t="s">
        <v>530</v>
      </c>
      <c r="Q7" s="3474"/>
      <c r="R7" s="1553" t="s">
        <v>13</v>
      </c>
      <c r="S7" s="1554">
        <f t="shared" ref="S7:S15" si="0">F7</f>
        <v>0</v>
      </c>
      <c r="T7" s="1553" t="s">
        <v>13</v>
      </c>
      <c r="U7" s="1554">
        <f t="shared" ref="U7:U15" si="1">H7</f>
        <v>0</v>
      </c>
      <c r="V7" s="1553" t="s">
        <v>13</v>
      </c>
      <c r="W7" s="1554">
        <f t="shared" ref="W7:W15" si="2">J7</f>
        <v>0</v>
      </c>
      <c r="X7" s="1555"/>
      <c r="Y7" s="3472" t="s">
        <v>530</v>
      </c>
      <c r="Z7" s="3473"/>
      <c r="AA7" s="1556" t="e">
        <f>D7/F7</f>
        <v>#DIV/0!</v>
      </c>
      <c r="AB7" s="1556" t="e">
        <f>D7/H7</f>
        <v>#DIV/0!</v>
      </c>
      <c r="AC7" s="1556" t="e">
        <f>D7/J7</f>
        <v>#DIV/0!</v>
      </c>
    </row>
    <row r="8" spans="1:29" s="1214" customFormat="1" ht="15.75" thickBot="1">
      <c r="A8" s="2867"/>
      <c r="B8" s="2874" t="s">
        <v>531</v>
      </c>
      <c r="C8" s="525" t="s">
        <v>576</v>
      </c>
      <c r="D8" s="520">
        <v>100</v>
      </c>
      <c r="E8" s="855"/>
      <c r="F8" s="522">
        <f>SUMIF(61:61,E8,62:62)-SUMIF(61:61,C8,62:62)+100</f>
        <v>0</v>
      </c>
      <c r="G8" s="525"/>
      <c r="H8" s="520">
        <f>SUMIF(61:61,G8,62:62)-SUMIF(61:61,C8,62:62)+100</f>
        <v>0</v>
      </c>
      <c r="I8" s="855"/>
      <c r="J8" s="520">
        <f>SUMIF(61:61,I8,62:62)-SUMIF(61:61,C8,62:62)+100</f>
        <v>0</v>
      </c>
      <c r="K8" s="854"/>
      <c r="L8" s="2119"/>
      <c r="M8" s="2120"/>
      <c r="N8" s="2120"/>
      <c r="O8" s="2120"/>
      <c r="P8" s="3472" t="s">
        <v>533</v>
      </c>
      <c r="Q8" s="3473"/>
      <c r="R8" s="1553" t="s">
        <v>13</v>
      </c>
      <c r="S8" s="1554">
        <f t="shared" si="0"/>
        <v>0</v>
      </c>
      <c r="T8" s="1553" t="s">
        <v>13</v>
      </c>
      <c r="U8" s="1554">
        <f t="shared" si="1"/>
        <v>0</v>
      </c>
      <c r="V8" s="1553" t="s">
        <v>13</v>
      </c>
      <c r="W8" s="1554">
        <f t="shared" si="2"/>
        <v>0</v>
      </c>
      <c r="X8" s="1555"/>
      <c r="Y8" s="3472" t="s">
        <v>533</v>
      </c>
      <c r="Z8" s="3473"/>
      <c r="AA8" s="1556" t="e">
        <f t="shared" ref="AA8:AA46" si="3">D8/F8</f>
        <v>#DIV/0!</v>
      </c>
      <c r="AB8" s="1556" t="e">
        <f t="shared" ref="AB8:AB46" si="4">D8/H8</f>
        <v>#DIV/0!</v>
      </c>
      <c r="AC8" s="1556" t="e">
        <f t="shared" ref="AC8:AC46" si="5">D8/J8</f>
        <v>#DIV/0!</v>
      </c>
    </row>
    <row r="9" spans="1:29" s="1214" customFormat="1" ht="15">
      <c r="A9" s="2868"/>
      <c r="B9" s="2875" t="s">
        <v>2750</v>
      </c>
      <c r="C9" s="856"/>
      <c r="D9" s="254">
        <v>100</v>
      </c>
      <c r="E9" s="857"/>
      <c r="F9" s="858">
        <f>SUMIF(63:63,E9,64:64)-SUMIF(63:63,C9,64:64)+100</f>
        <v>100</v>
      </c>
      <c r="G9" s="859"/>
      <c r="H9" s="254">
        <f>SUMIF(63:63,G9,64:64)-SUMIF(63:63,C9,64:64)+100</f>
        <v>100</v>
      </c>
      <c r="I9" s="859"/>
      <c r="J9" s="254">
        <f>SUMIF(63:63,I9,64:64)-SUMIF(63:63,C9,64:64)+100</f>
        <v>100</v>
      </c>
      <c r="K9" s="854"/>
      <c r="L9" s="2119"/>
      <c r="M9" s="2120"/>
      <c r="N9" s="2120"/>
      <c r="O9" s="2121"/>
      <c r="P9" s="3441" t="s">
        <v>535</v>
      </c>
      <c r="Q9" s="1145" t="str">
        <f t="shared" ref="Q9:Q15" si="6">B9</f>
        <v>用途</v>
      </c>
      <c r="R9" s="1553" t="s">
        <v>8</v>
      </c>
      <c r="S9" s="1554">
        <f t="shared" si="0"/>
        <v>100</v>
      </c>
      <c r="T9" s="1553" t="s">
        <v>8</v>
      </c>
      <c r="U9" s="1554">
        <f t="shared" si="1"/>
        <v>100</v>
      </c>
      <c r="V9" s="1553" t="s">
        <v>8</v>
      </c>
      <c r="W9" s="1554">
        <f t="shared" si="2"/>
        <v>100</v>
      </c>
      <c r="X9" s="1555"/>
      <c r="Y9" s="3361"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1"/>
      <c r="F10" s="862">
        <f>SUMIF(65:65,E10,66:66)-SUMIF(65:65,C10,66:66)+100</f>
        <v>100</v>
      </c>
      <c r="G10" s="860"/>
      <c r="H10" s="255">
        <f>SUMIF(65:65,G10,66:66)-SUMIF(65:65,C10,66:66)+100</f>
        <v>100</v>
      </c>
      <c r="I10" s="860"/>
      <c r="J10" s="255">
        <f>SUMIF(65:65,I10,66:66)-SUMIF(65:65,C10,66:66)+100</f>
        <v>100</v>
      </c>
      <c r="K10" s="863"/>
      <c r="L10" s="2122"/>
      <c r="M10" s="2162"/>
      <c r="N10" s="2162"/>
      <c r="O10" s="2123"/>
      <c r="P10" s="3441"/>
      <c r="Q10" s="1145" t="str">
        <f t="shared" si="6"/>
        <v>土地使用年限（年）</v>
      </c>
      <c r="R10" s="1553" t="s">
        <v>8</v>
      </c>
      <c r="S10" s="1554">
        <f t="shared" si="0"/>
        <v>100</v>
      </c>
      <c r="T10" s="1553" t="s">
        <v>8</v>
      </c>
      <c r="U10" s="1554">
        <f t="shared" si="1"/>
        <v>100</v>
      </c>
      <c r="V10" s="1553" t="s">
        <v>8</v>
      </c>
      <c r="W10" s="1554">
        <f t="shared" si="2"/>
        <v>100</v>
      </c>
      <c r="X10" s="1555"/>
      <c r="Y10" s="3361"/>
      <c r="Z10" s="1144" t="str">
        <f t="shared" si="7"/>
        <v>土地使用年限（年）</v>
      </c>
      <c r="AA10" s="1556">
        <f t="shared" si="3"/>
        <v>1</v>
      </c>
      <c r="AB10" s="1556">
        <f t="shared" si="4"/>
        <v>1</v>
      </c>
      <c r="AC10" s="1556">
        <f t="shared" si="5"/>
        <v>1</v>
      </c>
    </row>
    <row r="11" spans="1:29" ht="15">
      <c r="A11" s="2870"/>
      <c r="B11" s="2874" t="s">
        <v>2752</v>
      </c>
      <c r="C11" s="533"/>
      <c r="D11" s="255">
        <v>100</v>
      </c>
      <c r="E11" s="534"/>
      <c r="F11" s="862" t="e">
        <f>LOOKUP(E11,68:68,69:69)-LOOKUP(C11,68:68,69:69)+100</f>
        <v>#N/A</v>
      </c>
      <c r="G11" s="533"/>
      <c r="H11" s="255" t="e">
        <f>LOOKUP(G11,68:68,69:69)-LOOKUP(C11,68:68,69:69)+100</f>
        <v>#N/A</v>
      </c>
      <c r="I11" s="533"/>
      <c r="J11" s="255" t="e">
        <f>LOOKUP(I11,68:68,69:69)-LOOKUP(C11,68:68,69:69)+100</f>
        <v>#N/A</v>
      </c>
      <c r="K11" s="863"/>
      <c r="L11" s="2124"/>
      <c r="M11" s="2118"/>
      <c r="N11" s="2118"/>
      <c r="O11" s="2125"/>
      <c r="P11" s="3441"/>
      <c r="Q11" s="1145" t="str">
        <f t="shared" si="6"/>
        <v>容积率</v>
      </c>
      <c r="R11" s="1553" t="s">
        <v>11</v>
      </c>
      <c r="S11" s="1554" t="e">
        <f t="shared" si="0"/>
        <v>#N/A</v>
      </c>
      <c r="T11" s="1553" t="s">
        <v>11</v>
      </c>
      <c r="U11" s="1554" t="e">
        <f t="shared" si="1"/>
        <v>#N/A</v>
      </c>
      <c r="V11" s="1553" t="s">
        <v>11</v>
      </c>
      <c r="W11" s="1554" t="e">
        <f t="shared" si="2"/>
        <v>#N/A</v>
      </c>
      <c r="X11" s="1555"/>
      <c r="Y11" s="3361"/>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28"/>
      <c r="F12" s="862">
        <f>SUMIF(70:70,E12,71:71)-SUMIF(70:70,C12,71:71)+100</f>
        <v>100</v>
      </c>
      <c r="G12" s="528"/>
      <c r="H12" s="255">
        <f>SUMIF(70:70,G12,71:71)-SUMIF(70:70,C12,71:71)+100</f>
        <v>100</v>
      </c>
      <c r="I12" s="528"/>
      <c r="J12" s="255">
        <f>SUMIF(70:70,I12,71:71)-SUMIF(70:70,C12,71:71)+100</f>
        <v>100</v>
      </c>
      <c r="K12" s="864"/>
      <c r="L12" s="2119"/>
      <c r="M12" s="2120"/>
      <c r="N12" s="2120"/>
      <c r="O12" s="2121"/>
      <c r="P12" s="3441"/>
      <c r="Q12" s="1145">
        <f t="shared" si="6"/>
        <v>111</v>
      </c>
      <c r="R12" s="1553" t="s">
        <v>11</v>
      </c>
      <c r="S12" s="1554">
        <f t="shared" si="0"/>
        <v>100</v>
      </c>
      <c r="T12" s="1553" t="s">
        <v>11</v>
      </c>
      <c r="U12" s="1554">
        <f t="shared" si="1"/>
        <v>100</v>
      </c>
      <c r="V12" s="1553" t="s">
        <v>11</v>
      </c>
      <c r="W12" s="1554">
        <f t="shared" si="2"/>
        <v>100</v>
      </c>
      <c r="X12" s="1555"/>
      <c r="Y12" s="3361"/>
      <c r="Z12" s="1144">
        <f t="shared" si="7"/>
        <v>111</v>
      </c>
      <c r="AA12" s="1556">
        <f>D12/F12</f>
        <v>1</v>
      </c>
      <c r="AB12" s="1556">
        <f>D12/H12</f>
        <v>1</v>
      </c>
      <c r="AC12" s="1556">
        <f>D12/J12</f>
        <v>1</v>
      </c>
    </row>
    <row r="13" spans="1:29" ht="15">
      <c r="A13" s="2871"/>
      <c r="B13" s="2877">
        <v>111</v>
      </c>
      <c r="C13" s="539"/>
      <c r="D13" s="540">
        <v>100</v>
      </c>
      <c r="E13" s="539"/>
      <c r="F13" s="862">
        <f>SUMIF(72:72,E13,73:73)-SUMIF(72:72,C13,73:73)+100</f>
        <v>100</v>
      </c>
      <c r="G13" s="539"/>
      <c r="H13" s="540">
        <f>SUMIF(72:72,G13,73:73)-SUMIF(72:72,C13,73:73)+100</f>
        <v>100</v>
      </c>
      <c r="I13" s="539"/>
      <c r="J13" s="540">
        <f>SUMIF(72:72,I13,73:73)-SUMIF(72:72,C13,73:73)+100</f>
        <v>100</v>
      </c>
      <c r="K13" s="864"/>
      <c r="L13" s="2126"/>
      <c r="M13" s="2118"/>
      <c r="N13" s="2118"/>
      <c r="O13" s="2125"/>
      <c r="P13" s="3441"/>
      <c r="Q13" s="1145">
        <f t="shared" si="6"/>
        <v>111</v>
      </c>
      <c r="R13" s="1553" t="s">
        <v>11</v>
      </c>
      <c r="S13" s="1554">
        <f t="shared" si="0"/>
        <v>100</v>
      </c>
      <c r="T13" s="1553" t="s">
        <v>11</v>
      </c>
      <c r="U13" s="1554">
        <f t="shared" si="1"/>
        <v>100</v>
      </c>
      <c r="V13" s="1553" t="s">
        <v>11</v>
      </c>
      <c r="W13" s="1554">
        <f t="shared" si="2"/>
        <v>100</v>
      </c>
      <c r="X13" s="1555"/>
      <c r="Y13" s="3361"/>
      <c r="Z13" s="1144">
        <f t="shared" si="7"/>
        <v>111</v>
      </c>
      <c r="AA13" s="1556">
        <f t="shared" si="3"/>
        <v>1</v>
      </c>
      <c r="AB13" s="1556">
        <f t="shared" si="4"/>
        <v>1</v>
      </c>
      <c r="AC13" s="1556">
        <f t="shared" si="5"/>
        <v>1</v>
      </c>
    </row>
    <row r="14" spans="1:29" ht="15.75" thickBot="1">
      <c r="A14" s="2872"/>
      <c r="B14" s="2878">
        <v>111</v>
      </c>
      <c r="C14" s="545"/>
      <c r="D14" s="546">
        <v>100</v>
      </c>
      <c r="E14" s="545"/>
      <c r="F14" s="865">
        <f>SUMIF(74:74,E14,75:75)-SUMIF(74:74,C14,75:75)+100</f>
        <v>100</v>
      </c>
      <c r="G14" s="545"/>
      <c r="H14" s="546">
        <f>SUMIF(74:74,G14,75:75)-SUMIF(74:74,C14,75:75)+100</f>
        <v>100</v>
      </c>
      <c r="I14" s="545"/>
      <c r="J14" s="546">
        <f>SUMIF(74:74,I14,75:75)-SUMIF(74:74,C14,75:75)+100</f>
        <v>100</v>
      </c>
      <c r="K14" s="864"/>
      <c r="L14" s="2126"/>
      <c r="M14" s="2118"/>
      <c r="N14" s="2118"/>
      <c r="O14" s="2125"/>
      <c r="P14" s="3441"/>
      <c r="Q14" s="1145">
        <f t="shared" si="6"/>
        <v>111</v>
      </c>
      <c r="R14" s="1553" t="s">
        <v>11</v>
      </c>
      <c r="S14" s="1554">
        <f t="shared" si="0"/>
        <v>100</v>
      </c>
      <c r="T14" s="1553" t="s">
        <v>11</v>
      </c>
      <c r="U14" s="1554">
        <f t="shared" si="1"/>
        <v>100</v>
      </c>
      <c r="V14" s="1553" t="s">
        <v>11</v>
      </c>
      <c r="W14" s="1554">
        <f t="shared" si="2"/>
        <v>100</v>
      </c>
      <c r="X14" s="1555"/>
      <c r="Y14" s="3361"/>
      <c r="Z14" s="1144">
        <f t="shared" si="7"/>
        <v>111</v>
      </c>
      <c r="AA14" s="1556">
        <f t="shared" si="3"/>
        <v>1</v>
      </c>
      <c r="AB14" s="1556">
        <f t="shared" si="4"/>
        <v>1</v>
      </c>
      <c r="AC14" s="1556">
        <f t="shared" si="5"/>
        <v>1</v>
      </c>
    </row>
    <row r="15" spans="1:29" ht="99.75">
      <c r="A15" s="2864" t="s">
        <v>2748</v>
      </c>
      <c r="B15" s="166" t="s">
        <v>295</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7"/>
      <c r="L15" s="2126"/>
      <c r="M15" s="2118"/>
      <c r="N15" s="2118"/>
      <c r="O15" s="2125"/>
      <c r="P15" s="3475" t="s">
        <v>540</v>
      </c>
      <c r="Q15" s="1557" t="str">
        <f t="shared" si="6"/>
        <v>居住社区成熟度</v>
      </c>
      <c r="R15" s="1558" t="s">
        <v>11</v>
      </c>
      <c r="S15" s="1559">
        <f t="shared" si="0"/>
        <v>100</v>
      </c>
      <c r="T15" s="1558" t="s">
        <v>11</v>
      </c>
      <c r="U15" s="1559">
        <f t="shared" si="1"/>
        <v>100</v>
      </c>
      <c r="V15" s="1558" t="s">
        <v>11</v>
      </c>
      <c r="W15" s="1559">
        <f t="shared" si="2"/>
        <v>100</v>
      </c>
      <c r="X15" s="1552"/>
      <c r="Y15" s="3475" t="s">
        <v>540</v>
      </c>
      <c r="Z15" s="1560" t="str">
        <f t="shared" si="7"/>
        <v>居住社区成熟度</v>
      </c>
      <c r="AA15" s="1561">
        <f t="shared" si="3"/>
        <v>1</v>
      </c>
      <c r="AB15" s="1561">
        <f t="shared" si="4"/>
        <v>1</v>
      </c>
      <c r="AC15" s="1561">
        <f t="shared" si="5"/>
        <v>1</v>
      </c>
    </row>
    <row r="16" spans="1:29" ht="15">
      <c r="A16" s="532"/>
      <c r="B16" s="868"/>
      <c r="C16" s="576"/>
      <c r="D16" s="555"/>
      <c r="E16" s="556"/>
      <c r="F16" s="557"/>
      <c r="G16" s="558"/>
      <c r="H16" s="559"/>
      <c r="I16" s="556"/>
      <c r="J16" s="555"/>
      <c r="K16" s="869"/>
      <c r="L16" s="2126"/>
      <c r="M16" s="2118"/>
      <c r="N16" s="2118"/>
      <c r="O16" s="2125"/>
      <c r="P16" s="3476"/>
      <c r="Q16" s="1557"/>
      <c r="R16" s="1558"/>
      <c r="S16" s="1559"/>
      <c r="T16" s="1558"/>
      <c r="U16" s="1559"/>
      <c r="V16" s="1558"/>
      <c r="W16" s="1559"/>
      <c r="X16" s="1552"/>
      <c r="Y16" s="3476"/>
      <c r="Z16" s="1560"/>
      <c r="AA16" s="1561">
        <v>1</v>
      </c>
      <c r="AB16" s="1561">
        <v>1</v>
      </c>
      <c r="AC16" s="1561">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7"/>
      <c r="L17" s="2126"/>
      <c r="M17" s="2118"/>
      <c r="N17" s="2118"/>
      <c r="O17" s="2125"/>
      <c r="P17" s="3476"/>
      <c r="Q17" s="1557" t="str">
        <f>B17</f>
        <v>交通便捷度</v>
      </c>
      <c r="R17" s="1558" t="s">
        <v>11</v>
      </c>
      <c r="S17" s="1559">
        <f>F17</f>
        <v>100</v>
      </c>
      <c r="T17" s="1558" t="s">
        <v>11</v>
      </c>
      <c r="U17" s="1559">
        <f>H17</f>
        <v>100</v>
      </c>
      <c r="V17" s="1558" t="s">
        <v>11</v>
      </c>
      <c r="W17" s="1559">
        <f>J17</f>
        <v>100</v>
      </c>
      <c r="X17" s="1552"/>
      <c r="Y17" s="3476"/>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69"/>
      <c r="L18" s="2126"/>
      <c r="M18" s="2118"/>
      <c r="N18" s="2118"/>
      <c r="O18" s="2125"/>
      <c r="P18" s="3476"/>
      <c r="Q18" s="1557"/>
      <c r="R18" s="1558"/>
      <c r="S18" s="1559"/>
      <c r="T18" s="1558"/>
      <c r="U18" s="1559"/>
      <c r="V18" s="1558"/>
      <c r="W18" s="1559"/>
      <c r="X18" s="1552"/>
      <c r="Y18" s="3476"/>
      <c r="Z18" s="1560"/>
      <c r="AA18" s="1561">
        <v>1</v>
      </c>
      <c r="AB18" s="1561">
        <v>1</v>
      </c>
      <c r="AC18" s="1561">
        <v>1</v>
      </c>
    </row>
    <row r="19" spans="1:29" ht="42.75">
      <c r="A19" s="532"/>
      <c r="B19" s="2563" t="s">
        <v>2541</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7"/>
      <c r="L19" s="2126"/>
      <c r="M19" s="2118"/>
      <c r="N19" s="2118"/>
      <c r="O19" s="2125"/>
      <c r="P19" s="3476"/>
      <c r="Q19" s="1557" t="str">
        <f>B19</f>
        <v>公共配套设施</v>
      </c>
      <c r="R19" s="1558" t="s">
        <v>11</v>
      </c>
      <c r="S19" s="1559">
        <f>F19</f>
        <v>100</v>
      </c>
      <c r="T19" s="1558" t="s">
        <v>11</v>
      </c>
      <c r="U19" s="1559">
        <f>H19</f>
        <v>100</v>
      </c>
      <c r="V19" s="1558" t="s">
        <v>11</v>
      </c>
      <c r="W19" s="1559">
        <f>J19</f>
        <v>100</v>
      </c>
      <c r="X19" s="1552"/>
      <c r="Y19" s="3476"/>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69"/>
      <c r="L20" s="2126"/>
      <c r="M20" s="2118"/>
      <c r="N20" s="2118"/>
      <c r="O20" s="2125"/>
      <c r="P20" s="3476"/>
      <c r="Q20" s="1557"/>
      <c r="R20" s="1558"/>
      <c r="S20" s="1559"/>
      <c r="T20" s="1558"/>
      <c r="U20" s="1559"/>
      <c r="V20" s="1558"/>
      <c r="W20" s="1559"/>
      <c r="X20" s="1552"/>
      <c r="Y20" s="3476"/>
      <c r="Z20" s="1560"/>
      <c r="AA20" s="1561">
        <v>1</v>
      </c>
      <c r="AB20" s="1561">
        <v>1</v>
      </c>
      <c r="AC20" s="1561">
        <v>1</v>
      </c>
    </row>
    <row r="21" spans="1:29" ht="28.5">
      <c r="A21" s="532"/>
      <c r="B21" s="2556" t="s">
        <v>2553</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7"/>
      <c r="L21" s="2126"/>
      <c r="M21" s="2118"/>
      <c r="N21" s="2118"/>
      <c r="O21" s="2125"/>
      <c r="P21" s="3476"/>
      <c r="Q21" s="2542" t="str">
        <f>B21</f>
        <v>基础设施水平</v>
      </c>
      <c r="R21" s="1558" t="s">
        <v>11</v>
      </c>
      <c r="S21" s="1559">
        <f>F21</f>
        <v>100</v>
      </c>
      <c r="T21" s="1558" t="s">
        <v>11</v>
      </c>
      <c r="U21" s="1559">
        <f>H21</f>
        <v>100</v>
      </c>
      <c r="V21" s="1558" t="s">
        <v>11</v>
      </c>
      <c r="W21" s="1559">
        <f>J21</f>
        <v>100</v>
      </c>
      <c r="X21" s="2544"/>
      <c r="Y21" s="3476"/>
      <c r="Z21" s="2543" t="str">
        <f>Q21</f>
        <v>基础设施水平</v>
      </c>
      <c r="AA21" s="1561">
        <f t="shared" ref="AA21" si="8">D21/F21</f>
        <v>1</v>
      </c>
      <c r="AB21" s="1561">
        <f t="shared" ref="AB21" si="9">D21/H21</f>
        <v>1</v>
      </c>
      <c r="AC21" s="1561">
        <f t="shared" ref="AC21" si="10">D21/J21</f>
        <v>1</v>
      </c>
    </row>
    <row r="22" spans="1:29" ht="15">
      <c r="A22" s="532"/>
      <c r="B22" s="921"/>
      <c r="C22" s="872"/>
      <c r="D22" s="555"/>
      <c r="E22" s="576"/>
      <c r="F22" s="557"/>
      <c r="G22" s="576"/>
      <c r="H22" s="555"/>
      <c r="I22" s="576"/>
      <c r="J22" s="555"/>
      <c r="K22" s="2562"/>
      <c r="L22" s="2126"/>
      <c r="M22" s="2118"/>
      <c r="N22" s="2118"/>
      <c r="O22" s="2125"/>
      <c r="P22" s="3476"/>
      <c r="Q22" s="2542"/>
      <c r="R22" s="1558"/>
      <c r="S22" s="1559"/>
      <c r="T22" s="1558"/>
      <c r="U22" s="1559"/>
      <c r="V22" s="1558"/>
      <c r="W22" s="1559"/>
      <c r="X22" s="2544"/>
      <c r="Y22" s="3476"/>
      <c r="Z22" s="2543"/>
      <c r="AA22" s="1561">
        <v>1</v>
      </c>
      <c r="AB22" s="1561">
        <v>1</v>
      </c>
      <c r="AC22" s="1561">
        <v>1</v>
      </c>
    </row>
    <row r="23" spans="1:29" ht="57">
      <c r="A23" s="532"/>
      <c r="B23" s="870" t="s">
        <v>297</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7"/>
      <c r="L23" s="2126"/>
      <c r="M23" s="2118"/>
      <c r="N23" s="2118"/>
      <c r="O23" s="2125"/>
      <c r="P23" s="3476"/>
      <c r="Q23" s="1557" t="str">
        <f>B23</f>
        <v>自然及人文环境</v>
      </c>
      <c r="R23" s="1558" t="s">
        <v>11</v>
      </c>
      <c r="S23" s="1559">
        <f>F23</f>
        <v>100</v>
      </c>
      <c r="T23" s="1558" t="s">
        <v>11</v>
      </c>
      <c r="U23" s="1559">
        <f>H23</f>
        <v>100</v>
      </c>
      <c r="V23" s="1558" t="s">
        <v>11</v>
      </c>
      <c r="W23" s="1559">
        <f>J23</f>
        <v>100</v>
      </c>
      <c r="X23" s="1552"/>
      <c r="Y23" s="3476"/>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69"/>
      <c r="L24" s="2126"/>
      <c r="M24" s="2118"/>
      <c r="N24" s="2118"/>
      <c r="O24" s="2125"/>
      <c r="P24" s="3476"/>
      <c r="Q24" s="1557"/>
      <c r="R24" s="1558"/>
      <c r="S24" s="1559"/>
      <c r="T24" s="1558"/>
      <c r="U24" s="1559"/>
      <c r="V24" s="1558"/>
      <c r="W24" s="1559"/>
      <c r="X24" s="1552"/>
      <c r="Y24" s="3476"/>
      <c r="Z24" s="1560"/>
      <c r="AA24" s="1561">
        <v>1</v>
      </c>
      <c r="AB24" s="1561">
        <v>1</v>
      </c>
      <c r="AC24" s="1561">
        <v>1</v>
      </c>
    </row>
    <row r="25" spans="1:29" ht="15">
      <c r="A25" s="532"/>
      <c r="B25" s="1879" t="s">
        <v>2252</v>
      </c>
      <c r="C25" s="574"/>
      <c r="D25" s="540">
        <v>100</v>
      </c>
      <c r="E25" s="873"/>
      <c r="F25" s="575">
        <f>SUMIF(86:86,E25,87:87)-SUMIF(86:86,C25,87:87)+100</f>
        <v>100</v>
      </c>
      <c r="G25" s="599"/>
      <c r="H25" s="540">
        <f>SUMIF(86:86,G25,87:87)-SUMIF(86:86,C25,87:87)+100</f>
        <v>100</v>
      </c>
      <c r="I25" s="873"/>
      <c r="J25" s="540">
        <f>SUMIF(86:86,I25,87:87)-SUMIF(86:86,C25,87:87)+100</f>
        <v>100</v>
      </c>
      <c r="K25" s="863"/>
      <c r="L25" s="2126"/>
      <c r="M25" s="2118"/>
      <c r="N25" s="2118"/>
      <c r="O25" s="2125"/>
      <c r="P25" s="3476"/>
      <c r="Q25" s="1557" t="str">
        <f t="shared" ref="Q25:Q46" si="11">B25</f>
        <v>楼层-1</v>
      </c>
      <c r="R25" s="1558" t="s">
        <v>11</v>
      </c>
      <c r="S25" s="1559">
        <f>F25</f>
        <v>100</v>
      </c>
      <c r="T25" s="1558" t="s">
        <v>11</v>
      </c>
      <c r="U25" s="1559">
        <f>H25</f>
        <v>100</v>
      </c>
      <c r="V25" s="1558" t="s">
        <v>11</v>
      </c>
      <c r="W25" s="1559">
        <f>J25</f>
        <v>100</v>
      </c>
      <c r="X25" s="1552"/>
      <c r="Y25" s="3476"/>
      <c r="Z25" s="1560" t="str">
        <f>Q25</f>
        <v>楼层-1</v>
      </c>
      <c r="AA25" s="1561">
        <f t="shared" si="3"/>
        <v>1</v>
      </c>
      <c r="AB25" s="1561">
        <f t="shared" si="4"/>
        <v>1</v>
      </c>
      <c r="AC25" s="1561">
        <f t="shared" si="5"/>
        <v>1</v>
      </c>
    </row>
    <row r="26" spans="1:29" ht="15">
      <c r="A26" s="532"/>
      <c r="B26" s="527" t="s">
        <v>723</v>
      </c>
      <c r="C26" s="574"/>
      <c r="D26" s="540">
        <v>100</v>
      </c>
      <c r="E26" s="873"/>
      <c r="F26" s="575">
        <f>SUMIF(88:88,E26,89:89)-SUMIF(88:88,C26,89:89)+100</f>
        <v>100</v>
      </c>
      <c r="G26" s="599"/>
      <c r="H26" s="540">
        <f>SUMIF(88:88,G26,89:89)-SUMIF(88:88,C26,89:89)+100</f>
        <v>100</v>
      </c>
      <c r="I26" s="873"/>
      <c r="J26" s="540">
        <f>SUMIF(88:88,I26,89:89)-SUMIF(88:88,C26,89:89)+100</f>
        <v>100</v>
      </c>
      <c r="K26" s="863"/>
      <c r="L26" s="2126"/>
      <c r="M26" s="2118"/>
      <c r="N26" s="2118"/>
      <c r="O26" s="2125"/>
      <c r="P26" s="3476"/>
      <c r="Q26" s="1557" t="str">
        <f t="shared" si="11"/>
        <v>朝向</v>
      </c>
      <c r="R26" s="1558" t="s">
        <v>11</v>
      </c>
      <c r="S26" s="1559">
        <f>F26</f>
        <v>100</v>
      </c>
      <c r="T26" s="1558" t="s">
        <v>11</v>
      </c>
      <c r="U26" s="1559">
        <f>H26</f>
        <v>100</v>
      </c>
      <c r="V26" s="1558" t="s">
        <v>11</v>
      </c>
      <c r="W26" s="1559">
        <f>J26</f>
        <v>100</v>
      </c>
      <c r="X26" s="1552"/>
      <c r="Y26" s="3476"/>
      <c r="Z26" s="1560" t="str">
        <f>Q26</f>
        <v>朝向</v>
      </c>
      <c r="AA26" s="1561">
        <f t="shared" si="3"/>
        <v>1</v>
      </c>
      <c r="AB26" s="1561">
        <f t="shared" si="4"/>
        <v>1</v>
      </c>
      <c r="AC26" s="1561">
        <f t="shared" si="5"/>
        <v>1</v>
      </c>
    </row>
    <row r="27" spans="1:29" s="1214" customFormat="1" ht="15">
      <c r="A27" s="536"/>
      <c r="B27" s="537" t="s">
        <v>724</v>
      </c>
      <c r="C27" s="528"/>
      <c r="D27" s="874">
        <v>100</v>
      </c>
      <c r="E27" s="530"/>
      <c r="F27" s="875">
        <f>SUMIF(90:90,E27,91:91)-SUMIF(90:90,C27,91:91)+100</f>
        <v>100</v>
      </c>
      <c r="G27" s="529"/>
      <c r="H27" s="874">
        <f>SUMIF(90:90,G27,91:91)-SUMIF(90:90,C27,91:91)+100</f>
        <v>100</v>
      </c>
      <c r="I27" s="530"/>
      <c r="J27" s="874">
        <f>SUMIF(90:90,I27,91:91)-SUMIF(90:90,C27,91:91)+100</f>
        <v>100</v>
      </c>
      <c r="K27" s="864"/>
      <c r="L27" s="2119"/>
      <c r="M27" s="2120"/>
      <c r="N27" s="2120"/>
      <c r="O27" s="2121"/>
      <c r="P27" s="3476"/>
      <c r="Q27" s="1145" t="str">
        <f t="shared" si="11"/>
        <v>道路级别</v>
      </c>
      <c r="R27" s="1553" t="s">
        <v>11</v>
      </c>
      <c r="S27" s="1554">
        <f>F27</f>
        <v>100</v>
      </c>
      <c r="T27" s="1553" t="s">
        <v>11</v>
      </c>
      <c r="U27" s="1554">
        <f>H27</f>
        <v>100</v>
      </c>
      <c r="V27" s="1553" t="s">
        <v>11</v>
      </c>
      <c r="W27" s="1554">
        <f>J27</f>
        <v>100</v>
      </c>
      <c r="X27" s="1555"/>
      <c r="Y27" s="3476"/>
      <c r="Z27" s="1144" t="str">
        <f>Q27</f>
        <v>道路级别</v>
      </c>
      <c r="AA27" s="1561">
        <f>D27/F27</f>
        <v>1</v>
      </c>
      <c r="AB27" s="1561">
        <f>D27/H27</f>
        <v>1</v>
      </c>
      <c r="AC27" s="1561">
        <f>D27/J27</f>
        <v>1</v>
      </c>
    </row>
    <row r="28" spans="1:29" ht="15">
      <c r="A28" s="532"/>
      <c r="B28" s="876">
        <v>111</v>
      </c>
      <c r="C28" s="539"/>
      <c r="D28" s="540">
        <v>100</v>
      </c>
      <c r="E28" s="539"/>
      <c r="F28" s="575">
        <f>SUMIF(92:92,E28,93:93)-SUMIF(92:92,C28,93:93)+100</f>
        <v>100</v>
      </c>
      <c r="G28" s="539"/>
      <c r="H28" s="540">
        <f>SUMIF(92:92,G28,93:93)-SUMIF(92:92,C28,93:93)+100</f>
        <v>100</v>
      </c>
      <c r="I28" s="539"/>
      <c r="J28" s="540">
        <f>SUMIF(92:92,I28,93:93)-SUMIF(92:92,C28,93:93)+100</f>
        <v>100</v>
      </c>
      <c r="K28" s="864"/>
      <c r="L28" s="2126"/>
      <c r="M28" s="2118"/>
      <c r="N28" s="2118"/>
      <c r="O28" s="2125"/>
      <c r="P28" s="3476"/>
      <c r="Q28" s="1557">
        <f t="shared" si="11"/>
        <v>111</v>
      </c>
      <c r="R28" s="1558" t="s">
        <v>11</v>
      </c>
      <c r="S28" s="1559">
        <f t="shared" ref="S28:S46" si="12">F28</f>
        <v>100</v>
      </c>
      <c r="T28" s="1558" t="s">
        <v>11</v>
      </c>
      <c r="U28" s="1559">
        <f t="shared" ref="U28:U46" si="13">H28</f>
        <v>100</v>
      </c>
      <c r="V28" s="1558" t="s">
        <v>11</v>
      </c>
      <c r="W28" s="1559">
        <f t="shared" ref="W28:W46" si="14">J28</f>
        <v>100</v>
      </c>
      <c r="X28" s="1552"/>
      <c r="Y28" s="3476"/>
      <c r="Z28" s="1560">
        <f t="shared" ref="Z28:Z46" si="15">Q28</f>
        <v>111</v>
      </c>
      <c r="AA28" s="1561">
        <f t="shared" si="3"/>
        <v>1</v>
      </c>
      <c r="AB28" s="1561">
        <f t="shared" si="4"/>
        <v>1</v>
      </c>
      <c r="AC28" s="1561">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864"/>
      <c r="L29" s="2126"/>
      <c r="M29" s="2118"/>
      <c r="N29" s="2118"/>
      <c r="O29" s="2125"/>
      <c r="P29" s="3476"/>
      <c r="Q29" s="1557">
        <f t="shared" si="11"/>
        <v>111</v>
      </c>
      <c r="R29" s="1558" t="s">
        <v>11</v>
      </c>
      <c r="S29" s="1559">
        <f t="shared" si="12"/>
        <v>100</v>
      </c>
      <c r="T29" s="1558" t="s">
        <v>11</v>
      </c>
      <c r="U29" s="1559">
        <f t="shared" si="13"/>
        <v>100</v>
      </c>
      <c r="V29" s="1558" t="s">
        <v>11</v>
      </c>
      <c r="W29" s="1559">
        <f t="shared" si="14"/>
        <v>100</v>
      </c>
      <c r="X29" s="1552"/>
      <c r="Y29" s="3476"/>
      <c r="Z29" s="1560">
        <f t="shared" si="15"/>
        <v>111</v>
      </c>
      <c r="AA29" s="1561">
        <f t="shared" si="3"/>
        <v>1</v>
      </c>
      <c r="AB29" s="1561">
        <f t="shared" si="4"/>
        <v>1</v>
      </c>
      <c r="AC29" s="1561">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864"/>
      <c r="L30" s="2126"/>
      <c r="M30" s="2118"/>
      <c r="N30" s="2118"/>
      <c r="O30" s="2125"/>
      <c r="P30" s="3476"/>
      <c r="Q30" s="1557">
        <f t="shared" si="11"/>
        <v>111</v>
      </c>
      <c r="R30" s="1558" t="s">
        <v>11</v>
      </c>
      <c r="S30" s="1559">
        <f t="shared" si="12"/>
        <v>100</v>
      </c>
      <c r="T30" s="1558" t="s">
        <v>11</v>
      </c>
      <c r="U30" s="1559">
        <f t="shared" si="13"/>
        <v>100</v>
      </c>
      <c r="V30" s="1558" t="s">
        <v>11</v>
      </c>
      <c r="W30" s="1559">
        <f t="shared" si="14"/>
        <v>100</v>
      </c>
      <c r="X30" s="1552"/>
      <c r="Y30" s="3476"/>
      <c r="Z30" s="1560">
        <f t="shared" si="15"/>
        <v>111</v>
      </c>
      <c r="AA30" s="1561">
        <f t="shared" si="3"/>
        <v>1</v>
      </c>
      <c r="AB30" s="1561">
        <f t="shared" si="4"/>
        <v>1</v>
      </c>
      <c r="AC30" s="1561">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26"/>
      <c r="M31" s="2118"/>
      <c r="N31" s="2118"/>
      <c r="O31" s="2125"/>
      <c r="P31" s="3476"/>
      <c r="Q31" s="1557">
        <f t="shared" si="11"/>
        <v>111</v>
      </c>
      <c r="R31" s="1558" t="s">
        <v>11</v>
      </c>
      <c r="S31" s="1559">
        <f t="shared" si="12"/>
        <v>100</v>
      </c>
      <c r="T31" s="1558" t="s">
        <v>11</v>
      </c>
      <c r="U31" s="1559">
        <f t="shared" si="13"/>
        <v>100</v>
      </c>
      <c r="V31" s="1558" t="s">
        <v>11</v>
      </c>
      <c r="W31" s="1559">
        <f t="shared" si="14"/>
        <v>100</v>
      </c>
      <c r="X31" s="1552"/>
      <c r="Y31" s="3476"/>
      <c r="Z31" s="1560">
        <f t="shared" si="15"/>
        <v>111</v>
      </c>
      <c r="AA31" s="1561">
        <f t="shared" si="3"/>
        <v>1</v>
      </c>
      <c r="AB31" s="1561">
        <f t="shared" si="4"/>
        <v>1</v>
      </c>
      <c r="AC31" s="1561">
        <f t="shared" si="5"/>
        <v>1</v>
      </c>
    </row>
    <row r="32" spans="1:29" ht="15">
      <c r="A32" s="2861" t="s">
        <v>2749</v>
      </c>
      <c r="B32" s="172" t="s">
        <v>725</v>
      </c>
      <c r="C32" s="877"/>
      <c r="D32" s="597">
        <v>100</v>
      </c>
      <c r="E32" s="878"/>
      <c r="F32" s="575">
        <f>SUMIF(100:100,E32,101:101)-SUMIF(100:100,C32,101:101)+100</f>
        <v>100</v>
      </c>
      <c r="G32" s="877"/>
      <c r="H32" s="597">
        <f>SUMIF(100:100,G32,101:101)-SUMIF(100:100,C32,101:101)+100</f>
        <v>100</v>
      </c>
      <c r="I32" s="878"/>
      <c r="J32" s="540">
        <f>SUMIF(100:100,I32,101:101)-SUMIF(100:100,C32,101:101)+100</f>
        <v>100</v>
      </c>
      <c r="K32" s="863"/>
      <c r="L32" s="2126"/>
      <c r="M32" s="2118"/>
      <c r="N32" s="2118"/>
      <c r="O32" s="2125"/>
      <c r="P32" s="3477" t="s">
        <v>550</v>
      </c>
      <c r="Q32" s="1557" t="str">
        <f t="shared" si="11"/>
        <v>建筑类型</v>
      </c>
      <c r="R32" s="1558" t="s">
        <v>11</v>
      </c>
      <c r="S32" s="1559">
        <f t="shared" si="12"/>
        <v>100</v>
      </c>
      <c r="T32" s="1558" t="s">
        <v>11</v>
      </c>
      <c r="U32" s="1559">
        <f t="shared" si="13"/>
        <v>100</v>
      </c>
      <c r="V32" s="1558" t="s">
        <v>11</v>
      </c>
      <c r="W32" s="1559">
        <f t="shared" si="14"/>
        <v>100</v>
      </c>
      <c r="X32" s="1552"/>
      <c r="Y32" s="3478" t="s">
        <v>550</v>
      </c>
      <c r="Z32" s="1560" t="str">
        <f t="shared" si="15"/>
        <v>建筑类型</v>
      </c>
      <c r="AA32" s="1561">
        <f t="shared" si="3"/>
        <v>1</v>
      </c>
      <c r="AB32" s="1561">
        <f t="shared" si="4"/>
        <v>1</v>
      </c>
      <c r="AC32" s="1561">
        <f t="shared" si="5"/>
        <v>1</v>
      </c>
    </row>
    <row r="33" spans="1:29" s="1333" customFormat="1" ht="15">
      <c r="A33" s="603"/>
      <c r="B33" s="527" t="s">
        <v>726</v>
      </c>
      <c r="C33" s="879"/>
      <c r="D33" s="255">
        <v>100</v>
      </c>
      <c r="E33" s="534"/>
      <c r="F33" s="862" t="e">
        <f>LOOKUP(E33,103:103,104:104)-LOOKUP(C33,103:103,104:104)+100</f>
        <v>#N/A</v>
      </c>
      <c r="G33" s="533"/>
      <c r="H33" s="255" t="e">
        <f>LOOKUP(G33,103:103,104:104)-LOOKUP(C33,103:103,104:104)+100</f>
        <v>#N/A</v>
      </c>
      <c r="I33" s="534"/>
      <c r="J33" s="255" t="e">
        <f>LOOKUP(I33,103:103,104:104)-LOOKUP(C33,103:103,104:104)+100</f>
        <v>#N/A</v>
      </c>
      <c r="K33" s="864"/>
      <c r="L33" s="2124"/>
      <c r="M33" s="2155"/>
      <c r="N33" s="2155"/>
      <c r="O33" s="2127"/>
      <c r="P33" s="3478"/>
      <c r="Q33" s="1589" t="str">
        <f t="shared" si="11"/>
        <v>项目建筑规模</v>
      </c>
      <c r="R33" s="1562" t="s">
        <v>11</v>
      </c>
      <c r="S33" s="1563" t="e">
        <f t="shared" si="12"/>
        <v>#N/A</v>
      </c>
      <c r="T33" s="1562" t="s">
        <v>11</v>
      </c>
      <c r="U33" s="1563" t="e">
        <f t="shared" si="13"/>
        <v>#N/A</v>
      </c>
      <c r="V33" s="1562" t="s">
        <v>11</v>
      </c>
      <c r="W33" s="1563" t="e">
        <f t="shared" si="14"/>
        <v>#N/A</v>
      </c>
      <c r="X33" s="1564"/>
      <c r="Y33" s="3478"/>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1"/>
      <c r="J34" s="540">
        <f>SUMIF(105:105,I34,106:106)-SUMIF(105:105,C34,106:106)+100</f>
        <v>100</v>
      </c>
      <c r="K34" s="863"/>
      <c r="L34" s="2126"/>
      <c r="M34" s="2118"/>
      <c r="N34" s="2118"/>
      <c r="O34" s="2125"/>
      <c r="P34" s="3478"/>
      <c r="Q34" s="1557" t="str">
        <f t="shared" si="11"/>
        <v>建筑结构</v>
      </c>
      <c r="R34" s="1558" t="s">
        <v>11</v>
      </c>
      <c r="S34" s="1559">
        <f t="shared" si="12"/>
        <v>100</v>
      </c>
      <c r="T34" s="1558" t="s">
        <v>11</v>
      </c>
      <c r="U34" s="1559">
        <f t="shared" si="13"/>
        <v>100</v>
      </c>
      <c r="V34" s="1558" t="s">
        <v>11</v>
      </c>
      <c r="W34" s="1559">
        <f t="shared" si="14"/>
        <v>100</v>
      </c>
      <c r="X34" s="1552"/>
      <c r="Y34" s="3478"/>
      <c r="Z34" s="1560" t="str">
        <f t="shared" si="15"/>
        <v>建筑结构</v>
      </c>
      <c r="AA34" s="1561">
        <f t="shared" si="3"/>
        <v>1</v>
      </c>
      <c r="AB34" s="1561">
        <f t="shared" si="4"/>
        <v>1</v>
      </c>
      <c r="AC34" s="1561">
        <f t="shared" si="5"/>
        <v>1</v>
      </c>
    </row>
    <row r="35" spans="1:29" ht="15">
      <c r="A35" s="594"/>
      <c r="B35" s="527" t="s">
        <v>728</v>
      </c>
      <c r="C35" s="599"/>
      <c r="D35" s="540">
        <v>100</v>
      </c>
      <c r="E35" s="873"/>
      <c r="F35" s="575">
        <f>SUMIF(107:107,E35,108:108)-SUMIF(107:107,C35,108:108)+100</f>
        <v>100</v>
      </c>
      <c r="G35" s="599"/>
      <c r="H35" s="540">
        <f>SUMIF(107:107,G35,108:108)-SUMIF(107:107,C35,108:108)+100</f>
        <v>100</v>
      </c>
      <c r="I35" s="873"/>
      <c r="J35" s="540">
        <f>SUMIF(107:107,I35,108:108)-SUMIF(107:107,C35,108:108)+100</f>
        <v>100</v>
      </c>
      <c r="K35" s="863"/>
      <c r="L35" s="2126"/>
      <c r="M35" s="2118"/>
      <c r="N35" s="2118"/>
      <c r="O35" s="2125"/>
      <c r="P35" s="3478"/>
      <c r="Q35" s="1557" t="str">
        <f t="shared" si="11"/>
        <v>建筑品质</v>
      </c>
      <c r="R35" s="1558" t="s">
        <v>11</v>
      </c>
      <c r="S35" s="1559">
        <f t="shared" si="12"/>
        <v>100</v>
      </c>
      <c r="T35" s="1558" t="s">
        <v>11</v>
      </c>
      <c r="U35" s="1559">
        <f t="shared" si="13"/>
        <v>100</v>
      </c>
      <c r="V35" s="1558" t="s">
        <v>11</v>
      </c>
      <c r="W35" s="1559">
        <f t="shared" si="14"/>
        <v>100</v>
      </c>
      <c r="X35" s="1552"/>
      <c r="Y35" s="3478"/>
      <c r="Z35" s="1560" t="str">
        <f t="shared" si="15"/>
        <v>建筑品质</v>
      </c>
      <c r="AA35" s="1561">
        <f t="shared" si="3"/>
        <v>1</v>
      </c>
      <c r="AB35" s="1561">
        <f t="shared" si="4"/>
        <v>1</v>
      </c>
      <c r="AC35" s="1561">
        <f t="shared" si="5"/>
        <v>1</v>
      </c>
    </row>
    <row r="36" spans="1:29" ht="15">
      <c r="A36" s="594"/>
      <c r="B36" s="527" t="s">
        <v>729</v>
      </c>
      <c r="C36" s="599"/>
      <c r="D36" s="540">
        <v>100</v>
      </c>
      <c r="E36" s="873"/>
      <c r="F36" s="575">
        <f>SUMIF(109:109,E36,110:110)-SUMIF(109:109,C36,110:110)+100</f>
        <v>100</v>
      </c>
      <c r="G36" s="599"/>
      <c r="H36" s="540">
        <f>SUMIF(109:109,G36,110:110)-SUMIF(109:109,C36,110:110)+100</f>
        <v>100</v>
      </c>
      <c r="I36" s="873"/>
      <c r="J36" s="540">
        <f>SUMIF(109:109,I36,110:110)-SUMIF(109:109,C36,110:110)+100</f>
        <v>100</v>
      </c>
      <c r="K36" s="863"/>
      <c r="L36" s="2126"/>
      <c r="M36" s="2118"/>
      <c r="N36" s="2118"/>
      <c r="O36" s="2125"/>
      <c r="P36" s="3478"/>
      <c r="Q36" s="1557" t="str">
        <f t="shared" si="11"/>
        <v>公共部分装修</v>
      </c>
      <c r="R36" s="1558" t="s">
        <v>11</v>
      </c>
      <c r="S36" s="1559">
        <f t="shared" si="12"/>
        <v>100</v>
      </c>
      <c r="T36" s="1558" t="s">
        <v>11</v>
      </c>
      <c r="U36" s="1559">
        <f t="shared" si="13"/>
        <v>100</v>
      </c>
      <c r="V36" s="1558" t="s">
        <v>11</v>
      </c>
      <c r="W36" s="1559">
        <f t="shared" si="14"/>
        <v>100</v>
      </c>
      <c r="X36" s="1552"/>
      <c r="Y36" s="3478"/>
      <c r="Z36" s="1560" t="str">
        <f t="shared" si="15"/>
        <v>公共部分装修</v>
      </c>
      <c r="AA36" s="1561">
        <f t="shared" si="3"/>
        <v>1</v>
      </c>
      <c r="AB36" s="1561">
        <f t="shared" si="4"/>
        <v>1</v>
      </c>
      <c r="AC36" s="1561">
        <f t="shared" si="5"/>
        <v>1</v>
      </c>
    </row>
    <row r="37" spans="1:29" s="1214" customFormat="1" ht="15">
      <c r="A37" s="600"/>
      <c r="B37" s="527" t="s">
        <v>730</v>
      </c>
      <c r="C37" s="882"/>
      <c r="D37" s="255">
        <v>100</v>
      </c>
      <c r="E37" s="883"/>
      <c r="F37" s="862" t="e">
        <f>LOOKUP(E37,112:112,113:113)-LOOKUP(C37,112:112,113:113)+100</f>
        <v>#N/A</v>
      </c>
      <c r="G37" s="884"/>
      <c r="H37" s="255" t="e">
        <f>LOOKUP(G37,112:112,113:113)-LOOKUP(C37,112:112,113:113)+100</f>
        <v>#N/A</v>
      </c>
      <c r="I37" s="883"/>
      <c r="J37" s="255" t="e">
        <f>LOOKUP(I37,112:112,113:113)-LOOKUP(C37,112:112,113:113)+100</f>
        <v>#N/A</v>
      </c>
      <c r="K37" s="863"/>
      <c r="L37" s="2119"/>
      <c r="M37" s="2120"/>
      <c r="N37" s="2120"/>
      <c r="O37" s="2121"/>
      <c r="P37" s="3478"/>
      <c r="Q37" s="1145" t="str">
        <f t="shared" si="11"/>
        <v>成新度</v>
      </c>
      <c r="R37" s="1553" t="s">
        <v>11</v>
      </c>
      <c r="S37" s="1554" t="e">
        <f t="shared" si="12"/>
        <v>#N/A</v>
      </c>
      <c r="T37" s="1553" t="s">
        <v>11</v>
      </c>
      <c r="U37" s="1554" t="e">
        <f t="shared" si="13"/>
        <v>#N/A</v>
      </c>
      <c r="V37" s="1553" t="s">
        <v>11</v>
      </c>
      <c r="W37" s="1554" t="e">
        <f t="shared" si="14"/>
        <v>#N/A</v>
      </c>
      <c r="X37" s="1555"/>
      <c r="Y37" s="3478"/>
      <c r="Z37" s="1144" t="str">
        <f t="shared" si="15"/>
        <v>成新度</v>
      </c>
      <c r="AA37" s="1556" t="e">
        <f t="shared" si="3"/>
        <v>#N/A</v>
      </c>
      <c r="AB37" s="1556" t="e">
        <f t="shared" si="4"/>
        <v>#N/A</v>
      </c>
      <c r="AC37" s="1556" t="e">
        <f t="shared" si="5"/>
        <v>#N/A</v>
      </c>
    </row>
    <row r="38" spans="1:29" ht="15">
      <c r="A38" s="594"/>
      <c r="B38" s="527" t="s">
        <v>731</v>
      </c>
      <c r="C38" s="599"/>
      <c r="D38" s="540">
        <v>100</v>
      </c>
      <c r="E38" s="873"/>
      <c r="F38" s="575">
        <f>SUMIF(114:114,E38,115:115)-SUMIF(114:114,C38,115:115)+100</f>
        <v>100</v>
      </c>
      <c r="G38" s="599"/>
      <c r="H38" s="540">
        <f>SUMIF(114:114,G38,115:115)-SUMIF(114:114,C38,115:115)+100</f>
        <v>100</v>
      </c>
      <c r="I38" s="873"/>
      <c r="J38" s="540">
        <f>SUMIF(114:114,I38,115:115)-SUMIF(114:114,C38,115:115)+100</f>
        <v>100</v>
      </c>
      <c r="K38" s="863"/>
      <c r="L38" s="2126"/>
      <c r="M38" s="2118"/>
      <c r="N38" s="2118"/>
      <c r="O38" s="2125"/>
      <c r="P38" s="3478" t="s">
        <v>550</v>
      </c>
      <c r="Q38" s="1557" t="str">
        <f t="shared" si="11"/>
        <v>物业管理</v>
      </c>
      <c r="R38" s="1558" t="s">
        <v>11</v>
      </c>
      <c r="S38" s="1559">
        <f t="shared" si="12"/>
        <v>100</v>
      </c>
      <c r="T38" s="1558" t="s">
        <v>11</v>
      </c>
      <c r="U38" s="1559">
        <f t="shared" si="13"/>
        <v>100</v>
      </c>
      <c r="V38" s="1558" t="s">
        <v>11</v>
      </c>
      <c r="W38" s="1559">
        <f t="shared" si="14"/>
        <v>100</v>
      </c>
      <c r="X38" s="1552"/>
      <c r="Y38" s="3478" t="s">
        <v>550</v>
      </c>
      <c r="Z38" s="1560" t="str">
        <f t="shared" si="15"/>
        <v>物业管理</v>
      </c>
      <c r="AA38" s="1561">
        <f t="shared" si="3"/>
        <v>1</v>
      </c>
      <c r="AB38" s="1561">
        <f t="shared" si="4"/>
        <v>1</v>
      </c>
      <c r="AC38" s="1561">
        <f t="shared" si="5"/>
        <v>1</v>
      </c>
    </row>
    <row r="39" spans="1:29" ht="15">
      <c r="A39" s="594"/>
      <c r="B39" s="1879" t="s">
        <v>2559</v>
      </c>
      <c r="C39" s="599"/>
      <c r="D39" s="540">
        <v>100</v>
      </c>
      <c r="E39" s="873"/>
      <c r="F39" s="575">
        <f>SUMIF(116:116,E39,117:117)-SUMIF(116:116,C39,117:117)+100</f>
        <v>100</v>
      </c>
      <c r="G39" s="599"/>
      <c r="H39" s="540">
        <f>SUMIF(116:116,G39,117:117)-SUMIF(116:116,C39,117:117)+100</f>
        <v>100</v>
      </c>
      <c r="I39" s="873"/>
      <c r="J39" s="540">
        <f>SUMIF(116:116,I39,117:117)-SUMIF(116:116,C39,117:117)+100</f>
        <v>100</v>
      </c>
      <c r="K39" s="863"/>
      <c r="L39" s="2126"/>
      <c r="M39" s="2118"/>
      <c r="N39" s="2118"/>
      <c r="O39" s="2125"/>
      <c r="P39" s="3478"/>
      <c r="Q39" s="1557" t="str">
        <f t="shared" si="11"/>
        <v>市政基础设施</v>
      </c>
      <c r="R39" s="1558" t="s">
        <v>11</v>
      </c>
      <c r="S39" s="1559">
        <f t="shared" si="12"/>
        <v>100</v>
      </c>
      <c r="T39" s="1558" t="s">
        <v>11</v>
      </c>
      <c r="U39" s="1559">
        <f t="shared" si="13"/>
        <v>100</v>
      </c>
      <c r="V39" s="1558" t="s">
        <v>11</v>
      </c>
      <c r="W39" s="1559">
        <f t="shared" si="14"/>
        <v>100</v>
      </c>
      <c r="X39" s="1552"/>
      <c r="Y39" s="3478"/>
      <c r="Z39" s="1560" t="str">
        <f t="shared" si="15"/>
        <v>市政基础设施</v>
      </c>
      <c r="AA39" s="1561">
        <f t="shared" si="3"/>
        <v>1</v>
      </c>
      <c r="AB39" s="1561">
        <f t="shared" si="4"/>
        <v>1</v>
      </c>
      <c r="AC39" s="1561">
        <f t="shared" si="5"/>
        <v>1</v>
      </c>
    </row>
    <row r="40" spans="1:29" ht="15">
      <c r="A40" s="594"/>
      <c r="B40" s="527" t="s">
        <v>732</v>
      </c>
      <c r="C40" s="599"/>
      <c r="D40" s="540">
        <v>100</v>
      </c>
      <c r="E40" s="873"/>
      <c r="F40" s="575">
        <f>SUMIF(118:118,E40,119:119)-SUMIF(118:118,C40,119:119)+100</f>
        <v>100</v>
      </c>
      <c r="G40" s="599"/>
      <c r="H40" s="540">
        <f>SUMIF(118:118,G40,119:119)-SUMIF(118:118,C40,119:119)+100</f>
        <v>100</v>
      </c>
      <c r="I40" s="873"/>
      <c r="J40" s="540">
        <f>SUMIF(118:118,I40,119:119)-SUMIF(118:118,C40,119:119)+100</f>
        <v>100</v>
      </c>
      <c r="K40" s="863"/>
      <c r="L40" s="2126"/>
      <c r="M40" s="2118"/>
      <c r="N40" s="2118"/>
      <c r="O40" s="2125"/>
      <c r="P40" s="3478"/>
      <c r="Q40" s="1557" t="str">
        <f t="shared" si="11"/>
        <v>房型</v>
      </c>
      <c r="R40" s="1558" t="s">
        <v>11</v>
      </c>
      <c r="S40" s="1559">
        <f t="shared" si="12"/>
        <v>100</v>
      </c>
      <c r="T40" s="1558" t="s">
        <v>11</v>
      </c>
      <c r="U40" s="1559">
        <f t="shared" si="13"/>
        <v>100</v>
      </c>
      <c r="V40" s="1558" t="s">
        <v>11</v>
      </c>
      <c r="W40" s="1559">
        <f t="shared" si="14"/>
        <v>100</v>
      </c>
      <c r="X40" s="1552"/>
      <c r="Y40" s="3478"/>
      <c r="Z40" s="1560" t="str">
        <f t="shared" si="15"/>
        <v>房型</v>
      </c>
      <c r="AA40" s="1561">
        <f t="shared" si="3"/>
        <v>1</v>
      </c>
      <c r="AB40" s="1561">
        <f t="shared" si="4"/>
        <v>1</v>
      </c>
      <c r="AC40" s="1561">
        <f t="shared" si="5"/>
        <v>1</v>
      </c>
    </row>
    <row r="41" spans="1:29" s="1333" customFormat="1" ht="28.5">
      <c r="A41" s="603"/>
      <c r="B41" s="527" t="s">
        <v>733</v>
      </c>
      <c r="C41" s="879"/>
      <c r="D41" s="255">
        <v>100</v>
      </c>
      <c r="E41" s="534"/>
      <c r="F41" s="862">
        <f>SUMIF(120:120,E41,121:121)-SUMIF(120:120,C41,121:121)+100</f>
        <v>100</v>
      </c>
      <c r="G41" s="533"/>
      <c r="H41" s="255">
        <f>SUMIF(120:120,G41,121:121)-SUMIF(120:120,C41,121:121)+100</f>
        <v>100</v>
      </c>
      <c r="I41" s="586"/>
      <c r="J41" s="540">
        <f>SUMIF(120:120,I41,121:121)-SUMIF(120:120,C41,121:121)+100</f>
        <v>100</v>
      </c>
      <c r="K41" s="864"/>
      <c r="L41" s="2124"/>
      <c r="M41" s="2155"/>
      <c r="N41" s="2155"/>
      <c r="O41" s="2127"/>
      <c r="P41" s="3478"/>
      <c r="Q41" s="1589" t="str">
        <f t="shared" si="11"/>
        <v>单套/主力户型建筑面积</v>
      </c>
      <c r="R41" s="1562" t="s">
        <v>11</v>
      </c>
      <c r="S41" s="1563">
        <f t="shared" si="12"/>
        <v>100</v>
      </c>
      <c r="T41" s="1562" t="s">
        <v>11</v>
      </c>
      <c r="U41" s="1563">
        <f t="shared" si="13"/>
        <v>100</v>
      </c>
      <c r="V41" s="1562" t="s">
        <v>11</v>
      </c>
      <c r="W41" s="1563">
        <f t="shared" si="14"/>
        <v>100</v>
      </c>
      <c r="X41" s="1564"/>
      <c r="Y41" s="3478"/>
      <c r="Z41" s="1565" t="str">
        <f t="shared" si="15"/>
        <v>单套/主力户型建筑面积</v>
      </c>
      <c r="AA41" s="1561">
        <f t="shared" si="3"/>
        <v>1</v>
      </c>
      <c r="AB41" s="1561">
        <f t="shared" si="4"/>
        <v>1</v>
      </c>
      <c r="AC41" s="1561">
        <f t="shared" si="5"/>
        <v>1</v>
      </c>
    </row>
    <row r="42" spans="1:29" ht="15">
      <c r="A42" s="594"/>
      <c r="B42" s="527" t="s">
        <v>734</v>
      </c>
      <c r="C42" s="599"/>
      <c r="D42" s="540">
        <v>100</v>
      </c>
      <c r="E42" s="873"/>
      <c r="F42" s="575">
        <f>SUMIF(122:122,E42,123:123)-SUMIF(122:122,C42,123:123)+100</f>
        <v>100</v>
      </c>
      <c r="G42" s="599"/>
      <c r="H42" s="540">
        <f>SUMIF(122:122,G42,123:123)-SUMIF(122:122,C42,123:123)+100</f>
        <v>100</v>
      </c>
      <c r="I42" s="873"/>
      <c r="J42" s="540">
        <f>SUMIF(122:122,I42,123:123)-SUMIF(122:122,C42,123:123)+100</f>
        <v>100</v>
      </c>
      <c r="K42" s="863"/>
      <c r="L42" s="2126"/>
      <c r="M42" s="2118"/>
      <c r="N42" s="2118"/>
      <c r="O42" s="2125"/>
      <c r="P42" s="3478"/>
      <c r="Q42" s="1557" t="str">
        <f t="shared" si="11"/>
        <v>内部装修</v>
      </c>
      <c r="R42" s="1558" t="s">
        <v>11</v>
      </c>
      <c r="S42" s="1559">
        <f t="shared" si="12"/>
        <v>100</v>
      </c>
      <c r="T42" s="1558" t="s">
        <v>11</v>
      </c>
      <c r="U42" s="1559">
        <f t="shared" si="13"/>
        <v>100</v>
      </c>
      <c r="V42" s="1558" t="s">
        <v>11</v>
      </c>
      <c r="W42" s="1559">
        <f t="shared" si="14"/>
        <v>100</v>
      </c>
      <c r="X42" s="1552"/>
      <c r="Y42" s="3478"/>
      <c r="Z42" s="1560" t="str">
        <f t="shared" si="15"/>
        <v>内部装修</v>
      </c>
      <c r="AA42" s="1561">
        <f t="shared" si="3"/>
        <v>1</v>
      </c>
      <c r="AB42" s="1561">
        <f t="shared" si="4"/>
        <v>1</v>
      </c>
      <c r="AC42" s="1561">
        <f t="shared" si="5"/>
        <v>1</v>
      </c>
    </row>
    <row r="43" spans="1:29" ht="27">
      <c r="A43" s="594"/>
      <c r="B43" s="527" t="s">
        <v>735</v>
      </c>
      <c r="C43" s="599"/>
      <c r="D43" s="540">
        <v>100</v>
      </c>
      <c r="E43" s="873"/>
      <c r="F43" s="575">
        <f>SUMIF(124:124,E43,125:125)-SUMIF(124:124,C43,125:125)+100</f>
        <v>100</v>
      </c>
      <c r="G43" s="599"/>
      <c r="H43" s="540">
        <f>SUMIF(124:124,G43,125:125)-SUMIF(124:124,C43,125:125)+100</f>
        <v>100</v>
      </c>
      <c r="I43" s="873"/>
      <c r="J43" s="540">
        <f>SUMIF(124:124,I43,125:125)-SUMIF(124:124,C43,125:125)+100</f>
        <v>100</v>
      </c>
      <c r="K43" s="863"/>
      <c r="L43" s="2126"/>
      <c r="M43" s="2118"/>
      <c r="N43" s="2118"/>
      <c r="O43" s="2125"/>
      <c r="P43" s="3478"/>
      <c r="Q43" s="1557" t="str">
        <f t="shared" si="11"/>
        <v>内部装修维护情况</v>
      </c>
      <c r="R43" s="1558" t="s">
        <v>11</v>
      </c>
      <c r="S43" s="1559">
        <f t="shared" si="12"/>
        <v>100</v>
      </c>
      <c r="T43" s="1558" t="s">
        <v>11</v>
      </c>
      <c r="U43" s="1559">
        <f t="shared" si="13"/>
        <v>100</v>
      </c>
      <c r="V43" s="1558" t="s">
        <v>11</v>
      </c>
      <c r="W43" s="1559">
        <f t="shared" si="14"/>
        <v>100</v>
      </c>
      <c r="X43" s="1552"/>
      <c r="Y43" s="3478"/>
      <c r="Z43" s="1560" t="str">
        <f t="shared" si="15"/>
        <v>内部装修维护情况</v>
      </c>
      <c r="AA43" s="1561">
        <f t="shared" si="3"/>
        <v>1</v>
      </c>
      <c r="AB43" s="1561">
        <f t="shared" si="4"/>
        <v>1</v>
      </c>
      <c r="AC43" s="1561">
        <f t="shared" si="5"/>
        <v>1</v>
      </c>
    </row>
    <row r="44" spans="1:29" s="1214" customFormat="1" ht="15">
      <c r="A44" s="600"/>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19"/>
      <c r="M44" s="2120"/>
      <c r="N44" s="2120"/>
      <c r="O44" s="2121"/>
      <c r="P44" s="3478"/>
      <c r="Q44" s="1145">
        <f t="shared" si="11"/>
        <v>111</v>
      </c>
      <c r="R44" s="1553" t="s">
        <v>11</v>
      </c>
      <c r="S44" s="1554">
        <f t="shared" si="12"/>
        <v>100</v>
      </c>
      <c r="T44" s="1553" t="s">
        <v>11</v>
      </c>
      <c r="U44" s="1554">
        <f t="shared" si="13"/>
        <v>100</v>
      </c>
      <c r="V44" s="1553" t="s">
        <v>11</v>
      </c>
      <c r="W44" s="1554">
        <f t="shared" si="14"/>
        <v>100</v>
      </c>
      <c r="X44" s="1555"/>
      <c r="Y44" s="3478"/>
      <c r="Z44" s="1144">
        <f t="shared" si="15"/>
        <v>111</v>
      </c>
      <c r="AA44" s="1556">
        <f t="shared" si="3"/>
        <v>1</v>
      </c>
      <c r="AB44" s="1556">
        <f t="shared" si="4"/>
        <v>1</v>
      </c>
      <c r="AC44" s="1556">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4"/>
      <c r="L45" s="2126"/>
      <c r="M45" s="2118"/>
      <c r="N45" s="2118"/>
      <c r="O45" s="2125"/>
      <c r="P45" s="3478"/>
      <c r="Q45" s="1557">
        <f t="shared" si="11"/>
        <v>111</v>
      </c>
      <c r="R45" s="1558" t="s">
        <v>11</v>
      </c>
      <c r="S45" s="1559">
        <f t="shared" si="12"/>
        <v>100</v>
      </c>
      <c r="T45" s="1558" t="s">
        <v>11</v>
      </c>
      <c r="U45" s="1559">
        <f t="shared" si="13"/>
        <v>100</v>
      </c>
      <c r="V45" s="1558" t="s">
        <v>11</v>
      </c>
      <c r="W45" s="1559">
        <f t="shared" si="14"/>
        <v>100</v>
      </c>
      <c r="X45" s="1552"/>
      <c r="Y45" s="3478"/>
      <c r="Z45" s="1560">
        <f t="shared" si="15"/>
        <v>111</v>
      </c>
      <c r="AA45" s="1561">
        <f t="shared" si="3"/>
        <v>1</v>
      </c>
      <c r="AB45" s="1561">
        <f t="shared" si="4"/>
        <v>1</v>
      </c>
      <c r="AC45" s="1561">
        <f t="shared" si="5"/>
        <v>1</v>
      </c>
    </row>
    <row r="46" spans="1:29" ht="15.75" thickBot="1">
      <c r="A46" s="885"/>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26"/>
      <c r="M46" s="2118"/>
      <c r="N46" s="2118"/>
      <c r="O46" s="2125"/>
      <c r="P46" s="3524"/>
      <c r="Q46" s="1557">
        <f t="shared" si="11"/>
        <v>111</v>
      </c>
      <c r="R46" s="1558" t="s">
        <v>10</v>
      </c>
      <c r="S46" s="1559">
        <f t="shared" si="12"/>
        <v>100</v>
      </c>
      <c r="T46" s="1558" t="s">
        <v>10</v>
      </c>
      <c r="U46" s="1559">
        <f t="shared" si="13"/>
        <v>100</v>
      </c>
      <c r="V46" s="1558" t="s">
        <v>10</v>
      </c>
      <c r="W46" s="1559">
        <f t="shared" si="14"/>
        <v>100</v>
      </c>
      <c r="X46" s="1552"/>
      <c r="Y46" s="3524"/>
      <c r="Z46" s="1560">
        <f t="shared" si="15"/>
        <v>111</v>
      </c>
      <c r="AA46" s="1561">
        <f t="shared" si="3"/>
        <v>1</v>
      </c>
      <c r="AB46" s="1561">
        <f t="shared" si="4"/>
        <v>1</v>
      </c>
      <c r="AC46" s="1561">
        <f t="shared" si="5"/>
        <v>1</v>
      </c>
    </row>
    <row r="47" spans="1:29" ht="15">
      <c r="A47" s="607" t="s">
        <v>736</v>
      </c>
      <c r="B47" s="886"/>
      <c r="C47" s="2590" t="s">
        <v>9</v>
      </c>
      <c r="D47" s="2591"/>
      <c r="E47" s="2592"/>
      <c r="F47" s="2593"/>
      <c r="G47" s="2594"/>
      <c r="H47" s="2595"/>
      <c r="I47" s="2592"/>
      <c r="J47" s="2595"/>
      <c r="K47" s="1590"/>
      <c r="L47" s="2128"/>
      <c r="M47" s="2129"/>
      <c r="N47" s="2118"/>
      <c r="O47" s="2129"/>
      <c r="P47" s="3441" t="str">
        <f>A47</f>
        <v>成交单价（元/平方米）</v>
      </c>
      <c r="Q47" s="3441"/>
      <c r="R47" s="3523">
        <f>E47</f>
        <v>0</v>
      </c>
      <c r="S47" s="3523"/>
      <c r="T47" s="3523">
        <f>G47</f>
        <v>0</v>
      </c>
      <c r="U47" s="3523"/>
      <c r="V47" s="3523">
        <f>I47</f>
        <v>0</v>
      </c>
      <c r="W47" s="3523"/>
      <c r="X47" s="1544"/>
      <c r="Y47" s="1566"/>
      <c r="Z47" s="1544"/>
      <c r="AA47" s="1544"/>
      <c r="AB47" s="1544"/>
      <c r="AC47" s="1544"/>
    </row>
    <row r="48" spans="1:29" ht="15.75" thickBot="1">
      <c r="A48" s="615" t="s">
        <v>2754</v>
      </c>
      <c r="B48" s="887"/>
      <c r="C48" s="2596" t="e">
        <f>R49</f>
        <v>#DIV/0!</v>
      </c>
      <c r="D48" s="2597"/>
      <c r="E48" s="2598" t="e">
        <f>R48</f>
        <v>#DIV/0!</v>
      </c>
      <c r="F48" s="2598"/>
      <c r="G48" s="2596" t="e">
        <f>T48</f>
        <v>#DIV/0!</v>
      </c>
      <c r="H48" s="2597"/>
      <c r="I48" s="2598" t="e">
        <f>V48</f>
        <v>#DIV/0!</v>
      </c>
      <c r="J48" s="2597"/>
      <c r="K48" s="1591"/>
      <c r="L48" s="2128"/>
      <c r="M48" s="2129"/>
      <c r="N48" s="2129"/>
      <c r="O48" s="2129"/>
      <c r="P48" s="3441" t="str">
        <f>A48</f>
        <v>比较价格（元/平方米）</v>
      </c>
      <c r="Q48" s="3441"/>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44"/>
      <c r="Y48" s="1544"/>
      <c r="Z48" s="1544"/>
      <c r="AA48" s="1544"/>
      <c r="AB48" s="1544"/>
      <c r="AC48" s="1544"/>
    </row>
    <row r="49" spans="1:29" ht="15.75" thickBot="1">
      <c r="A49" s="621" t="s">
        <v>2929</v>
      </c>
      <c r="B49" s="622"/>
      <c r="C49" s="2599" t="e">
        <f>R49</f>
        <v>#DIV/0!</v>
      </c>
      <c r="D49" s="2599"/>
      <c r="E49" s="2599"/>
      <c r="F49" s="2599"/>
      <c r="G49" s="2599"/>
      <c r="H49" s="2599"/>
      <c r="I49" s="2599"/>
      <c r="J49" s="2599"/>
      <c r="K49" s="1592"/>
      <c r="L49" s="2128"/>
      <c r="M49" s="2129"/>
      <c r="N49" s="2129"/>
      <c r="O49" s="2129"/>
      <c r="P49" s="3438" t="str">
        <f>A49</f>
        <v>估价对象XX用房的比较价格（楼面单价，元/平方米）</v>
      </c>
      <c r="Q49" s="3439"/>
      <c r="R49" s="3522" t="e">
        <f>IF(F1="售价",ROUND(AVERAGE(R48:V48),0),ROUND(AVERAGE(R48:V48),1))</f>
        <v>#DIV/0!</v>
      </c>
      <c r="S49" s="3522"/>
      <c r="T49" s="3522"/>
      <c r="U49" s="3522"/>
      <c r="V49" s="3522"/>
      <c r="W49" s="352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8" t="str">
        <f>YEAR(C7)&amp;"-"&amp;MONTH(C7)</f>
        <v>2020-6</v>
      </c>
      <c r="D58" s="2758">
        <f>EDATE(C58,-1)</f>
        <v>43952</v>
      </c>
      <c r="E58" s="2758">
        <f t="shared" ref="E58:O58" si="16">EDATE(D58,-1)</f>
        <v>43922</v>
      </c>
      <c r="F58" s="2758">
        <f t="shared" si="16"/>
        <v>43891</v>
      </c>
      <c r="G58" s="2758">
        <f t="shared" si="16"/>
        <v>43862</v>
      </c>
      <c r="H58" s="2758">
        <f t="shared" si="16"/>
        <v>43831</v>
      </c>
      <c r="I58" s="2758">
        <f t="shared" si="16"/>
        <v>43800</v>
      </c>
      <c r="J58" s="2758">
        <f t="shared" si="16"/>
        <v>43770</v>
      </c>
      <c r="K58" s="2758">
        <f t="shared" si="16"/>
        <v>43739</v>
      </c>
      <c r="L58" s="2758">
        <f t="shared" si="16"/>
        <v>43709</v>
      </c>
      <c r="M58" s="2758">
        <f t="shared" si="16"/>
        <v>43678</v>
      </c>
      <c r="N58" s="2758">
        <f t="shared" si="16"/>
        <v>43647</v>
      </c>
      <c r="O58" s="2758">
        <f t="shared" si="16"/>
        <v>43617</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1880" t="s">
        <v>2253</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2551</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2257</v>
      </c>
      <c r="D138" s="1909" t="s">
        <v>2258</v>
      </c>
      <c r="E138" s="1910" t="s">
        <v>2259</v>
      </c>
      <c r="F138" s="1911" t="s">
        <v>2260</v>
      </c>
      <c r="G138" s="1909" t="s">
        <v>2261</v>
      </c>
      <c r="H138" s="1912" t="s">
        <v>2262</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2265</v>
      </c>
      <c r="E139" s="1883">
        <v>100</v>
      </c>
      <c r="F139" s="1884">
        <v>102.5</v>
      </c>
      <c r="G139" s="1914" t="s">
        <v>2266</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2268</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2269</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2270</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95" priority="15" stopIfTrue="1" operator="containsText" text="超过">
      <formula>NOT(ISERROR(SEARCH("超过",F52)))</formula>
    </cfRule>
  </conditionalFormatting>
  <conditionalFormatting sqref="J54">
    <cfRule type="containsText" dxfId="94" priority="14" stopIfTrue="1" operator="containsText" text="超过">
      <formula>NOT(ISERROR(SEARCH("超过",J54)))</formula>
    </cfRule>
  </conditionalFormatting>
  <conditionalFormatting sqref="H54">
    <cfRule type="containsText" dxfId="93" priority="13" stopIfTrue="1" operator="containsText" text="超过">
      <formula>NOT(ISERROR(SEARCH("超过",H54)))</formula>
    </cfRule>
  </conditionalFormatting>
  <conditionalFormatting sqref="F54">
    <cfRule type="containsText" dxfId="92" priority="12" stopIfTrue="1" operator="containsText" text="超过">
      <formula>NOT(ISERROR(SEARCH("超过",F54)))</formula>
    </cfRule>
  </conditionalFormatting>
  <conditionalFormatting sqref="F53 H53 J53">
    <cfRule type="containsText" dxfId="91" priority="11" stopIfTrue="1" operator="containsText" text="超过">
      <formula>NOT(ISERROR(SEARCH("超过",F53)))</formula>
    </cfRule>
  </conditionalFormatting>
  <conditionalFormatting sqref="E52">
    <cfRule type="expression" dxfId="90" priority="10" stopIfTrue="1">
      <formula>$F$52="超过30%"</formula>
    </cfRule>
  </conditionalFormatting>
  <conditionalFormatting sqref="G54">
    <cfRule type="expression" dxfId="89" priority="8" stopIfTrue="1">
      <formula>$H$54="超过30%"</formula>
    </cfRule>
  </conditionalFormatting>
  <conditionalFormatting sqref="E53">
    <cfRule type="expression" dxfId="88" priority="7" stopIfTrue="1">
      <formula>$F$53="超过20%"</formula>
    </cfRule>
  </conditionalFormatting>
  <conditionalFormatting sqref="E54">
    <cfRule type="expression" dxfId="87" priority="6" stopIfTrue="1">
      <formula>$F$54="超过30%"</formula>
    </cfRule>
  </conditionalFormatting>
  <conditionalFormatting sqref="G52">
    <cfRule type="expression" dxfId="86" priority="5" stopIfTrue="1">
      <formula>$H$52="超过30%"</formula>
    </cfRule>
  </conditionalFormatting>
  <conditionalFormatting sqref="G53">
    <cfRule type="expression" dxfId="85" priority="4" stopIfTrue="1">
      <formula>$H$53="超过20%"</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519</v>
      </c>
      <c r="B3" s="510"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447" t="s">
        <v>522</v>
      </c>
      <c r="D4" s="3448"/>
      <c r="E4" s="3481" t="s">
        <v>523</v>
      </c>
      <c r="F4" s="3482"/>
      <c r="G4" s="3447" t="s">
        <v>524</v>
      </c>
      <c r="H4" s="3448"/>
      <c r="I4" s="3447" t="s">
        <v>525</v>
      </c>
      <c r="J4" s="3448"/>
      <c r="K4" s="514" t="s">
        <v>526</v>
      </c>
      <c r="L4" s="2117"/>
      <c r="M4" s="2118"/>
      <c r="N4" s="2118"/>
      <c r="O4" s="2118"/>
      <c r="P4" s="3449" t="s">
        <v>527</v>
      </c>
      <c r="Q4" s="3450"/>
      <c r="R4" s="3455" t="s">
        <v>523</v>
      </c>
      <c r="S4" s="3456"/>
      <c r="T4" s="3455" t="s">
        <v>524</v>
      </c>
      <c r="U4" s="3456"/>
      <c r="V4" s="3442" t="s">
        <v>525</v>
      </c>
      <c r="W4" s="3442"/>
      <c r="X4" s="1552"/>
      <c r="Y4" s="3455" t="s">
        <v>527</v>
      </c>
      <c r="Z4" s="3456"/>
      <c r="AA4" s="3444" t="s">
        <v>523</v>
      </c>
      <c r="AB4" s="3442" t="s">
        <v>524</v>
      </c>
      <c r="AC4" s="3444" t="s">
        <v>525</v>
      </c>
    </row>
    <row r="5" spans="1:29" ht="15">
      <c r="A5" s="515"/>
      <c r="B5" s="516"/>
      <c r="C5" s="3463" t="s">
        <v>2923</v>
      </c>
      <c r="D5" s="3464"/>
      <c r="E5" s="3483" t="s">
        <v>2924</v>
      </c>
      <c r="F5" s="3484"/>
      <c r="G5" s="3463" t="s">
        <v>2925</v>
      </c>
      <c r="H5" s="3464"/>
      <c r="I5" s="3463" t="s">
        <v>2926</v>
      </c>
      <c r="J5" s="3464"/>
      <c r="K5" s="514"/>
      <c r="L5" s="2117"/>
      <c r="M5" s="2118"/>
      <c r="N5" s="2118"/>
      <c r="O5" s="2118"/>
      <c r="P5" s="3451"/>
      <c r="Q5" s="3452"/>
      <c r="R5" s="3457"/>
      <c r="S5" s="3458"/>
      <c r="T5" s="3457"/>
      <c r="U5" s="3458"/>
      <c r="V5" s="3442"/>
      <c r="W5" s="3442"/>
      <c r="X5" s="1552"/>
      <c r="Y5" s="3457"/>
      <c r="Z5" s="3458"/>
      <c r="AA5" s="3445"/>
      <c r="AB5" s="3442"/>
      <c r="AC5" s="3445"/>
    </row>
    <row r="6" spans="1:29" ht="15.75" thickBot="1">
      <c r="A6" s="517"/>
      <c r="B6" s="518"/>
      <c r="C6" s="3461" t="s">
        <v>2927</v>
      </c>
      <c r="D6" s="3462"/>
      <c r="E6" s="3479" t="s">
        <v>2927</v>
      </c>
      <c r="F6" s="3480"/>
      <c r="G6" s="3461" t="s">
        <v>2927</v>
      </c>
      <c r="H6" s="3462"/>
      <c r="I6" s="3461" t="s">
        <v>2927</v>
      </c>
      <c r="J6" s="3462"/>
      <c r="K6" s="514" t="s">
        <v>528</v>
      </c>
      <c r="L6" s="2117"/>
      <c r="M6" s="2118"/>
      <c r="N6" s="2118"/>
      <c r="O6" s="2118"/>
      <c r="P6" s="3453"/>
      <c r="Q6" s="3454"/>
      <c r="R6" s="3457"/>
      <c r="S6" s="3458"/>
      <c r="T6" s="3459"/>
      <c r="U6" s="3460"/>
      <c r="V6" s="3442"/>
      <c r="W6" s="3442"/>
      <c r="X6" s="1552"/>
      <c r="Y6" s="3459"/>
      <c r="Z6" s="3460"/>
      <c r="AA6" s="3446"/>
      <c r="AB6" s="3442"/>
      <c r="AC6" s="3446"/>
    </row>
    <row r="7" spans="1:29" s="1214" customFormat="1" ht="15.75" thickBot="1">
      <c r="A7" s="2866"/>
      <c r="B7" s="2873" t="s">
        <v>529</v>
      </c>
      <c r="C7" s="519">
        <f>'数据-取费表'!B2</f>
        <v>44001</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72" t="s">
        <v>530</v>
      </c>
      <c r="Q7" s="3474"/>
      <c r="R7" s="1553" t="s">
        <v>8</v>
      </c>
      <c r="S7" s="1554">
        <f t="shared" ref="S7:S15" si="0">F7</f>
        <v>0</v>
      </c>
      <c r="T7" s="1553" t="s">
        <v>8</v>
      </c>
      <c r="U7" s="1554">
        <f t="shared" ref="U7:U15" si="1">H7</f>
        <v>0</v>
      </c>
      <c r="V7" s="1553" t="s">
        <v>8</v>
      </c>
      <c r="W7" s="1554">
        <f t="shared" ref="W7:W15" si="2">J7</f>
        <v>0</v>
      </c>
      <c r="X7" s="1555"/>
      <c r="Y7" s="3472" t="s">
        <v>530</v>
      </c>
      <c r="Z7" s="3473"/>
      <c r="AA7" s="1556" t="e">
        <f>D7/F7</f>
        <v>#DIV/0!</v>
      </c>
      <c r="AB7" s="1556" t="e">
        <f>D7/H7</f>
        <v>#DIV/0!</v>
      </c>
      <c r="AC7" s="1556" t="e">
        <f>D7/J7</f>
        <v>#DIV/0!</v>
      </c>
    </row>
    <row r="8" spans="1:29" s="1214"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72" t="s">
        <v>533</v>
      </c>
      <c r="Q8" s="3473"/>
      <c r="R8" s="1553" t="s">
        <v>8</v>
      </c>
      <c r="S8" s="1554">
        <f t="shared" si="0"/>
        <v>0</v>
      </c>
      <c r="T8" s="1553" t="s">
        <v>8</v>
      </c>
      <c r="U8" s="1554">
        <f t="shared" si="1"/>
        <v>0</v>
      </c>
      <c r="V8" s="1553" t="s">
        <v>8</v>
      </c>
      <c r="W8" s="1554">
        <f t="shared" si="2"/>
        <v>0</v>
      </c>
      <c r="X8" s="1555"/>
      <c r="Y8" s="3472" t="s">
        <v>533</v>
      </c>
      <c r="Z8" s="3473"/>
      <c r="AA8" s="1556" t="e">
        <f t="shared" ref="AA8:AA46" si="3">D8/F8</f>
        <v>#DIV/0!</v>
      </c>
      <c r="AB8" s="1556" t="e">
        <f t="shared" ref="AB8:AB46" si="4">D8/H8</f>
        <v>#DIV/0!</v>
      </c>
      <c r="AC8" s="1556" t="e">
        <f t="shared" ref="AC8:AC46" si="5">D8/J8</f>
        <v>#DIV/0!</v>
      </c>
    </row>
    <row r="9" spans="1:29" s="1214" customFormat="1" ht="15">
      <c r="A9" s="2868"/>
      <c r="B9" s="2875" t="s">
        <v>2750</v>
      </c>
      <c r="C9" s="856"/>
      <c r="D9" s="254">
        <v>100</v>
      </c>
      <c r="E9" s="859"/>
      <c r="F9" s="254">
        <f>SUMIF(63:63,E9,64:64)-SUMIF(63:63,C9,64:64)+100</f>
        <v>100</v>
      </c>
      <c r="G9" s="857"/>
      <c r="H9" s="254">
        <f>SUMIF(63:63,G9,64:64)-SUMIF(63:63,C9,64:64)+100</f>
        <v>100</v>
      </c>
      <c r="I9" s="857"/>
      <c r="J9" s="254">
        <f>SUMIF(63:63,I9,64:64)-SUMIF(63:63,C9,64:64)+100</f>
        <v>100</v>
      </c>
      <c r="K9" s="524"/>
      <c r="L9" s="2119"/>
      <c r="M9" s="2120"/>
      <c r="N9" s="2120"/>
      <c r="O9" s="2121"/>
      <c r="P9" s="3441" t="s">
        <v>535</v>
      </c>
      <c r="Q9" s="1145" t="str">
        <f t="shared" ref="Q9:Q15" si="6">B9</f>
        <v>用途</v>
      </c>
      <c r="R9" s="1553" t="s">
        <v>8</v>
      </c>
      <c r="S9" s="1554">
        <f t="shared" si="0"/>
        <v>100</v>
      </c>
      <c r="T9" s="1553" t="s">
        <v>8</v>
      </c>
      <c r="U9" s="1554">
        <f t="shared" si="1"/>
        <v>100</v>
      </c>
      <c r="V9" s="1553" t="s">
        <v>8</v>
      </c>
      <c r="W9" s="1554">
        <f t="shared" si="2"/>
        <v>100</v>
      </c>
      <c r="X9" s="1555"/>
      <c r="Y9" s="3361"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0"/>
      <c r="F10" s="255">
        <f>SUMIF(65:65,E10,66:66)-SUMIF(65:65,C10,66:66)+100</f>
        <v>100</v>
      </c>
      <c r="G10" s="861"/>
      <c r="H10" s="255">
        <f>SUMIF(65:65,G10,66:66)-SUMIF(65:65,C10,66:66)+100</f>
        <v>100</v>
      </c>
      <c r="I10" s="860"/>
      <c r="J10" s="255">
        <f>SUMIF(65:65,I10,66:66)-SUMIF(65:65,C10,66:66)+100</f>
        <v>100</v>
      </c>
      <c r="K10" s="584"/>
      <c r="L10" s="2122"/>
      <c r="M10" s="2162"/>
      <c r="N10" s="2162"/>
      <c r="O10" s="2123"/>
      <c r="P10" s="3441"/>
      <c r="Q10" s="1145" t="str">
        <f t="shared" si="6"/>
        <v>土地使用年限（年）</v>
      </c>
      <c r="R10" s="1553" t="s">
        <v>8</v>
      </c>
      <c r="S10" s="1554">
        <f t="shared" si="0"/>
        <v>100</v>
      </c>
      <c r="T10" s="1553" t="s">
        <v>8</v>
      </c>
      <c r="U10" s="1554">
        <f t="shared" si="1"/>
        <v>100</v>
      </c>
      <c r="V10" s="1553" t="s">
        <v>8</v>
      </c>
      <c r="W10" s="1554">
        <f t="shared" si="2"/>
        <v>100</v>
      </c>
      <c r="X10" s="1555"/>
      <c r="Y10" s="3361"/>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41"/>
      <c r="Q11" s="1145" t="str">
        <f t="shared" si="6"/>
        <v>容积率</v>
      </c>
      <c r="R11" s="1553" t="s">
        <v>8</v>
      </c>
      <c r="S11" s="1554" t="e">
        <f t="shared" si="0"/>
        <v>#N/A</v>
      </c>
      <c r="T11" s="1553" t="s">
        <v>8</v>
      </c>
      <c r="U11" s="1554" t="e">
        <f t="shared" si="1"/>
        <v>#N/A</v>
      </c>
      <c r="V11" s="1553" t="s">
        <v>8</v>
      </c>
      <c r="W11" s="1554" t="e">
        <f t="shared" si="2"/>
        <v>#N/A</v>
      </c>
      <c r="X11" s="1555"/>
      <c r="Y11" s="3361"/>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441"/>
      <c r="Q12" s="1145">
        <f t="shared" si="6"/>
        <v>111</v>
      </c>
      <c r="R12" s="1553" t="s">
        <v>8</v>
      </c>
      <c r="S12" s="1554">
        <f t="shared" si="0"/>
        <v>100</v>
      </c>
      <c r="T12" s="1553" t="s">
        <v>8</v>
      </c>
      <c r="U12" s="1554">
        <f t="shared" si="1"/>
        <v>100</v>
      </c>
      <c r="V12" s="1553" t="s">
        <v>8</v>
      </c>
      <c r="W12" s="1554">
        <f t="shared" si="2"/>
        <v>100</v>
      </c>
      <c r="X12" s="1555"/>
      <c r="Y12" s="3361"/>
      <c r="Z12" s="1144">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441"/>
      <c r="Q13" s="1145">
        <f t="shared" si="6"/>
        <v>111</v>
      </c>
      <c r="R13" s="1553" t="s">
        <v>8</v>
      </c>
      <c r="S13" s="1554">
        <f t="shared" si="0"/>
        <v>100</v>
      </c>
      <c r="T13" s="1553" t="s">
        <v>8</v>
      </c>
      <c r="U13" s="1554">
        <f t="shared" si="1"/>
        <v>100</v>
      </c>
      <c r="V13" s="1553" t="s">
        <v>8</v>
      </c>
      <c r="W13" s="1554">
        <f t="shared" si="2"/>
        <v>100</v>
      </c>
      <c r="X13" s="1555"/>
      <c r="Y13" s="3361"/>
      <c r="Z13" s="1144">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441"/>
      <c r="Q14" s="1145">
        <f t="shared" si="6"/>
        <v>111</v>
      </c>
      <c r="R14" s="1553" t="s">
        <v>8</v>
      </c>
      <c r="S14" s="1554">
        <f t="shared" si="0"/>
        <v>100</v>
      </c>
      <c r="T14" s="1553" t="s">
        <v>8</v>
      </c>
      <c r="U14" s="1554">
        <f t="shared" si="1"/>
        <v>100</v>
      </c>
      <c r="V14" s="1553" t="s">
        <v>8</v>
      </c>
      <c r="W14" s="1554">
        <f t="shared" si="2"/>
        <v>100</v>
      </c>
      <c r="X14" s="1555"/>
      <c r="Y14" s="3361"/>
      <c r="Z14" s="1144">
        <f t="shared" si="7"/>
        <v>111</v>
      </c>
      <c r="AA14" s="1556">
        <f t="shared" si="3"/>
        <v>1</v>
      </c>
      <c r="AB14" s="1556">
        <f t="shared" si="4"/>
        <v>1</v>
      </c>
      <c r="AC14" s="1556">
        <f t="shared" si="5"/>
        <v>1</v>
      </c>
    </row>
    <row r="15" spans="1:29" ht="71.25">
      <c r="A15" s="2864" t="s">
        <v>2748</v>
      </c>
      <c r="B15" s="166" t="s">
        <v>541</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475" t="s">
        <v>540</v>
      </c>
      <c r="Q15" s="1557" t="str">
        <f t="shared" si="6"/>
        <v>商业繁华度</v>
      </c>
      <c r="R15" s="1558" t="s">
        <v>8</v>
      </c>
      <c r="S15" s="1559">
        <f t="shared" si="0"/>
        <v>100</v>
      </c>
      <c r="T15" s="1558" t="s">
        <v>8</v>
      </c>
      <c r="U15" s="1559">
        <f t="shared" si="1"/>
        <v>100</v>
      </c>
      <c r="V15" s="1558" t="s">
        <v>8</v>
      </c>
      <c r="W15" s="1559">
        <f t="shared" si="2"/>
        <v>100</v>
      </c>
      <c r="X15" s="1552"/>
      <c r="Y15" s="3475" t="s">
        <v>540</v>
      </c>
      <c r="Z15" s="1560" t="str">
        <f t="shared" si="7"/>
        <v>商业繁华度</v>
      </c>
      <c r="AA15" s="1561">
        <f t="shared" si="3"/>
        <v>1</v>
      </c>
      <c r="AB15" s="1561">
        <f t="shared" si="4"/>
        <v>1</v>
      </c>
      <c r="AC15" s="1561">
        <f t="shared" si="5"/>
        <v>1</v>
      </c>
    </row>
    <row r="16" spans="1:29" ht="15">
      <c r="A16" s="532"/>
      <c r="B16" s="868"/>
      <c r="C16" s="576"/>
      <c r="D16" s="555"/>
      <c r="E16" s="576"/>
      <c r="F16" s="557"/>
      <c r="G16" s="576"/>
      <c r="H16" s="559"/>
      <c r="I16" s="576"/>
      <c r="J16" s="555"/>
      <c r="K16" s="898"/>
      <c r="L16" s="2126"/>
      <c r="M16" s="2118"/>
      <c r="N16" s="2118"/>
      <c r="O16" s="2125"/>
      <c r="P16" s="3476"/>
      <c r="Q16" s="1557"/>
      <c r="R16" s="1558"/>
      <c r="S16" s="1559"/>
      <c r="T16" s="1558"/>
      <c r="U16" s="1559"/>
      <c r="V16" s="1558"/>
      <c r="W16" s="1559"/>
      <c r="X16" s="1552"/>
      <c r="Y16" s="3476"/>
      <c r="Z16" s="1560"/>
      <c r="AA16" s="1561">
        <v>1</v>
      </c>
      <c r="AB16" s="1561">
        <v>1</v>
      </c>
      <c r="AC16" s="1561">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476"/>
      <c r="Q17" s="1557" t="str">
        <f>B17</f>
        <v>交通便捷度</v>
      </c>
      <c r="R17" s="1558" t="s">
        <v>8</v>
      </c>
      <c r="S17" s="1559">
        <f>F17</f>
        <v>100</v>
      </c>
      <c r="T17" s="1558" t="s">
        <v>8</v>
      </c>
      <c r="U17" s="1559">
        <f>H17</f>
        <v>100</v>
      </c>
      <c r="V17" s="1558" t="s">
        <v>8</v>
      </c>
      <c r="W17" s="1559">
        <f>J17</f>
        <v>100</v>
      </c>
      <c r="X17" s="1552"/>
      <c r="Y17" s="3476"/>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98"/>
      <c r="L18" s="2126"/>
      <c r="M18" s="2118"/>
      <c r="N18" s="2118"/>
      <c r="O18" s="2125"/>
      <c r="P18" s="3476"/>
      <c r="Q18" s="1557"/>
      <c r="R18" s="1558"/>
      <c r="S18" s="1559"/>
      <c r="T18" s="1558"/>
      <c r="U18" s="1559"/>
      <c r="V18" s="1558"/>
      <c r="W18" s="1559"/>
      <c r="X18" s="1552"/>
      <c r="Y18" s="3476"/>
      <c r="Z18" s="1560"/>
      <c r="AA18" s="1561">
        <v>1</v>
      </c>
      <c r="AB18" s="1561">
        <v>1</v>
      </c>
      <c r="AC18" s="1561">
        <v>1</v>
      </c>
    </row>
    <row r="19" spans="1:29" ht="42.75">
      <c r="A19" s="532"/>
      <c r="B19" s="2563" t="s">
        <v>2541</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476"/>
      <c r="Q19" s="1557" t="str">
        <f>B19</f>
        <v>公共配套设施</v>
      </c>
      <c r="R19" s="1558" t="s">
        <v>8</v>
      </c>
      <c r="S19" s="1559">
        <f>F19</f>
        <v>100</v>
      </c>
      <c r="T19" s="1558" t="s">
        <v>8</v>
      </c>
      <c r="U19" s="1559">
        <f>H19</f>
        <v>100</v>
      </c>
      <c r="V19" s="1558" t="s">
        <v>8</v>
      </c>
      <c r="W19" s="1559">
        <f>J19</f>
        <v>100</v>
      </c>
      <c r="X19" s="1552"/>
      <c r="Y19" s="3476"/>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476"/>
      <c r="Q20" s="1557"/>
      <c r="R20" s="1558"/>
      <c r="S20" s="1559"/>
      <c r="T20" s="1558"/>
      <c r="U20" s="1559"/>
      <c r="V20" s="1558"/>
      <c r="W20" s="1559"/>
      <c r="X20" s="1552"/>
      <c r="Y20" s="3476"/>
      <c r="Z20" s="1560"/>
      <c r="AA20" s="1561">
        <v>1</v>
      </c>
      <c r="AB20" s="1561">
        <v>1</v>
      </c>
      <c r="AC20" s="1561">
        <v>1</v>
      </c>
    </row>
    <row r="21" spans="1:29" ht="28.5">
      <c r="A21" s="532"/>
      <c r="B21" s="2556" t="s">
        <v>2553</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476"/>
      <c r="Q21" s="2542" t="str">
        <f>B21</f>
        <v>基础设施水平</v>
      </c>
      <c r="R21" s="1558" t="s">
        <v>8</v>
      </c>
      <c r="S21" s="1559">
        <f>F21</f>
        <v>100</v>
      </c>
      <c r="T21" s="1558" t="s">
        <v>8</v>
      </c>
      <c r="U21" s="1559">
        <f>H21</f>
        <v>100</v>
      </c>
      <c r="V21" s="1558" t="s">
        <v>8</v>
      </c>
      <c r="W21" s="1559">
        <f>J21</f>
        <v>100</v>
      </c>
      <c r="X21" s="2544"/>
      <c r="Y21" s="3476"/>
      <c r="Z21" s="2543" t="str">
        <f>Q21</f>
        <v>基础设施水平</v>
      </c>
      <c r="AA21" s="1561">
        <f t="shared" ref="AA21" si="8">D21/F21</f>
        <v>1</v>
      </c>
      <c r="AB21" s="1561">
        <f t="shared" ref="AB21" si="9">D21/H21</f>
        <v>1</v>
      </c>
      <c r="AC21" s="1561">
        <f t="shared" ref="AC21" si="10">D21/J21</f>
        <v>1</v>
      </c>
    </row>
    <row r="22" spans="1:29" ht="15">
      <c r="A22" s="532"/>
      <c r="B22" s="921"/>
      <c r="C22" s="872"/>
      <c r="D22" s="555"/>
      <c r="E22" s="576"/>
      <c r="F22" s="557"/>
      <c r="G22" s="576"/>
      <c r="H22" s="555"/>
      <c r="I22" s="576"/>
      <c r="J22" s="555"/>
      <c r="K22" s="2565"/>
      <c r="L22" s="2126"/>
      <c r="M22" s="2118"/>
      <c r="N22" s="2118"/>
      <c r="O22" s="2125"/>
      <c r="P22" s="3476"/>
      <c r="Q22" s="2542"/>
      <c r="R22" s="1558"/>
      <c r="S22" s="1559"/>
      <c r="T22" s="1558"/>
      <c r="U22" s="1559"/>
      <c r="V22" s="1558"/>
      <c r="W22" s="1559"/>
      <c r="X22" s="2544"/>
      <c r="Y22" s="3476"/>
      <c r="Z22" s="2543"/>
      <c r="AA22" s="1561">
        <v>1</v>
      </c>
      <c r="AB22" s="1561">
        <v>1</v>
      </c>
      <c r="AC22" s="1561">
        <v>1</v>
      </c>
    </row>
    <row r="23" spans="1:29" ht="57">
      <c r="A23" s="532"/>
      <c r="B23" s="870"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476"/>
      <c r="Q23" s="1557" t="str">
        <f>B23</f>
        <v>自然及人文环境</v>
      </c>
      <c r="R23" s="1558" t="s">
        <v>8</v>
      </c>
      <c r="S23" s="1559">
        <f>F23</f>
        <v>100</v>
      </c>
      <c r="T23" s="1558" t="s">
        <v>8</v>
      </c>
      <c r="U23" s="1559">
        <f>H23</f>
        <v>100</v>
      </c>
      <c r="V23" s="1558" t="s">
        <v>8</v>
      </c>
      <c r="W23" s="1559">
        <f>J23</f>
        <v>100</v>
      </c>
      <c r="X23" s="1552"/>
      <c r="Y23" s="3476"/>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476"/>
      <c r="Q24" s="1557"/>
      <c r="R24" s="1558"/>
      <c r="S24" s="1559"/>
      <c r="T24" s="1558"/>
      <c r="U24" s="1559"/>
      <c r="V24" s="1558"/>
      <c r="W24" s="1559"/>
      <c r="X24" s="1552"/>
      <c r="Y24" s="3476"/>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76"/>
      <c r="Q25" s="1557" t="str">
        <f t="shared" ref="Q25:Q46" si="11">B25</f>
        <v>临街状况</v>
      </c>
      <c r="R25" s="1558" t="s">
        <v>8</v>
      </c>
      <c r="S25" s="1559">
        <f>F25</f>
        <v>100</v>
      </c>
      <c r="T25" s="1558" t="s">
        <v>8</v>
      </c>
      <c r="U25" s="1559">
        <f>H25</f>
        <v>100</v>
      </c>
      <c r="V25" s="1558" t="s">
        <v>8</v>
      </c>
      <c r="W25" s="1559">
        <f>J25</f>
        <v>100</v>
      </c>
      <c r="X25" s="1552"/>
      <c r="Y25" s="3476"/>
      <c r="Z25" s="1560" t="str">
        <f>Q25</f>
        <v>临街状况</v>
      </c>
      <c r="AA25" s="1561">
        <f t="shared" si="3"/>
        <v>1</v>
      </c>
      <c r="AB25" s="1561">
        <f t="shared" si="4"/>
        <v>1</v>
      </c>
      <c r="AC25" s="1561">
        <f t="shared" si="5"/>
        <v>1</v>
      </c>
    </row>
    <row r="26" spans="1:29" ht="15">
      <c r="A26" s="532"/>
      <c r="B26" s="876"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76"/>
      <c r="Q26" s="1557" t="str">
        <f t="shared" si="11"/>
        <v>平面位置/可视性</v>
      </c>
      <c r="R26" s="1558" t="s">
        <v>8</v>
      </c>
      <c r="S26" s="1559">
        <f>F26</f>
        <v>100</v>
      </c>
      <c r="T26" s="1558" t="s">
        <v>8</v>
      </c>
      <c r="U26" s="1559">
        <f>H26</f>
        <v>100</v>
      </c>
      <c r="V26" s="1558" t="s">
        <v>8</v>
      </c>
      <c r="W26" s="1559">
        <f>J26</f>
        <v>100</v>
      </c>
      <c r="X26" s="1552"/>
      <c r="Y26" s="3476"/>
      <c r="Z26" s="1560" t="str">
        <f>Q26</f>
        <v>平面位置/可视性</v>
      </c>
      <c r="AA26" s="1561">
        <f t="shared" si="3"/>
        <v>1</v>
      </c>
      <c r="AB26" s="1561">
        <f t="shared" si="4"/>
        <v>1</v>
      </c>
      <c r="AC26" s="1561">
        <f t="shared" si="5"/>
        <v>1</v>
      </c>
    </row>
    <row r="27" spans="1:29" s="1214" customFormat="1" ht="15">
      <c r="A27" s="536"/>
      <c r="B27" s="870" t="s">
        <v>759</v>
      </c>
      <c r="C27" s="900"/>
      <c r="D27" s="874">
        <v>100</v>
      </c>
      <c r="E27" s="900"/>
      <c r="F27" s="875">
        <f>SUMIF(90:90,E27,91:91)-SUMIF(90:90,C27,91:91)+100</f>
        <v>100</v>
      </c>
      <c r="G27" s="900"/>
      <c r="H27" s="874">
        <f>SUMIF(90:90,G27,91:91)-SUMIF(90:90,C27,91:91)+100</f>
        <v>100</v>
      </c>
      <c r="I27" s="900"/>
      <c r="J27" s="874">
        <f>SUMIF(90:90,I27,91:91)-SUMIF(90:90,C27,91:91)+100</f>
        <v>100</v>
      </c>
      <c r="K27" s="584"/>
      <c r="L27" s="2119"/>
      <c r="M27" s="2120"/>
      <c r="N27" s="2120"/>
      <c r="O27" s="2121"/>
      <c r="P27" s="3476"/>
      <c r="Q27" s="1145" t="str">
        <f t="shared" si="11"/>
        <v>人流量</v>
      </c>
      <c r="R27" s="1553" t="s">
        <v>8</v>
      </c>
      <c r="S27" s="1554">
        <f>F27</f>
        <v>100</v>
      </c>
      <c r="T27" s="1553" t="s">
        <v>8</v>
      </c>
      <c r="U27" s="1554">
        <f>H27</f>
        <v>100</v>
      </c>
      <c r="V27" s="1553" t="s">
        <v>8</v>
      </c>
      <c r="W27" s="1554">
        <f>J27</f>
        <v>100</v>
      </c>
      <c r="X27" s="1555"/>
      <c r="Y27" s="3476"/>
      <c r="Z27" s="1144"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76"/>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76"/>
      <c r="Z28" s="1560" t="str">
        <f t="shared" ref="Z28:Z46" si="15">Q28</f>
        <v>楼层</v>
      </c>
      <c r="AA28" s="1561">
        <f t="shared" si="3"/>
        <v>1</v>
      </c>
      <c r="AB28" s="1561">
        <f t="shared" si="4"/>
        <v>1</v>
      </c>
      <c r="AC28" s="1561">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76"/>
      <c r="Q29" s="1557">
        <f t="shared" si="11"/>
        <v>111</v>
      </c>
      <c r="R29" s="1558" t="s">
        <v>8</v>
      </c>
      <c r="S29" s="1559">
        <f t="shared" si="12"/>
        <v>100</v>
      </c>
      <c r="T29" s="1558" t="s">
        <v>8</v>
      </c>
      <c r="U29" s="1559">
        <f t="shared" si="13"/>
        <v>100</v>
      </c>
      <c r="V29" s="1558" t="s">
        <v>8</v>
      </c>
      <c r="W29" s="1559">
        <f t="shared" si="14"/>
        <v>100</v>
      </c>
      <c r="X29" s="1552"/>
      <c r="Y29" s="3476"/>
      <c r="Z29" s="1560">
        <f t="shared" si="15"/>
        <v>111</v>
      </c>
      <c r="AA29" s="1561">
        <f t="shared" si="3"/>
        <v>1</v>
      </c>
      <c r="AB29" s="1561">
        <f t="shared" si="4"/>
        <v>1</v>
      </c>
      <c r="AC29" s="1561">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76"/>
      <c r="Q30" s="1557">
        <f t="shared" si="11"/>
        <v>111</v>
      </c>
      <c r="R30" s="1558" t="s">
        <v>8</v>
      </c>
      <c r="S30" s="1559">
        <f t="shared" si="12"/>
        <v>100</v>
      </c>
      <c r="T30" s="1558" t="s">
        <v>8</v>
      </c>
      <c r="U30" s="1559">
        <f t="shared" si="13"/>
        <v>100</v>
      </c>
      <c r="V30" s="1558" t="s">
        <v>8</v>
      </c>
      <c r="W30" s="1559">
        <f t="shared" si="14"/>
        <v>100</v>
      </c>
      <c r="X30" s="1552"/>
      <c r="Y30" s="3476"/>
      <c r="Z30" s="1560">
        <f t="shared" si="15"/>
        <v>111</v>
      </c>
      <c r="AA30" s="1561">
        <f t="shared" si="3"/>
        <v>1</v>
      </c>
      <c r="AB30" s="1561">
        <f t="shared" si="4"/>
        <v>1</v>
      </c>
      <c r="AC30" s="1561">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1"/>
      <c r="L31" s="2126"/>
      <c r="M31" s="2118"/>
      <c r="N31" s="2118"/>
      <c r="O31" s="2125"/>
      <c r="P31" s="3476"/>
      <c r="Q31" s="1557">
        <f t="shared" si="11"/>
        <v>111</v>
      </c>
      <c r="R31" s="1558" t="s">
        <v>8</v>
      </c>
      <c r="S31" s="1559">
        <f t="shared" si="12"/>
        <v>100</v>
      </c>
      <c r="T31" s="1558" t="s">
        <v>8</v>
      </c>
      <c r="U31" s="1559">
        <f t="shared" si="13"/>
        <v>100</v>
      </c>
      <c r="V31" s="1558" t="s">
        <v>8</v>
      </c>
      <c r="W31" s="1559">
        <f t="shared" si="14"/>
        <v>100</v>
      </c>
      <c r="X31" s="1552"/>
      <c r="Y31" s="3476"/>
      <c r="Z31" s="1560">
        <f t="shared" si="15"/>
        <v>111</v>
      </c>
      <c r="AA31" s="1561">
        <f t="shared" si="3"/>
        <v>1</v>
      </c>
      <c r="AB31" s="1561">
        <f t="shared" si="4"/>
        <v>1</v>
      </c>
      <c r="AC31" s="1561">
        <f t="shared" si="5"/>
        <v>1</v>
      </c>
    </row>
    <row r="32" spans="1:29" ht="15">
      <c r="A32" s="2861" t="s">
        <v>2749</v>
      </c>
      <c r="B32" s="172" t="s">
        <v>762</v>
      </c>
      <c r="C32" s="877"/>
      <c r="D32" s="597">
        <v>100</v>
      </c>
      <c r="E32" s="877"/>
      <c r="F32" s="575">
        <f>SUMIF(100:100,E32,101:101)-SUMIF(100:100,C32,101:101)+100</f>
        <v>100</v>
      </c>
      <c r="G32" s="877"/>
      <c r="H32" s="540">
        <f>SUMIF(100:100,G32,101:101)-SUMIF(100:100,C32,101:101)+100</f>
        <v>100</v>
      </c>
      <c r="I32" s="877"/>
      <c r="J32" s="597">
        <f>SUMIF(100:100,I32,101:101)-SUMIF(100:100,C32,101:101)+100</f>
        <v>100</v>
      </c>
      <c r="K32" s="584"/>
      <c r="L32" s="2126"/>
      <c r="M32" s="2118"/>
      <c r="N32" s="2118"/>
      <c r="O32" s="2125"/>
      <c r="P32" s="3477" t="s">
        <v>550</v>
      </c>
      <c r="Q32" s="1557" t="str">
        <f t="shared" si="11"/>
        <v>商业类型</v>
      </c>
      <c r="R32" s="1558" t="s">
        <v>8</v>
      </c>
      <c r="S32" s="1559">
        <f t="shared" si="12"/>
        <v>100</v>
      </c>
      <c r="T32" s="1558" t="s">
        <v>8</v>
      </c>
      <c r="U32" s="1559">
        <f t="shared" si="13"/>
        <v>100</v>
      </c>
      <c r="V32" s="1558" t="s">
        <v>8</v>
      </c>
      <c r="W32" s="1559">
        <f t="shared" si="14"/>
        <v>100</v>
      </c>
      <c r="X32" s="1552"/>
      <c r="Y32" s="3478" t="s">
        <v>550</v>
      </c>
      <c r="Z32" s="1560" t="str">
        <f t="shared" si="15"/>
        <v>商业类型</v>
      </c>
      <c r="AA32" s="1561">
        <f t="shared" si="3"/>
        <v>1</v>
      </c>
      <c r="AB32" s="1561">
        <f t="shared" si="4"/>
        <v>1</v>
      </c>
      <c r="AC32" s="1561">
        <f t="shared" si="5"/>
        <v>1</v>
      </c>
    </row>
    <row r="33" spans="1:29" s="1333" customFormat="1" ht="15">
      <c r="A33" s="603"/>
      <c r="B33" s="527" t="s">
        <v>726</v>
      </c>
      <c r="C33" s="879"/>
      <c r="D33" s="255">
        <v>100</v>
      </c>
      <c r="E33" s="534"/>
      <c r="F33" s="862"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78"/>
      <c r="Q33" s="1589" t="str">
        <f t="shared" si="11"/>
        <v>项目建筑规模</v>
      </c>
      <c r="R33" s="1562" t="s">
        <v>8</v>
      </c>
      <c r="S33" s="1563" t="e">
        <f t="shared" si="12"/>
        <v>#N/A</v>
      </c>
      <c r="T33" s="1562" t="s">
        <v>8</v>
      </c>
      <c r="U33" s="1563" t="e">
        <f t="shared" si="13"/>
        <v>#N/A</v>
      </c>
      <c r="V33" s="1562" t="s">
        <v>8</v>
      </c>
      <c r="W33" s="1563" t="e">
        <f t="shared" si="14"/>
        <v>#N/A</v>
      </c>
      <c r="X33" s="1564"/>
      <c r="Y33" s="3478"/>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478"/>
      <c r="Q34" s="1557" t="str">
        <f t="shared" si="11"/>
        <v>建筑结构</v>
      </c>
      <c r="R34" s="1558" t="s">
        <v>8</v>
      </c>
      <c r="S34" s="1559">
        <f t="shared" si="12"/>
        <v>100</v>
      </c>
      <c r="T34" s="1558" t="s">
        <v>8</v>
      </c>
      <c r="U34" s="1559">
        <f t="shared" si="13"/>
        <v>100</v>
      </c>
      <c r="V34" s="1558" t="s">
        <v>8</v>
      </c>
      <c r="W34" s="1559">
        <f t="shared" si="14"/>
        <v>100</v>
      </c>
      <c r="X34" s="1552"/>
      <c r="Y34" s="3478"/>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78"/>
      <c r="Q35" s="1557" t="str">
        <f t="shared" si="11"/>
        <v>公共部分装修</v>
      </c>
      <c r="R35" s="1558" t="s">
        <v>8</v>
      </c>
      <c r="S35" s="1559">
        <f t="shared" si="12"/>
        <v>100</v>
      </c>
      <c r="T35" s="1558" t="s">
        <v>8</v>
      </c>
      <c r="U35" s="1559">
        <f t="shared" si="13"/>
        <v>100</v>
      </c>
      <c r="V35" s="1558" t="s">
        <v>8</v>
      </c>
      <c r="W35" s="1559">
        <f t="shared" si="14"/>
        <v>100</v>
      </c>
      <c r="X35" s="1552"/>
      <c r="Y35" s="3478"/>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478"/>
      <c r="Q36" s="1557" t="str">
        <f t="shared" si="11"/>
        <v>成新度</v>
      </c>
      <c r="R36" s="1558" t="s">
        <v>8</v>
      </c>
      <c r="S36" s="1559" t="e">
        <f t="shared" si="12"/>
        <v>#N/A</v>
      </c>
      <c r="T36" s="1558" t="s">
        <v>8</v>
      </c>
      <c r="U36" s="1559" t="e">
        <f t="shared" si="13"/>
        <v>#N/A</v>
      </c>
      <c r="V36" s="1558" t="s">
        <v>8</v>
      </c>
      <c r="W36" s="1559" t="e">
        <f t="shared" si="14"/>
        <v>#N/A</v>
      </c>
      <c r="X36" s="1552"/>
      <c r="Y36" s="3478"/>
      <c r="Z36" s="1560" t="str">
        <f t="shared" si="15"/>
        <v>成新度</v>
      </c>
      <c r="AA36" s="1561" t="e">
        <f t="shared" si="3"/>
        <v>#N/A</v>
      </c>
      <c r="AB36" s="1561" t="e">
        <f t="shared" si="4"/>
        <v>#N/A</v>
      </c>
      <c r="AC36" s="1561" t="e">
        <f t="shared" si="5"/>
        <v>#N/A</v>
      </c>
    </row>
    <row r="37" spans="1:29" s="1214" customFormat="1" ht="15">
      <c r="A37" s="600"/>
      <c r="B37" s="1879"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78"/>
      <c r="Q37" s="1145" t="str">
        <f t="shared" si="11"/>
        <v>市政基础设施</v>
      </c>
      <c r="R37" s="1553" t="s">
        <v>8</v>
      </c>
      <c r="S37" s="1554">
        <f t="shared" si="12"/>
        <v>100</v>
      </c>
      <c r="T37" s="1553" t="s">
        <v>8</v>
      </c>
      <c r="U37" s="1554">
        <f t="shared" si="13"/>
        <v>100</v>
      </c>
      <c r="V37" s="1553" t="s">
        <v>8</v>
      </c>
      <c r="W37" s="1554">
        <f t="shared" si="14"/>
        <v>100</v>
      </c>
      <c r="X37" s="1555"/>
      <c r="Y37" s="3478"/>
      <c r="Z37" s="1144"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78" t="s">
        <v>766</v>
      </c>
      <c r="Q38" s="1557" t="str">
        <f t="shared" si="11"/>
        <v>业态</v>
      </c>
      <c r="R38" s="1558" t="s">
        <v>8</v>
      </c>
      <c r="S38" s="1559">
        <f t="shared" si="12"/>
        <v>100</v>
      </c>
      <c r="T38" s="1558" t="s">
        <v>8</v>
      </c>
      <c r="U38" s="1559">
        <f t="shared" si="13"/>
        <v>100</v>
      </c>
      <c r="V38" s="1558" t="s">
        <v>8</v>
      </c>
      <c r="W38" s="1559">
        <f t="shared" si="14"/>
        <v>100</v>
      </c>
      <c r="X38" s="1552"/>
      <c r="Y38" s="3478"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78"/>
      <c r="Q39" s="1557" t="str">
        <f t="shared" si="11"/>
        <v>层高</v>
      </c>
      <c r="R39" s="1558" t="s">
        <v>8</v>
      </c>
      <c r="S39" s="1559">
        <f t="shared" si="12"/>
        <v>100</v>
      </c>
      <c r="T39" s="1558" t="s">
        <v>8</v>
      </c>
      <c r="U39" s="1559">
        <f t="shared" si="13"/>
        <v>100</v>
      </c>
      <c r="V39" s="1558" t="s">
        <v>8</v>
      </c>
      <c r="W39" s="1559">
        <f t="shared" si="14"/>
        <v>100</v>
      </c>
      <c r="X39" s="1552"/>
      <c r="Y39" s="3478"/>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478"/>
      <c r="Q40" s="1557" t="str">
        <f t="shared" si="11"/>
        <v>单套建筑面积</v>
      </c>
      <c r="R40" s="1558" t="s">
        <v>8</v>
      </c>
      <c r="S40" s="1559">
        <f t="shared" si="12"/>
        <v>100</v>
      </c>
      <c r="T40" s="1558" t="s">
        <v>8</v>
      </c>
      <c r="U40" s="1559">
        <f t="shared" si="13"/>
        <v>100</v>
      </c>
      <c r="V40" s="1558" t="s">
        <v>8</v>
      </c>
      <c r="W40" s="1559">
        <f t="shared" si="14"/>
        <v>100</v>
      </c>
      <c r="X40" s="1552"/>
      <c r="Y40" s="3478"/>
      <c r="Z40" s="1560" t="str">
        <f t="shared" si="15"/>
        <v>单套建筑面积</v>
      </c>
      <c r="AA40" s="1561">
        <f t="shared" si="3"/>
        <v>1</v>
      </c>
      <c r="AB40" s="1561">
        <f t="shared" si="4"/>
        <v>1</v>
      </c>
      <c r="AC40" s="1561">
        <f t="shared" si="5"/>
        <v>1</v>
      </c>
    </row>
    <row r="41" spans="1:29" s="1333"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78"/>
      <c r="Q41" s="1589" t="str">
        <f t="shared" si="11"/>
        <v>进深比</v>
      </c>
      <c r="R41" s="1562" t="s">
        <v>8</v>
      </c>
      <c r="S41" s="1563">
        <f t="shared" si="12"/>
        <v>100</v>
      </c>
      <c r="T41" s="1562" t="s">
        <v>8</v>
      </c>
      <c r="U41" s="1563">
        <f t="shared" si="13"/>
        <v>100</v>
      </c>
      <c r="V41" s="1562" t="s">
        <v>8</v>
      </c>
      <c r="W41" s="1563">
        <f t="shared" si="14"/>
        <v>100</v>
      </c>
      <c r="X41" s="1564"/>
      <c r="Y41" s="3478"/>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78"/>
      <c r="Q42" s="1557" t="str">
        <f t="shared" si="11"/>
        <v>内部装修</v>
      </c>
      <c r="R42" s="1558" t="s">
        <v>8</v>
      </c>
      <c r="S42" s="1559">
        <f t="shared" si="12"/>
        <v>100</v>
      </c>
      <c r="T42" s="1558" t="s">
        <v>8</v>
      </c>
      <c r="U42" s="1559">
        <f t="shared" si="13"/>
        <v>100</v>
      </c>
      <c r="V42" s="1558" t="s">
        <v>8</v>
      </c>
      <c r="W42" s="1559">
        <f t="shared" si="14"/>
        <v>100</v>
      </c>
      <c r="X42" s="1552"/>
      <c r="Y42" s="3478"/>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78"/>
      <c r="Q43" s="1557" t="str">
        <f t="shared" si="11"/>
        <v>内部装修维护情况</v>
      </c>
      <c r="R43" s="1558" t="s">
        <v>8</v>
      </c>
      <c r="S43" s="1559">
        <f t="shared" si="12"/>
        <v>100</v>
      </c>
      <c r="T43" s="1558" t="s">
        <v>8</v>
      </c>
      <c r="U43" s="1559">
        <f t="shared" si="13"/>
        <v>100</v>
      </c>
      <c r="V43" s="1558" t="s">
        <v>8</v>
      </c>
      <c r="W43" s="1559">
        <f t="shared" si="14"/>
        <v>100</v>
      </c>
      <c r="X43" s="1552"/>
      <c r="Y43" s="3478"/>
      <c r="Z43" s="1560" t="str">
        <f t="shared" si="15"/>
        <v>内部装修维护情况</v>
      </c>
      <c r="AA43" s="1561">
        <f t="shared" si="3"/>
        <v>1</v>
      </c>
      <c r="AB43" s="1561">
        <f t="shared" si="4"/>
        <v>1</v>
      </c>
      <c r="AC43" s="1561">
        <f t="shared" si="5"/>
        <v>1</v>
      </c>
    </row>
    <row r="44" spans="1:29" s="1214" customFormat="1" ht="15">
      <c r="A44" s="600"/>
      <c r="B44" s="876">
        <v>111</v>
      </c>
      <c r="C44" s="879"/>
      <c r="D44" s="255">
        <v>100</v>
      </c>
      <c r="E44" s="539"/>
      <c r="F44" s="862">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78"/>
      <c r="Q44" s="1145">
        <f t="shared" si="11"/>
        <v>111</v>
      </c>
      <c r="R44" s="1553" t="s">
        <v>8</v>
      </c>
      <c r="S44" s="1554">
        <f t="shared" si="12"/>
        <v>100</v>
      </c>
      <c r="T44" s="1553" t="s">
        <v>8</v>
      </c>
      <c r="U44" s="1554">
        <f t="shared" si="13"/>
        <v>100</v>
      </c>
      <c r="V44" s="1553" t="s">
        <v>8</v>
      </c>
      <c r="W44" s="1554">
        <f t="shared" si="14"/>
        <v>100</v>
      </c>
      <c r="X44" s="1555"/>
      <c r="Y44" s="3478"/>
      <c r="Z44" s="1144">
        <f t="shared" si="15"/>
        <v>111</v>
      </c>
      <c r="AA44" s="1556">
        <f t="shared" si="3"/>
        <v>1</v>
      </c>
      <c r="AB44" s="1556">
        <f t="shared" si="4"/>
        <v>1</v>
      </c>
      <c r="AC44" s="1556">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78"/>
      <c r="Q45" s="1557">
        <f t="shared" si="11"/>
        <v>111</v>
      </c>
      <c r="R45" s="1558" t="s">
        <v>8</v>
      </c>
      <c r="S45" s="1559">
        <f t="shared" si="12"/>
        <v>100</v>
      </c>
      <c r="T45" s="1558" t="s">
        <v>8</v>
      </c>
      <c r="U45" s="1559">
        <f t="shared" si="13"/>
        <v>100</v>
      </c>
      <c r="V45" s="1558" t="s">
        <v>8</v>
      </c>
      <c r="W45" s="1559">
        <f t="shared" si="14"/>
        <v>100</v>
      </c>
      <c r="X45" s="1552"/>
      <c r="Y45" s="3478"/>
      <c r="Z45" s="1560">
        <f t="shared" si="15"/>
        <v>111</v>
      </c>
      <c r="AA45" s="1561">
        <f t="shared" si="3"/>
        <v>1</v>
      </c>
      <c r="AB45" s="1561">
        <f t="shared" si="4"/>
        <v>1</v>
      </c>
      <c r="AC45" s="1561">
        <f t="shared" si="5"/>
        <v>1</v>
      </c>
    </row>
    <row r="46" spans="1:29" ht="15.75" thickBot="1">
      <c r="A46" s="885"/>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24"/>
      <c r="Q46" s="1557">
        <f t="shared" si="11"/>
        <v>111</v>
      </c>
      <c r="R46" s="1558" t="s">
        <v>8</v>
      </c>
      <c r="S46" s="1559">
        <f t="shared" si="12"/>
        <v>100</v>
      </c>
      <c r="T46" s="1558" t="s">
        <v>8</v>
      </c>
      <c r="U46" s="1559">
        <f t="shared" si="13"/>
        <v>100</v>
      </c>
      <c r="V46" s="1558" t="s">
        <v>8</v>
      </c>
      <c r="W46" s="1559">
        <f t="shared" si="14"/>
        <v>100</v>
      </c>
      <c r="X46" s="1552"/>
      <c r="Y46" s="3524"/>
      <c r="Z46" s="1560">
        <f t="shared" si="15"/>
        <v>111</v>
      </c>
      <c r="AA46" s="1561">
        <f t="shared" si="3"/>
        <v>1</v>
      </c>
      <c r="AB46" s="1561">
        <f t="shared" si="4"/>
        <v>1</v>
      </c>
      <c r="AC46" s="1561">
        <f t="shared" si="5"/>
        <v>1</v>
      </c>
    </row>
    <row r="47" spans="1:29" ht="15">
      <c r="A47" s="607" t="s">
        <v>736</v>
      </c>
      <c r="B47" s="886"/>
      <c r="C47" s="2590" t="s">
        <v>1</v>
      </c>
      <c r="D47" s="2591"/>
      <c r="E47" s="2592"/>
      <c r="F47" s="2593"/>
      <c r="G47" s="2594"/>
      <c r="H47" s="2595"/>
      <c r="I47" s="2592"/>
      <c r="J47" s="2595"/>
      <c r="K47" s="1595"/>
      <c r="L47" s="2128"/>
      <c r="M47" s="2129"/>
      <c r="N47" s="2118"/>
      <c r="O47" s="2129"/>
      <c r="P47" s="3441" t="str">
        <f>A47</f>
        <v>成交单价（元/平方米）</v>
      </c>
      <c r="Q47" s="3441"/>
      <c r="R47" s="3523">
        <f>E47</f>
        <v>0</v>
      </c>
      <c r="S47" s="3523"/>
      <c r="T47" s="3523">
        <f>G47</f>
        <v>0</v>
      </c>
      <c r="U47" s="3523"/>
      <c r="V47" s="3523">
        <f>I47</f>
        <v>0</v>
      </c>
      <c r="W47" s="3523"/>
      <c r="X47" s="1544"/>
      <c r="Y47" s="1566"/>
      <c r="Z47" s="1544"/>
      <c r="AA47" s="1544"/>
      <c r="AB47" s="1544"/>
      <c r="AC47" s="1544"/>
    </row>
    <row r="48" spans="1:29" ht="15.75" thickBot="1">
      <c r="A48" s="615" t="s">
        <v>2754</v>
      </c>
      <c r="B48" s="887"/>
      <c r="C48" s="2596" t="e">
        <f>R49</f>
        <v>#DIV/0!</v>
      </c>
      <c r="D48" s="2597"/>
      <c r="E48" s="2598" t="e">
        <f>R48</f>
        <v>#DIV/0!</v>
      </c>
      <c r="F48" s="2598"/>
      <c r="G48" s="2596" t="e">
        <f>T48</f>
        <v>#DIV/0!</v>
      </c>
      <c r="H48" s="2597"/>
      <c r="I48" s="2598" t="e">
        <f>V48</f>
        <v>#DIV/0!</v>
      </c>
      <c r="J48" s="2597"/>
      <c r="K48" s="1596"/>
      <c r="L48" s="2128"/>
      <c r="M48" s="2129"/>
      <c r="N48" s="2118"/>
      <c r="O48" s="2129"/>
      <c r="P48" s="3441" t="str">
        <f>A48</f>
        <v>比较价格（元/平方米）</v>
      </c>
      <c r="Q48" s="3441"/>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44"/>
      <c r="Y48" s="1544"/>
      <c r="Z48" s="1544"/>
      <c r="AA48" s="1544"/>
      <c r="AB48" s="1544"/>
      <c r="AC48" s="1544"/>
    </row>
    <row r="49" spans="1:29" ht="15.75" thickBot="1">
      <c r="A49" s="621" t="s">
        <v>2929</v>
      </c>
      <c r="B49" s="622"/>
      <c r="C49" s="2599" t="e">
        <f>R49</f>
        <v>#DIV/0!</v>
      </c>
      <c r="D49" s="2599"/>
      <c r="E49" s="2599"/>
      <c r="F49" s="2599"/>
      <c r="G49" s="2599"/>
      <c r="H49" s="2599"/>
      <c r="I49" s="2599"/>
      <c r="J49" s="2599"/>
      <c r="K49" s="1597"/>
      <c r="L49" s="2128"/>
      <c r="M49" s="2129"/>
      <c r="N49" s="2118"/>
      <c r="O49" s="2129"/>
      <c r="P49" s="3438" t="str">
        <f>A49</f>
        <v>估价对象XX用房的比较价格（楼面单价，元/平方米）</v>
      </c>
      <c r="Q49" s="3439"/>
      <c r="R49" s="3522" t="e">
        <f>IF(F1="售价",ROUND(AVERAGE(R48:V48),0),ROUND(AVERAGE(R48:V48),1))</f>
        <v>#DIV/0!</v>
      </c>
      <c r="S49" s="3522"/>
      <c r="T49" s="3522"/>
      <c r="U49" s="3522"/>
      <c r="V49" s="3522"/>
      <c r="W49" s="352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6" t="str">
        <f>YEAR(C7)&amp;"-"&amp;MONTH(C7)</f>
        <v>2020-6</v>
      </c>
      <c r="D58" s="2758">
        <f>EDATE(C58,-1)</f>
        <v>43952</v>
      </c>
      <c r="E58" s="2758">
        <f t="shared" ref="E58:O58" si="16">EDATE(D58,-1)</f>
        <v>43922</v>
      </c>
      <c r="F58" s="2758">
        <f t="shared" si="16"/>
        <v>43891</v>
      </c>
      <c r="G58" s="2758">
        <f t="shared" si="16"/>
        <v>43862</v>
      </c>
      <c r="H58" s="2758">
        <f t="shared" si="16"/>
        <v>43831</v>
      </c>
      <c r="I58" s="2758">
        <f t="shared" si="16"/>
        <v>43800</v>
      </c>
      <c r="J58" s="2758">
        <f t="shared" si="16"/>
        <v>43770</v>
      </c>
      <c r="K58" s="2758">
        <f t="shared" si="16"/>
        <v>43739</v>
      </c>
      <c r="L58" s="2758">
        <f t="shared" si="16"/>
        <v>43709</v>
      </c>
      <c r="M58" s="2758">
        <f t="shared" si="16"/>
        <v>43678</v>
      </c>
      <c r="N58" s="2758">
        <f t="shared" si="16"/>
        <v>43647</v>
      </c>
      <c r="O58" s="2758">
        <f t="shared" si="16"/>
        <v>43617</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199"/>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2551</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81" priority="17" stopIfTrue="1" operator="containsText" text="超过">
      <formula>NOT(ISERROR(SEARCH("超过",F52)))</formula>
    </cfRule>
  </conditionalFormatting>
  <conditionalFormatting sqref="H54">
    <cfRule type="containsText" dxfId="80" priority="15" stopIfTrue="1" operator="containsText" text="超过">
      <formula>NOT(ISERROR(SEARCH("超过",H54)))</formula>
    </cfRule>
  </conditionalFormatting>
  <conditionalFormatting sqref="F54">
    <cfRule type="containsText" dxfId="79" priority="14" stopIfTrue="1" operator="containsText" text="超过">
      <formula>NOT(ISERROR(SEARCH("超过",F54)))</formula>
    </cfRule>
  </conditionalFormatting>
  <conditionalFormatting sqref="F53 H53">
    <cfRule type="containsText" dxfId="78" priority="13" stopIfTrue="1" operator="containsText" text="超过">
      <formula>NOT(ISERROR(SEARCH("超过",F53)))</formula>
    </cfRule>
  </conditionalFormatting>
  <conditionalFormatting sqref="E52">
    <cfRule type="expression" dxfId="77" priority="12" stopIfTrue="1">
      <formula>$F$52="超过30%"</formula>
    </cfRule>
  </conditionalFormatting>
  <conditionalFormatting sqref="E53">
    <cfRule type="expression" dxfId="76" priority="11" stopIfTrue="1">
      <formula>$F$53="超过20%"</formula>
    </cfRule>
  </conditionalFormatting>
  <conditionalFormatting sqref="E54">
    <cfRule type="expression" dxfId="75" priority="10" stopIfTrue="1">
      <formula>$F$54="超过30%"</formula>
    </cfRule>
  </conditionalFormatting>
  <conditionalFormatting sqref="G54">
    <cfRule type="expression" dxfId="74" priority="9" stopIfTrue="1">
      <formula>$H$54="超过30%"</formula>
    </cfRule>
  </conditionalFormatting>
  <conditionalFormatting sqref="G52">
    <cfRule type="expression" dxfId="73" priority="8" stopIfTrue="1">
      <formula>$H$52="超过30%"</formula>
    </cfRule>
  </conditionalFormatting>
  <conditionalFormatting sqref="G53">
    <cfRule type="expression" dxfId="72" priority="7" stopIfTrue="1">
      <formula>$H$53="超过20%"</formula>
    </cfRule>
  </conditionalFormatting>
  <conditionalFormatting sqref="J52">
    <cfRule type="containsText" dxfId="71" priority="6" stopIfTrue="1" operator="containsText" text="超过">
      <formula>NOT(ISERROR(SEARCH("超过",J52)))</formula>
    </cfRule>
  </conditionalFormatting>
  <conditionalFormatting sqref="J54">
    <cfRule type="containsText" dxfId="70" priority="5" stopIfTrue="1" operator="containsText" text="超过">
      <formula>NOT(ISERROR(SEARCH("超过",J54)))</formula>
    </cfRule>
  </conditionalFormatting>
  <conditionalFormatting sqref="J53">
    <cfRule type="containsText" dxfId="69" priority="4" stopIfTrue="1" operator="containsText" text="超过">
      <formula>NOT(ISERROR(SEARCH("超过",J53)))</formula>
    </cfRule>
  </conditionalFormatting>
  <conditionalFormatting sqref="I52">
    <cfRule type="expression" dxfId="68" priority="3" stopIfTrue="1">
      <formula>$J$52="超过30%"</formula>
    </cfRule>
  </conditionalFormatting>
  <conditionalFormatting sqref="I53">
    <cfRule type="expression" dxfId="67" priority="2" stopIfTrue="1">
      <formula>$J$53="超过20%"</formula>
    </cfRule>
  </conditionalFormatting>
  <conditionalFormatting sqref="I54">
    <cfRule type="expression" dxfId="6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777</v>
      </c>
      <c r="C1" s="504" t="s">
        <v>720</v>
      </c>
      <c r="D1" s="848"/>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519</v>
      </c>
      <c r="B3" s="510"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447" t="s">
        <v>522</v>
      </c>
      <c r="D4" s="3448"/>
      <c r="E4" s="3481" t="s">
        <v>523</v>
      </c>
      <c r="F4" s="3482"/>
      <c r="G4" s="3447" t="s">
        <v>524</v>
      </c>
      <c r="H4" s="3448"/>
      <c r="I4" s="3447" t="s">
        <v>525</v>
      </c>
      <c r="J4" s="3448"/>
      <c r="K4" s="514" t="s">
        <v>526</v>
      </c>
      <c r="L4" s="2117"/>
      <c r="M4" s="2118"/>
      <c r="N4" s="2118"/>
      <c r="O4" s="2118"/>
      <c r="P4" s="3526" t="s">
        <v>527</v>
      </c>
      <c r="Q4" s="3450"/>
      <c r="R4" s="3455" t="s">
        <v>523</v>
      </c>
      <c r="S4" s="3456"/>
      <c r="T4" s="3455" t="s">
        <v>524</v>
      </c>
      <c r="U4" s="3456"/>
      <c r="V4" s="3442" t="s">
        <v>525</v>
      </c>
      <c r="W4" s="3442"/>
      <c r="X4" s="1552"/>
      <c r="Y4" s="3455" t="s">
        <v>527</v>
      </c>
      <c r="Z4" s="3456"/>
      <c r="AA4" s="3444" t="s">
        <v>523</v>
      </c>
      <c r="AB4" s="3444" t="s">
        <v>524</v>
      </c>
      <c r="AC4" s="3444" t="s">
        <v>525</v>
      </c>
    </row>
    <row r="5" spans="1:29" ht="15">
      <c r="A5" s="515"/>
      <c r="B5" s="516"/>
      <c r="C5" s="3463" t="s">
        <v>2923</v>
      </c>
      <c r="D5" s="3464"/>
      <c r="E5" s="3483" t="s">
        <v>2924</v>
      </c>
      <c r="F5" s="3484"/>
      <c r="G5" s="3463" t="s">
        <v>2925</v>
      </c>
      <c r="H5" s="3464"/>
      <c r="I5" s="3463" t="s">
        <v>2926</v>
      </c>
      <c r="J5" s="3464"/>
      <c r="K5" s="514"/>
      <c r="L5" s="2117"/>
      <c r="M5" s="2118"/>
      <c r="N5" s="2118"/>
      <c r="O5" s="2118"/>
      <c r="P5" s="3527"/>
      <c r="Q5" s="3452"/>
      <c r="R5" s="3457"/>
      <c r="S5" s="3458"/>
      <c r="T5" s="3457"/>
      <c r="U5" s="3458"/>
      <c r="V5" s="3442"/>
      <c r="W5" s="3442"/>
      <c r="X5" s="1552"/>
      <c r="Y5" s="3457"/>
      <c r="Z5" s="3458"/>
      <c r="AA5" s="3445"/>
      <c r="AB5" s="3445"/>
      <c r="AC5" s="3445"/>
    </row>
    <row r="6" spans="1:29" ht="15.75" thickBot="1">
      <c r="A6" s="517"/>
      <c r="B6" s="518"/>
      <c r="C6" s="3461" t="s">
        <v>2927</v>
      </c>
      <c r="D6" s="3462"/>
      <c r="E6" s="3479" t="s">
        <v>2927</v>
      </c>
      <c r="F6" s="3480"/>
      <c r="G6" s="3461" t="s">
        <v>2927</v>
      </c>
      <c r="H6" s="3462"/>
      <c r="I6" s="3461" t="s">
        <v>2927</v>
      </c>
      <c r="J6" s="3462"/>
      <c r="K6" s="514" t="s">
        <v>528</v>
      </c>
      <c r="L6" s="2117"/>
      <c r="M6" s="2118"/>
      <c r="N6" s="2118"/>
      <c r="O6" s="2118"/>
      <c r="P6" s="3528"/>
      <c r="Q6" s="3454"/>
      <c r="R6" s="3457"/>
      <c r="S6" s="3458"/>
      <c r="T6" s="3459"/>
      <c r="U6" s="3460"/>
      <c r="V6" s="3442"/>
      <c r="W6" s="3442"/>
      <c r="X6" s="1552"/>
      <c r="Y6" s="3459"/>
      <c r="Z6" s="3460"/>
      <c r="AA6" s="3446"/>
      <c r="AB6" s="3446"/>
      <c r="AC6" s="3446"/>
    </row>
    <row r="7" spans="1:29" s="1214" customFormat="1" ht="15.75" thickBot="1">
      <c r="A7" s="2866"/>
      <c r="B7" s="2873" t="s">
        <v>529</v>
      </c>
      <c r="C7" s="519">
        <f>'数据-取费表'!B2</f>
        <v>44001</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74" t="s">
        <v>530</v>
      </c>
      <c r="Q7" s="3474"/>
      <c r="R7" s="1553" t="s">
        <v>8</v>
      </c>
      <c r="S7" s="1554">
        <f t="shared" ref="S7:S15" si="0">F7</f>
        <v>0</v>
      </c>
      <c r="T7" s="1553" t="s">
        <v>8</v>
      </c>
      <c r="U7" s="1554">
        <f t="shared" ref="U7:U15" si="1">H7</f>
        <v>0</v>
      </c>
      <c r="V7" s="1553" t="s">
        <v>8</v>
      </c>
      <c r="W7" s="1554">
        <f t="shared" ref="W7:W15" si="2">J7</f>
        <v>0</v>
      </c>
      <c r="X7" s="1555"/>
      <c r="Y7" s="3472" t="s">
        <v>530</v>
      </c>
      <c r="Z7" s="3473"/>
      <c r="AA7" s="1556" t="e">
        <f>D7/F7</f>
        <v>#DIV/0!</v>
      </c>
      <c r="AB7" s="1556" t="e">
        <f>D7/H7</f>
        <v>#DIV/0!</v>
      </c>
      <c r="AC7" s="1556" t="e">
        <f>D7/J7</f>
        <v>#DIV/0!</v>
      </c>
    </row>
    <row r="8" spans="1:29" s="1214"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74" t="s">
        <v>533</v>
      </c>
      <c r="Q8" s="3473"/>
      <c r="R8" s="1553" t="s">
        <v>8</v>
      </c>
      <c r="S8" s="1554">
        <f t="shared" si="0"/>
        <v>0</v>
      </c>
      <c r="T8" s="1553" t="s">
        <v>8</v>
      </c>
      <c r="U8" s="1554">
        <f t="shared" si="1"/>
        <v>0</v>
      </c>
      <c r="V8" s="1553" t="s">
        <v>8</v>
      </c>
      <c r="W8" s="1554">
        <f t="shared" si="2"/>
        <v>0</v>
      </c>
      <c r="X8" s="1555"/>
      <c r="Y8" s="3472" t="s">
        <v>533</v>
      </c>
      <c r="Z8" s="3473"/>
      <c r="AA8" s="1556" t="e">
        <f t="shared" ref="AA8:AA47" si="3">D8/F8</f>
        <v>#DIV/0!</v>
      </c>
      <c r="AB8" s="1556" t="e">
        <f t="shared" ref="AB8:AB47" si="4">D8/H8</f>
        <v>#DIV/0!</v>
      </c>
      <c r="AC8" s="1556" t="e">
        <f t="shared" ref="AC8:AC47" si="5">D8/J8</f>
        <v>#DIV/0!</v>
      </c>
    </row>
    <row r="9" spans="1:29" s="1214" customFormat="1" ht="15">
      <c r="A9" s="2868"/>
      <c r="B9" s="2875" t="s">
        <v>2750</v>
      </c>
      <c r="C9" s="856"/>
      <c r="D9" s="254">
        <v>100</v>
      </c>
      <c r="E9" s="859"/>
      <c r="F9" s="254">
        <f>SUMIF(64:64,E9,65:65)-SUMIF(64:64,C9,65:65)+100</f>
        <v>100</v>
      </c>
      <c r="G9" s="857"/>
      <c r="H9" s="254">
        <f>SUMIF(64:64,G9,65:65)-SUMIF(64:64,C9,65:65)+100</f>
        <v>100</v>
      </c>
      <c r="I9" s="857"/>
      <c r="J9" s="254">
        <f>SUMIF(64:64,I9,65:65)-SUMIF(64:64,C9,65:65)+100</f>
        <v>100</v>
      </c>
      <c r="K9" s="524"/>
      <c r="L9" s="2119"/>
      <c r="M9" s="2120"/>
      <c r="N9" s="2120"/>
      <c r="O9" s="2120"/>
      <c r="P9" s="3441" t="s">
        <v>535</v>
      </c>
      <c r="Q9" s="1145" t="str">
        <f t="shared" ref="Q9:Q15" si="6">B9</f>
        <v>用途</v>
      </c>
      <c r="R9" s="1553" t="s">
        <v>8</v>
      </c>
      <c r="S9" s="1554">
        <f t="shared" si="0"/>
        <v>100</v>
      </c>
      <c r="T9" s="1553" t="s">
        <v>8</v>
      </c>
      <c r="U9" s="1554">
        <f t="shared" si="1"/>
        <v>100</v>
      </c>
      <c r="V9" s="1553" t="s">
        <v>8</v>
      </c>
      <c r="W9" s="1554">
        <f t="shared" si="2"/>
        <v>100</v>
      </c>
      <c r="X9" s="1555"/>
      <c r="Y9" s="3361"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0"/>
      <c r="F10" s="255">
        <f>SUMIF(66:66,E10,67:67)-SUMIF(66:66,C10,67:67)+100</f>
        <v>100</v>
      </c>
      <c r="G10" s="861"/>
      <c r="H10" s="255">
        <f>SUMIF(66:66,G10,67:67)-SUMIF(66:66,C10,67:67)+100</f>
        <v>100</v>
      </c>
      <c r="I10" s="860"/>
      <c r="J10" s="255">
        <f>SUMIF(66:66,I10,67:67)-SUMIF(66:66,C10,67:67)+100</f>
        <v>100</v>
      </c>
      <c r="K10" s="584"/>
      <c r="L10" s="2122"/>
      <c r="M10" s="2162"/>
      <c r="N10" s="2162"/>
      <c r="O10" s="2162"/>
      <c r="P10" s="3441"/>
      <c r="Q10" s="1145" t="str">
        <f t="shared" si="6"/>
        <v>土地使用年限（年）</v>
      </c>
      <c r="R10" s="1553" t="s">
        <v>8</v>
      </c>
      <c r="S10" s="1554">
        <f t="shared" si="0"/>
        <v>100</v>
      </c>
      <c r="T10" s="1553" t="s">
        <v>8</v>
      </c>
      <c r="U10" s="1554">
        <f t="shared" si="1"/>
        <v>100</v>
      </c>
      <c r="V10" s="1553" t="s">
        <v>8</v>
      </c>
      <c r="W10" s="1554">
        <f t="shared" si="2"/>
        <v>100</v>
      </c>
      <c r="X10" s="1555"/>
      <c r="Y10" s="3361"/>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41"/>
      <c r="Q11" s="1145" t="str">
        <f t="shared" si="6"/>
        <v>容积率</v>
      </c>
      <c r="R11" s="1553" t="s">
        <v>8</v>
      </c>
      <c r="S11" s="1554" t="e">
        <f t="shared" si="0"/>
        <v>#N/A</v>
      </c>
      <c r="T11" s="1553" t="s">
        <v>8</v>
      </c>
      <c r="U11" s="1554" t="e">
        <f t="shared" si="1"/>
        <v>#N/A</v>
      </c>
      <c r="V11" s="1553" t="s">
        <v>8</v>
      </c>
      <c r="W11" s="1554" t="e">
        <f t="shared" si="2"/>
        <v>#N/A</v>
      </c>
      <c r="X11" s="1555"/>
      <c r="Y11" s="3361"/>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441"/>
      <c r="Q12" s="1145">
        <f t="shared" si="6"/>
        <v>111</v>
      </c>
      <c r="R12" s="1553" t="s">
        <v>8</v>
      </c>
      <c r="S12" s="1554">
        <f t="shared" si="0"/>
        <v>100</v>
      </c>
      <c r="T12" s="1553" t="s">
        <v>8</v>
      </c>
      <c r="U12" s="1554">
        <f t="shared" si="1"/>
        <v>100</v>
      </c>
      <c r="V12" s="1553" t="s">
        <v>8</v>
      </c>
      <c r="W12" s="1554">
        <f t="shared" si="2"/>
        <v>100</v>
      </c>
      <c r="X12" s="1555"/>
      <c r="Y12" s="3361"/>
      <c r="Z12" s="1144">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441"/>
      <c r="Q13" s="1145">
        <f t="shared" si="6"/>
        <v>111</v>
      </c>
      <c r="R13" s="1553" t="s">
        <v>8</v>
      </c>
      <c r="S13" s="1554">
        <f t="shared" si="0"/>
        <v>100</v>
      </c>
      <c r="T13" s="1553" t="s">
        <v>8</v>
      </c>
      <c r="U13" s="1554">
        <f t="shared" si="1"/>
        <v>100</v>
      </c>
      <c r="V13" s="1553" t="s">
        <v>8</v>
      </c>
      <c r="W13" s="1554">
        <f t="shared" si="2"/>
        <v>100</v>
      </c>
      <c r="X13" s="1555"/>
      <c r="Y13" s="3361"/>
      <c r="Z13" s="1144">
        <f t="shared" si="7"/>
        <v>111</v>
      </c>
      <c r="AA13" s="1556">
        <f t="shared" si="3"/>
        <v>1</v>
      </c>
      <c r="AB13" s="1556">
        <f t="shared" si="4"/>
        <v>1</v>
      </c>
      <c r="AC13" s="1556">
        <f t="shared" si="5"/>
        <v>1</v>
      </c>
    </row>
    <row r="14" spans="1:29" ht="15.75"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441"/>
      <c r="Q14" s="1145">
        <f t="shared" si="6"/>
        <v>111</v>
      </c>
      <c r="R14" s="1553" t="s">
        <v>8</v>
      </c>
      <c r="S14" s="1554">
        <f t="shared" si="0"/>
        <v>100</v>
      </c>
      <c r="T14" s="1553" t="s">
        <v>8</v>
      </c>
      <c r="U14" s="1554">
        <f t="shared" si="1"/>
        <v>100</v>
      </c>
      <c r="V14" s="1553" t="s">
        <v>8</v>
      </c>
      <c r="W14" s="1554">
        <f t="shared" si="2"/>
        <v>100</v>
      </c>
      <c r="X14" s="1555"/>
      <c r="Y14" s="3361"/>
      <c r="Z14" s="1144">
        <f t="shared" si="7"/>
        <v>111</v>
      </c>
      <c r="AA14" s="1556">
        <f t="shared" si="3"/>
        <v>1</v>
      </c>
      <c r="AB14" s="1556">
        <f t="shared" si="4"/>
        <v>1</v>
      </c>
      <c r="AC14" s="1556">
        <f t="shared" si="5"/>
        <v>1</v>
      </c>
    </row>
    <row r="15" spans="1:29" ht="71.25">
      <c r="A15" s="2864"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475" t="s">
        <v>540</v>
      </c>
      <c r="Q15" s="1557" t="str">
        <f t="shared" si="6"/>
        <v>办公集聚程度</v>
      </c>
      <c r="R15" s="1558" t="s">
        <v>8</v>
      </c>
      <c r="S15" s="1559">
        <f t="shared" si="0"/>
        <v>100</v>
      </c>
      <c r="T15" s="1558" t="s">
        <v>8</v>
      </c>
      <c r="U15" s="1559">
        <f t="shared" si="1"/>
        <v>100</v>
      </c>
      <c r="V15" s="1558" t="s">
        <v>8</v>
      </c>
      <c r="W15" s="1559">
        <f t="shared" si="2"/>
        <v>100</v>
      </c>
      <c r="X15" s="1552"/>
      <c r="Y15" s="3475"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476"/>
      <c r="Q16" s="1557"/>
      <c r="R16" s="1558"/>
      <c r="S16" s="1559"/>
      <c r="T16" s="1558"/>
      <c r="U16" s="1559"/>
      <c r="V16" s="1558"/>
      <c r="W16" s="1559"/>
      <c r="X16" s="1552"/>
      <c r="Y16" s="3476"/>
      <c r="Z16" s="1560"/>
      <c r="AA16" s="1561">
        <v>1</v>
      </c>
      <c r="AB16" s="1561">
        <v>1</v>
      </c>
      <c r="AC16" s="1561">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476"/>
      <c r="Q17" s="1557" t="str">
        <f>B17</f>
        <v>交通便捷度</v>
      </c>
      <c r="R17" s="1558" t="s">
        <v>8</v>
      </c>
      <c r="S17" s="1559">
        <f>F17</f>
        <v>100</v>
      </c>
      <c r="T17" s="1558" t="s">
        <v>8</v>
      </c>
      <c r="U17" s="1559">
        <f>H17</f>
        <v>100</v>
      </c>
      <c r="V17" s="1558" t="s">
        <v>8</v>
      </c>
      <c r="W17" s="1559">
        <f>J17</f>
        <v>100</v>
      </c>
      <c r="X17" s="1552"/>
      <c r="Y17" s="3476"/>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476"/>
      <c r="Q18" s="1557"/>
      <c r="R18" s="1558"/>
      <c r="S18" s="1559"/>
      <c r="T18" s="1558"/>
      <c r="U18" s="1559"/>
      <c r="V18" s="1558"/>
      <c r="W18" s="1559"/>
      <c r="X18" s="1552"/>
      <c r="Y18" s="3476"/>
      <c r="Z18" s="1560"/>
      <c r="AA18" s="1561">
        <v>1</v>
      </c>
      <c r="AB18" s="1561">
        <v>1</v>
      </c>
      <c r="AC18" s="1561">
        <v>1</v>
      </c>
    </row>
    <row r="19" spans="1:29" ht="42.75">
      <c r="A19" s="532"/>
      <c r="B19" s="2566"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476"/>
      <c r="Q19" s="1557" t="str">
        <f>B19</f>
        <v>公共配套设施</v>
      </c>
      <c r="R19" s="1558" t="s">
        <v>8</v>
      </c>
      <c r="S19" s="1559">
        <f>F19</f>
        <v>100</v>
      </c>
      <c r="T19" s="1558" t="s">
        <v>8</v>
      </c>
      <c r="U19" s="1559">
        <f>H19</f>
        <v>100</v>
      </c>
      <c r="V19" s="1558" t="s">
        <v>8</v>
      </c>
      <c r="W19" s="1559">
        <f>J19</f>
        <v>100</v>
      </c>
      <c r="X19" s="1552"/>
      <c r="Y19" s="3476"/>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476"/>
      <c r="Q20" s="1557"/>
      <c r="R20" s="1558"/>
      <c r="S20" s="1559"/>
      <c r="T20" s="1558"/>
      <c r="U20" s="1559"/>
      <c r="V20" s="1558"/>
      <c r="W20" s="1559"/>
      <c r="X20" s="1552"/>
      <c r="Y20" s="3476"/>
      <c r="Z20" s="1560"/>
      <c r="AA20" s="1561">
        <v>1</v>
      </c>
      <c r="AB20" s="1561">
        <v>1</v>
      </c>
      <c r="AC20" s="1561">
        <v>1</v>
      </c>
    </row>
    <row r="21" spans="1:29" ht="28.5">
      <c r="A21" s="532"/>
      <c r="B21" s="2554"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476"/>
      <c r="Q21" s="2542" t="str">
        <f>B21</f>
        <v>基础设施水平</v>
      </c>
      <c r="R21" s="1558" t="s">
        <v>8</v>
      </c>
      <c r="S21" s="1559">
        <f>F21</f>
        <v>100</v>
      </c>
      <c r="T21" s="1558" t="s">
        <v>8</v>
      </c>
      <c r="U21" s="1559">
        <f>H21</f>
        <v>100</v>
      </c>
      <c r="V21" s="1558" t="s">
        <v>8</v>
      </c>
      <c r="W21" s="1559">
        <f>J21</f>
        <v>100</v>
      </c>
      <c r="X21" s="2544"/>
      <c r="Y21" s="3476"/>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76"/>
      <c r="Q22" s="2542"/>
      <c r="R22" s="1558"/>
      <c r="S22" s="1559"/>
      <c r="T22" s="1558"/>
      <c r="U22" s="1559"/>
      <c r="V22" s="1558"/>
      <c r="W22" s="1559"/>
      <c r="X22" s="2544"/>
      <c r="Y22" s="3476"/>
      <c r="Z22" s="2543"/>
      <c r="AA22" s="1561">
        <v>1</v>
      </c>
      <c r="AB22" s="1561">
        <v>1</v>
      </c>
      <c r="AC22" s="1561">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476"/>
      <c r="Q23" s="1557" t="str">
        <f>B23</f>
        <v>环境质量</v>
      </c>
      <c r="R23" s="1558" t="s">
        <v>8</v>
      </c>
      <c r="S23" s="1559">
        <f>F23</f>
        <v>100</v>
      </c>
      <c r="T23" s="1558" t="s">
        <v>8</v>
      </c>
      <c r="U23" s="1559">
        <f>H23</f>
        <v>100</v>
      </c>
      <c r="V23" s="1558" t="s">
        <v>8</v>
      </c>
      <c r="W23" s="1559">
        <f>J23</f>
        <v>100</v>
      </c>
      <c r="X23" s="1552"/>
      <c r="Y23" s="3476"/>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476"/>
      <c r="Q24" s="1557"/>
      <c r="R24" s="1558"/>
      <c r="S24" s="1559"/>
      <c r="T24" s="1558"/>
      <c r="U24" s="1559"/>
      <c r="V24" s="1558"/>
      <c r="W24" s="1559"/>
      <c r="X24" s="1552"/>
      <c r="Y24" s="3476"/>
      <c r="Z24" s="1560"/>
      <c r="AA24" s="1561">
        <v>1</v>
      </c>
      <c r="AB24" s="1561">
        <v>1</v>
      </c>
      <c r="AC24" s="1561">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476"/>
      <c r="Q25" s="1557" t="str">
        <f>B25</f>
        <v>毗邻道路的类型与等级</v>
      </c>
      <c r="R25" s="1558" t="s">
        <v>8</v>
      </c>
      <c r="S25" s="1559">
        <f>F25</f>
        <v>100</v>
      </c>
      <c r="T25" s="1558" t="s">
        <v>8</v>
      </c>
      <c r="U25" s="1559">
        <f>H25</f>
        <v>100</v>
      </c>
      <c r="V25" s="1558" t="s">
        <v>8</v>
      </c>
      <c r="W25" s="1559">
        <f>J25</f>
        <v>100</v>
      </c>
      <c r="X25" s="1552"/>
      <c r="Y25" s="3476"/>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476"/>
      <c r="Q26" s="1557"/>
      <c r="R26" s="1558"/>
      <c r="S26" s="1559"/>
      <c r="T26" s="1558"/>
      <c r="U26" s="1559"/>
      <c r="V26" s="1558"/>
      <c r="W26" s="1559"/>
      <c r="X26" s="1552"/>
      <c r="Y26" s="3476"/>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76"/>
      <c r="Q27" s="1557" t="str">
        <f t="shared" ref="Q27:Q47" si="11">B27</f>
        <v>楼层</v>
      </c>
      <c r="R27" s="1558" t="s">
        <v>8</v>
      </c>
      <c r="S27" s="1559">
        <f>F27</f>
        <v>100</v>
      </c>
      <c r="T27" s="1558" t="s">
        <v>8</v>
      </c>
      <c r="U27" s="1559">
        <f>H27</f>
        <v>100</v>
      </c>
      <c r="V27" s="1558" t="s">
        <v>8</v>
      </c>
      <c r="W27" s="1559">
        <f>J27</f>
        <v>100</v>
      </c>
      <c r="X27" s="1552"/>
      <c r="Y27" s="3476"/>
      <c r="Z27" s="1560" t="str">
        <f>Q27</f>
        <v>楼层</v>
      </c>
      <c r="AA27" s="1561">
        <f t="shared" si="3"/>
        <v>1</v>
      </c>
      <c r="AB27" s="1561">
        <f t="shared" si="4"/>
        <v>1</v>
      </c>
      <c r="AC27" s="1561">
        <f t="shared" si="5"/>
        <v>1</v>
      </c>
    </row>
    <row r="28" spans="1:29" s="1214" customFormat="1" ht="15">
      <c r="A28" s="536"/>
      <c r="B28" s="560" t="s">
        <v>779</v>
      </c>
      <c r="C28" s="912"/>
      <c r="D28" s="874">
        <v>100</v>
      </c>
      <c r="E28" s="900"/>
      <c r="F28" s="874">
        <f>SUMIF(91:91,E28,92:92)-SUMIF(91:91,C28,92:92)+100</f>
        <v>100</v>
      </c>
      <c r="G28" s="912"/>
      <c r="H28" s="874">
        <f>SUMIF(91:91,G28,92:92)-SUMIF(91:91,C28,92:92)+100</f>
        <v>100</v>
      </c>
      <c r="I28" s="900"/>
      <c r="J28" s="874">
        <f>SUMIF(91:91,I28,92:92)-SUMIF(91:91,C28,92:92)+100</f>
        <v>100</v>
      </c>
      <c r="K28" s="584"/>
      <c r="L28" s="2119"/>
      <c r="M28" s="2120"/>
      <c r="N28" s="2120"/>
      <c r="O28" s="2120"/>
      <c r="P28" s="3476"/>
      <c r="Q28" s="1145" t="str">
        <f t="shared" si="11"/>
        <v>朝向</v>
      </c>
      <c r="R28" s="1553" t="s">
        <v>8</v>
      </c>
      <c r="S28" s="1554">
        <f>F28</f>
        <v>100</v>
      </c>
      <c r="T28" s="1553" t="s">
        <v>8</v>
      </c>
      <c r="U28" s="1554">
        <f>H28</f>
        <v>100</v>
      </c>
      <c r="V28" s="1553" t="s">
        <v>8</v>
      </c>
      <c r="W28" s="1554">
        <f>J28</f>
        <v>100</v>
      </c>
      <c r="X28" s="1555"/>
      <c r="Y28" s="3476"/>
      <c r="Z28" s="1144"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476"/>
      <c r="Q29" s="1557">
        <f t="shared" si="11"/>
        <v>111</v>
      </c>
      <c r="R29" s="1558" t="s">
        <v>8</v>
      </c>
      <c r="S29" s="1559">
        <f t="shared" ref="S29:S47" si="12">F29</f>
        <v>100</v>
      </c>
      <c r="T29" s="1558" t="s">
        <v>8</v>
      </c>
      <c r="U29" s="1559">
        <f t="shared" ref="U29:U47" si="13">H29</f>
        <v>100</v>
      </c>
      <c r="V29" s="1558" t="s">
        <v>8</v>
      </c>
      <c r="W29" s="1559">
        <f t="shared" ref="W29:W47" si="14">J29</f>
        <v>100</v>
      </c>
      <c r="X29" s="1552"/>
      <c r="Y29" s="3476"/>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476"/>
      <c r="Q30" s="1557">
        <f t="shared" si="11"/>
        <v>111</v>
      </c>
      <c r="R30" s="1558" t="s">
        <v>8</v>
      </c>
      <c r="S30" s="1559">
        <f t="shared" si="12"/>
        <v>100</v>
      </c>
      <c r="T30" s="1558" t="s">
        <v>8</v>
      </c>
      <c r="U30" s="1559">
        <f t="shared" si="13"/>
        <v>100</v>
      </c>
      <c r="V30" s="1558" t="s">
        <v>8</v>
      </c>
      <c r="W30" s="1559">
        <f t="shared" si="14"/>
        <v>100</v>
      </c>
      <c r="X30" s="1552"/>
      <c r="Y30" s="3476"/>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476"/>
      <c r="Q31" s="1557">
        <f t="shared" si="11"/>
        <v>111</v>
      </c>
      <c r="R31" s="1558" t="s">
        <v>8</v>
      </c>
      <c r="S31" s="1559">
        <f t="shared" si="12"/>
        <v>100</v>
      </c>
      <c r="T31" s="1558" t="s">
        <v>8</v>
      </c>
      <c r="U31" s="1559">
        <f t="shared" si="13"/>
        <v>100</v>
      </c>
      <c r="V31" s="1558" t="s">
        <v>8</v>
      </c>
      <c r="W31" s="1559">
        <f t="shared" si="14"/>
        <v>100</v>
      </c>
      <c r="X31" s="1552"/>
      <c r="Y31" s="3476"/>
      <c r="Z31" s="1560">
        <f t="shared" si="15"/>
        <v>111</v>
      </c>
      <c r="AA31" s="1561">
        <f t="shared" si="3"/>
        <v>1</v>
      </c>
      <c r="AB31" s="1561">
        <f t="shared" si="4"/>
        <v>1</v>
      </c>
      <c r="AC31" s="1561">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476"/>
      <c r="Q32" s="1557">
        <f t="shared" si="11"/>
        <v>111</v>
      </c>
      <c r="R32" s="1558" t="s">
        <v>8</v>
      </c>
      <c r="S32" s="1559">
        <f t="shared" si="12"/>
        <v>100</v>
      </c>
      <c r="T32" s="1558" t="s">
        <v>8</v>
      </c>
      <c r="U32" s="1559">
        <f t="shared" si="13"/>
        <v>100</v>
      </c>
      <c r="V32" s="1558" t="s">
        <v>8</v>
      </c>
      <c r="W32" s="1559">
        <f t="shared" si="14"/>
        <v>100</v>
      </c>
      <c r="X32" s="1552"/>
      <c r="Y32" s="3476"/>
      <c r="Z32" s="1560">
        <f t="shared" si="15"/>
        <v>111</v>
      </c>
      <c r="AA32" s="1561">
        <f t="shared" si="3"/>
        <v>1</v>
      </c>
      <c r="AB32" s="1561">
        <f t="shared" si="4"/>
        <v>1</v>
      </c>
      <c r="AC32" s="1561">
        <f t="shared" si="5"/>
        <v>1</v>
      </c>
    </row>
    <row r="33" spans="1:29" ht="15">
      <c r="A33" s="2861" t="s">
        <v>2749</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477" t="s">
        <v>550</v>
      </c>
      <c r="Q33" s="1557" t="str">
        <f t="shared" si="11"/>
        <v>建筑类型</v>
      </c>
      <c r="R33" s="1558" t="s">
        <v>8</v>
      </c>
      <c r="S33" s="1559">
        <f t="shared" si="12"/>
        <v>100</v>
      </c>
      <c r="T33" s="1558" t="s">
        <v>8</v>
      </c>
      <c r="U33" s="1559">
        <f t="shared" si="13"/>
        <v>100</v>
      </c>
      <c r="V33" s="1558" t="s">
        <v>8</v>
      </c>
      <c r="W33" s="1559">
        <f t="shared" si="14"/>
        <v>100</v>
      </c>
      <c r="X33" s="1552"/>
      <c r="Y33" s="3478" t="s">
        <v>550</v>
      </c>
      <c r="Z33" s="1560" t="str">
        <f t="shared" si="15"/>
        <v>建筑类型</v>
      </c>
      <c r="AA33" s="1561">
        <f t="shared" si="3"/>
        <v>1</v>
      </c>
      <c r="AB33" s="1561">
        <f t="shared" si="4"/>
        <v>1</v>
      </c>
      <c r="AC33" s="1561">
        <f t="shared" si="5"/>
        <v>1</v>
      </c>
    </row>
    <row r="34" spans="1:29" s="1333" customFormat="1" ht="15">
      <c r="A34" s="603"/>
      <c r="B34" s="527" t="s">
        <v>726</v>
      </c>
      <c r="C34" s="879"/>
      <c r="D34" s="255">
        <v>100</v>
      </c>
      <c r="E34" s="534"/>
      <c r="F34" s="862"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78"/>
      <c r="Q34" s="1589" t="str">
        <f t="shared" si="11"/>
        <v>项目建筑规模</v>
      </c>
      <c r="R34" s="1562" t="s">
        <v>8</v>
      </c>
      <c r="S34" s="1563" t="e">
        <f t="shared" si="12"/>
        <v>#N/A</v>
      </c>
      <c r="T34" s="1562" t="s">
        <v>8</v>
      </c>
      <c r="U34" s="1563" t="e">
        <f t="shared" si="13"/>
        <v>#N/A</v>
      </c>
      <c r="V34" s="1562" t="s">
        <v>8</v>
      </c>
      <c r="W34" s="1563" t="e">
        <f t="shared" si="14"/>
        <v>#N/A</v>
      </c>
      <c r="X34" s="1564"/>
      <c r="Y34" s="3478"/>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78"/>
      <c r="Q35" s="1557" t="str">
        <f t="shared" si="11"/>
        <v>建筑结构</v>
      </c>
      <c r="R35" s="1558" t="s">
        <v>8</v>
      </c>
      <c r="S35" s="1559">
        <f t="shared" si="12"/>
        <v>100</v>
      </c>
      <c r="T35" s="1558" t="s">
        <v>8</v>
      </c>
      <c r="U35" s="1559">
        <f t="shared" si="13"/>
        <v>100</v>
      </c>
      <c r="V35" s="1558" t="s">
        <v>8</v>
      </c>
      <c r="W35" s="1559">
        <f t="shared" si="14"/>
        <v>100</v>
      </c>
      <c r="X35" s="1552"/>
      <c r="Y35" s="3478"/>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78"/>
      <c r="Q36" s="1557" t="str">
        <f t="shared" si="11"/>
        <v>公共部分装修</v>
      </c>
      <c r="R36" s="1558" t="s">
        <v>8</v>
      </c>
      <c r="S36" s="1559">
        <f t="shared" si="12"/>
        <v>100</v>
      </c>
      <c r="T36" s="1558" t="s">
        <v>8</v>
      </c>
      <c r="U36" s="1559">
        <f t="shared" si="13"/>
        <v>100</v>
      </c>
      <c r="V36" s="1558" t="s">
        <v>8</v>
      </c>
      <c r="W36" s="1559">
        <f t="shared" si="14"/>
        <v>100</v>
      </c>
      <c r="X36" s="1552"/>
      <c r="Y36" s="3478"/>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478"/>
      <c r="Q37" s="1557" t="str">
        <f t="shared" si="11"/>
        <v>成新度</v>
      </c>
      <c r="R37" s="1558" t="s">
        <v>8</v>
      </c>
      <c r="S37" s="1559" t="e">
        <f t="shared" si="12"/>
        <v>#N/A</v>
      </c>
      <c r="T37" s="1558" t="s">
        <v>8</v>
      </c>
      <c r="U37" s="1559" t="e">
        <f t="shared" si="13"/>
        <v>#N/A</v>
      </c>
      <c r="V37" s="1558" t="s">
        <v>8</v>
      </c>
      <c r="W37" s="1559" t="e">
        <f t="shared" si="14"/>
        <v>#N/A</v>
      </c>
      <c r="X37" s="1552"/>
      <c r="Y37" s="3478"/>
      <c r="Z37" s="1560" t="str">
        <f t="shared" si="15"/>
        <v>成新度</v>
      </c>
      <c r="AA37" s="1561" t="e">
        <f t="shared" si="3"/>
        <v>#N/A</v>
      </c>
      <c r="AB37" s="1561" t="e">
        <f t="shared" si="4"/>
        <v>#N/A</v>
      </c>
      <c r="AC37" s="1561" t="e">
        <f t="shared" si="5"/>
        <v>#N/A</v>
      </c>
    </row>
    <row r="38" spans="1:29" s="1214"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78"/>
      <c r="Q38" s="1145" t="str">
        <f t="shared" si="11"/>
        <v>写字楼等级</v>
      </c>
      <c r="R38" s="1553" t="s">
        <v>8</v>
      </c>
      <c r="S38" s="1554">
        <f t="shared" si="12"/>
        <v>100</v>
      </c>
      <c r="T38" s="1553" t="s">
        <v>8</v>
      </c>
      <c r="U38" s="1554">
        <f t="shared" si="13"/>
        <v>100</v>
      </c>
      <c r="V38" s="1553" t="s">
        <v>8</v>
      </c>
      <c r="W38" s="1554">
        <f t="shared" si="14"/>
        <v>100</v>
      </c>
      <c r="X38" s="1555"/>
      <c r="Y38" s="3478"/>
      <c r="Z38" s="1144"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78" t="s">
        <v>550</v>
      </c>
      <c r="Q39" s="1557" t="str">
        <f t="shared" si="11"/>
        <v>物业管理</v>
      </c>
      <c r="R39" s="1558" t="s">
        <v>8</v>
      </c>
      <c r="S39" s="1559">
        <f t="shared" si="12"/>
        <v>100</v>
      </c>
      <c r="T39" s="1558" t="s">
        <v>8</v>
      </c>
      <c r="U39" s="1559">
        <f t="shared" si="13"/>
        <v>100</v>
      </c>
      <c r="V39" s="1558" t="s">
        <v>8</v>
      </c>
      <c r="W39" s="1559">
        <f t="shared" si="14"/>
        <v>100</v>
      </c>
      <c r="X39" s="1552"/>
      <c r="Y39" s="3478" t="s">
        <v>550</v>
      </c>
      <c r="Z39" s="1560" t="str">
        <f t="shared" si="15"/>
        <v>物业管理</v>
      </c>
      <c r="AA39" s="1561">
        <f t="shared" si="3"/>
        <v>1</v>
      </c>
      <c r="AB39" s="1561">
        <f t="shared" si="4"/>
        <v>1</v>
      </c>
      <c r="AC39" s="1561">
        <f t="shared" si="5"/>
        <v>1</v>
      </c>
    </row>
    <row r="40" spans="1:29" ht="15">
      <c r="A40" s="594"/>
      <c r="B40" s="1879"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78"/>
      <c r="Q40" s="1557" t="str">
        <f t="shared" si="11"/>
        <v>市政基础设施</v>
      </c>
      <c r="R40" s="1558" t="s">
        <v>8</v>
      </c>
      <c r="S40" s="1559">
        <f t="shared" si="12"/>
        <v>100</v>
      </c>
      <c r="T40" s="1558" t="s">
        <v>8</v>
      </c>
      <c r="U40" s="1559">
        <f t="shared" si="13"/>
        <v>100</v>
      </c>
      <c r="V40" s="1558" t="s">
        <v>8</v>
      </c>
      <c r="W40" s="1559">
        <f t="shared" si="14"/>
        <v>100</v>
      </c>
      <c r="X40" s="1552"/>
      <c r="Y40" s="3478"/>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78"/>
      <c r="Q41" s="1557" t="str">
        <f t="shared" si="11"/>
        <v>层高</v>
      </c>
      <c r="R41" s="1558" t="s">
        <v>8</v>
      </c>
      <c r="S41" s="1559">
        <f t="shared" si="12"/>
        <v>100</v>
      </c>
      <c r="T41" s="1558" t="s">
        <v>8</v>
      </c>
      <c r="U41" s="1559">
        <f t="shared" si="13"/>
        <v>100</v>
      </c>
      <c r="V41" s="1558" t="s">
        <v>8</v>
      </c>
      <c r="W41" s="1559">
        <f t="shared" si="14"/>
        <v>100</v>
      </c>
      <c r="X41" s="1552"/>
      <c r="Y41" s="3478"/>
      <c r="Z41" s="1560" t="str">
        <f t="shared" si="15"/>
        <v>层高</v>
      </c>
      <c r="AA41" s="1561">
        <f t="shared" si="3"/>
        <v>1</v>
      </c>
      <c r="AB41" s="1561">
        <f t="shared" si="4"/>
        <v>1</v>
      </c>
      <c r="AC41" s="1561">
        <f t="shared" si="5"/>
        <v>1</v>
      </c>
    </row>
    <row r="42" spans="1:29" s="1333"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78"/>
      <c r="Q42" s="1589" t="str">
        <f t="shared" si="11"/>
        <v>单套建筑面积</v>
      </c>
      <c r="R42" s="1562" t="s">
        <v>8</v>
      </c>
      <c r="S42" s="1563">
        <f t="shared" si="12"/>
        <v>100</v>
      </c>
      <c r="T42" s="1562" t="s">
        <v>8</v>
      </c>
      <c r="U42" s="1563">
        <f t="shared" si="13"/>
        <v>100</v>
      </c>
      <c r="V42" s="1562" t="s">
        <v>8</v>
      </c>
      <c r="W42" s="1563">
        <f t="shared" si="14"/>
        <v>100</v>
      </c>
      <c r="X42" s="1564"/>
      <c r="Y42" s="3478"/>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78"/>
      <c r="Q43" s="1557" t="str">
        <f t="shared" si="11"/>
        <v>内部装修</v>
      </c>
      <c r="R43" s="1558" t="s">
        <v>8</v>
      </c>
      <c r="S43" s="1559">
        <f t="shared" si="12"/>
        <v>100</v>
      </c>
      <c r="T43" s="1558" t="s">
        <v>8</v>
      </c>
      <c r="U43" s="1559">
        <f t="shared" si="13"/>
        <v>100</v>
      </c>
      <c r="V43" s="1558" t="s">
        <v>8</v>
      </c>
      <c r="W43" s="1559">
        <f t="shared" si="14"/>
        <v>100</v>
      </c>
      <c r="X43" s="1552"/>
      <c r="Y43" s="3478"/>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78"/>
      <c r="Q44" s="1557" t="str">
        <f t="shared" si="11"/>
        <v>内部装修维护情况</v>
      </c>
      <c r="R44" s="1558" t="s">
        <v>8</v>
      </c>
      <c r="S44" s="1559">
        <f t="shared" si="12"/>
        <v>100</v>
      </c>
      <c r="T44" s="1558" t="s">
        <v>8</v>
      </c>
      <c r="U44" s="1559">
        <f t="shared" si="13"/>
        <v>100</v>
      </c>
      <c r="V44" s="1558" t="s">
        <v>8</v>
      </c>
      <c r="W44" s="1559">
        <f t="shared" si="14"/>
        <v>100</v>
      </c>
      <c r="X44" s="1552"/>
      <c r="Y44" s="3478"/>
      <c r="Z44" s="1560" t="str">
        <f t="shared" si="15"/>
        <v>内部装修维护情况</v>
      </c>
      <c r="AA44" s="1561">
        <f t="shared" si="3"/>
        <v>1</v>
      </c>
      <c r="AB44" s="1561">
        <f t="shared" si="4"/>
        <v>1</v>
      </c>
      <c r="AC44" s="1561">
        <f t="shared" si="5"/>
        <v>1</v>
      </c>
    </row>
    <row r="45" spans="1:29" s="1214" customFormat="1" ht="15">
      <c r="A45" s="600"/>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78"/>
      <c r="Q45" s="1145">
        <f t="shared" si="11"/>
        <v>111</v>
      </c>
      <c r="R45" s="1553" t="s">
        <v>8</v>
      </c>
      <c r="S45" s="1554">
        <f t="shared" si="12"/>
        <v>100</v>
      </c>
      <c r="T45" s="1553" t="s">
        <v>8</v>
      </c>
      <c r="U45" s="1554">
        <f t="shared" si="13"/>
        <v>100</v>
      </c>
      <c r="V45" s="1553" t="s">
        <v>8</v>
      </c>
      <c r="W45" s="1554">
        <f t="shared" si="14"/>
        <v>100</v>
      </c>
      <c r="X45" s="1555"/>
      <c r="Y45" s="3478"/>
      <c r="Z45" s="1144">
        <f t="shared" si="15"/>
        <v>111</v>
      </c>
      <c r="AA45" s="1556">
        <f t="shared" si="3"/>
        <v>1</v>
      </c>
      <c r="AB45" s="1556">
        <f t="shared" si="4"/>
        <v>1</v>
      </c>
      <c r="AC45" s="1556">
        <f t="shared" si="5"/>
        <v>1</v>
      </c>
    </row>
    <row r="46" spans="1:29" ht="15">
      <c r="A46" s="594"/>
      <c r="B46" s="876">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78"/>
      <c r="Q46" s="1557">
        <f t="shared" si="11"/>
        <v>111</v>
      </c>
      <c r="R46" s="1558" t="s">
        <v>8</v>
      </c>
      <c r="S46" s="1559">
        <f t="shared" si="12"/>
        <v>100</v>
      </c>
      <c r="T46" s="1558" t="s">
        <v>8</v>
      </c>
      <c r="U46" s="1559">
        <f t="shared" si="13"/>
        <v>100</v>
      </c>
      <c r="V46" s="1558" t="s">
        <v>8</v>
      </c>
      <c r="W46" s="1559">
        <f t="shared" si="14"/>
        <v>100</v>
      </c>
      <c r="X46" s="1552"/>
      <c r="Y46" s="3478"/>
      <c r="Z46" s="1560">
        <f t="shared" si="15"/>
        <v>111</v>
      </c>
      <c r="AA46" s="1561">
        <f t="shared" si="3"/>
        <v>1</v>
      </c>
      <c r="AB46" s="1561">
        <f t="shared" si="4"/>
        <v>1</v>
      </c>
      <c r="AC46" s="1561">
        <f t="shared" si="5"/>
        <v>1</v>
      </c>
    </row>
    <row r="47" spans="1:29" ht="15.75" thickBot="1">
      <c r="A47" s="885"/>
      <c r="B47" s="544">
        <v>111</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24"/>
      <c r="Q47" s="1557">
        <f t="shared" si="11"/>
        <v>111</v>
      </c>
      <c r="R47" s="1558" t="s">
        <v>8</v>
      </c>
      <c r="S47" s="1559">
        <f t="shared" si="12"/>
        <v>100</v>
      </c>
      <c r="T47" s="1558" t="s">
        <v>8</v>
      </c>
      <c r="U47" s="1559">
        <f t="shared" si="13"/>
        <v>100</v>
      </c>
      <c r="V47" s="1558" t="s">
        <v>8</v>
      </c>
      <c r="W47" s="1559">
        <f t="shared" si="14"/>
        <v>100</v>
      </c>
      <c r="X47" s="1552"/>
      <c r="Y47" s="3524"/>
      <c r="Z47" s="1560">
        <f t="shared" si="15"/>
        <v>111</v>
      </c>
      <c r="AA47" s="1561">
        <f t="shared" si="3"/>
        <v>1</v>
      </c>
      <c r="AB47" s="1561">
        <f t="shared" si="4"/>
        <v>1</v>
      </c>
      <c r="AC47" s="1561">
        <f t="shared" si="5"/>
        <v>1</v>
      </c>
    </row>
    <row r="48" spans="1:29" ht="15">
      <c r="A48" s="607" t="s">
        <v>736</v>
      </c>
      <c r="B48" s="886"/>
      <c r="C48" s="2590" t="s">
        <v>1</v>
      </c>
      <c r="D48" s="2591"/>
      <c r="E48" s="2592"/>
      <c r="F48" s="2593"/>
      <c r="G48" s="2594"/>
      <c r="H48" s="2595"/>
      <c r="I48" s="2592"/>
      <c r="J48" s="2595"/>
      <c r="K48" s="1595"/>
      <c r="L48" s="2128"/>
      <c r="M48" s="2118"/>
      <c r="N48" s="2118"/>
      <c r="O48" s="2118"/>
      <c r="P48" s="3439" t="str">
        <f>A48</f>
        <v>成交单价（元/平方米）</v>
      </c>
      <c r="Q48" s="3441"/>
      <c r="R48" s="3523">
        <f>E48</f>
        <v>0</v>
      </c>
      <c r="S48" s="3523"/>
      <c r="T48" s="3523">
        <f>G48</f>
        <v>0</v>
      </c>
      <c r="U48" s="3523"/>
      <c r="V48" s="3523">
        <f>I48</f>
        <v>0</v>
      </c>
      <c r="W48" s="3523"/>
      <c r="X48" s="1544"/>
      <c r="Y48" s="1566"/>
      <c r="Z48" s="1544"/>
      <c r="AA48" s="1544"/>
      <c r="AB48" s="1544"/>
      <c r="AC48" s="1544"/>
    </row>
    <row r="49" spans="1:29" ht="15.75" thickBot="1">
      <c r="A49" s="615" t="s">
        <v>2754</v>
      </c>
      <c r="B49" s="887"/>
      <c r="C49" s="2596" t="e">
        <f>R50</f>
        <v>#DIV/0!</v>
      </c>
      <c r="D49" s="2597"/>
      <c r="E49" s="2598" t="e">
        <f>R49</f>
        <v>#DIV/0!</v>
      </c>
      <c r="F49" s="2598"/>
      <c r="G49" s="2596" t="e">
        <f>T49</f>
        <v>#DIV/0!</v>
      </c>
      <c r="H49" s="2597"/>
      <c r="I49" s="2598" t="e">
        <f>V49</f>
        <v>#DIV/0!</v>
      </c>
      <c r="J49" s="2597"/>
      <c r="K49" s="1596"/>
      <c r="L49" s="2128"/>
      <c r="M49" s="2118"/>
      <c r="N49" s="2118"/>
      <c r="O49" s="2118"/>
      <c r="P49" s="3439" t="str">
        <f>A49</f>
        <v>比较价格（元/平方米）</v>
      </c>
      <c r="Q49" s="3441"/>
      <c r="R49" s="3523" t="e">
        <f>IF(F1="售价",ROUND(PRODUCT(R48,AA7:AA47),0),ROUND(PRODUCT(R48,AA7:AA47),1))</f>
        <v>#DIV/0!</v>
      </c>
      <c r="S49" s="3523"/>
      <c r="T49" s="3523" t="e">
        <f>IF(F1="售价",ROUND(PRODUCT(T48,AB7:AB47),0),ROUND(PRODUCT(T48,AB7:AB47),1))</f>
        <v>#DIV/0!</v>
      </c>
      <c r="U49" s="3523"/>
      <c r="V49" s="3523" t="e">
        <f>IF(F1="售价",ROUND(PRODUCT(V48,AC7:AC47),0),ROUND(PRODUCT(V48,AC7:AC47),1))</f>
        <v>#DIV/0!</v>
      </c>
      <c r="W49" s="3523"/>
      <c r="X49" s="1544"/>
      <c r="Y49" s="1544"/>
      <c r="Z49" s="1544"/>
      <c r="AA49" s="1544"/>
      <c r="AB49" s="1544"/>
      <c r="AC49" s="1544"/>
    </row>
    <row r="50" spans="1:29" ht="15.75" thickBot="1">
      <c r="A50" s="621" t="s">
        <v>2929</v>
      </c>
      <c r="B50" s="622"/>
      <c r="C50" s="2599" t="e">
        <f>R50</f>
        <v>#DIV/0!</v>
      </c>
      <c r="D50" s="2599"/>
      <c r="E50" s="2599"/>
      <c r="F50" s="2599"/>
      <c r="G50" s="2599"/>
      <c r="H50" s="2599"/>
      <c r="I50" s="2599"/>
      <c r="J50" s="2599"/>
      <c r="K50" s="1597"/>
      <c r="L50" s="2128"/>
      <c r="M50" s="2118"/>
      <c r="N50" s="2118"/>
      <c r="O50" s="2118"/>
      <c r="P50" s="3525" t="str">
        <f>A50</f>
        <v>估价对象XX用房的比较价格（楼面单价，元/平方米）</v>
      </c>
      <c r="Q50" s="3439"/>
      <c r="R50" s="3522" t="e">
        <f>IF(F1="售价",ROUND(AVERAGE(R49:V49),0),ROUND(AVERAGE(R49:V49),1))</f>
        <v>#DIV/0!</v>
      </c>
      <c r="S50" s="3522"/>
      <c r="T50" s="3522"/>
      <c r="U50" s="3522"/>
      <c r="V50" s="3522"/>
      <c r="W50" s="3522"/>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5" t="s">
        <v>529</v>
      </c>
      <c r="B59" s="646"/>
      <c r="C59" s="2756" t="str">
        <f>YEAR(C7)&amp;"-"&amp;MONTH(C7)</f>
        <v>2020-6</v>
      </c>
      <c r="D59" s="2758">
        <f>EDATE(C59,-1)</f>
        <v>43952</v>
      </c>
      <c r="E59" s="2758">
        <f t="shared" ref="E59:O59" si="16">EDATE(D59,-1)</f>
        <v>43922</v>
      </c>
      <c r="F59" s="2758">
        <f t="shared" si="16"/>
        <v>43891</v>
      </c>
      <c r="G59" s="2758">
        <f t="shared" si="16"/>
        <v>43862</v>
      </c>
      <c r="H59" s="2758">
        <f t="shared" si="16"/>
        <v>43831</v>
      </c>
      <c r="I59" s="2758">
        <f t="shared" si="16"/>
        <v>43800</v>
      </c>
      <c r="J59" s="2758">
        <f t="shared" si="16"/>
        <v>43770</v>
      </c>
      <c r="K59" s="2758">
        <f t="shared" si="16"/>
        <v>43739</v>
      </c>
      <c r="L59" s="2758">
        <f t="shared" si="16"/>
        <v>43709</v>
      </c>
      <c r="M59" s="2758">
        <f t="shared" si="16"/>
        <v>43678</v>
      </c>
      <c r="N59" s="2758">
        <f t="shared" si="16"/>
        <v>43647</v>
      </c>
      <c r="O59" s="2758">
        <f t="shared" si="16"/>
        <v>43617</v>
      </c>
      <c r="P59" s="2195"/>
      <c r="Q59" s="2145"/>
      <c r="R59" s="2145"/>
      <c r="S59" s="2145"/>
      <c r="T59" s="2145"/>
      <c r="U59" s="2145"/>
      <c r="V59" s="2145"/>
      <c r="W59" s="2145"/>
      <c r="X59" s="2145"/>
      <c r="Y59" s="2145"/>
      <c r="Z59" s="2145"/>
      <c r="AA59" s="2145"/>
      <c r="AB59" s="2145"/>
      <c r="AC59" s="2145"/>
    </row>
    <row r="60" spans="1:29" s="1214"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4"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4"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2552</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2553</v>
      </c>
      <c r="C83" s="2561" t="s">
        <v>2554</v>
      </c>
      <c r="D83" s="2561" t="s">
        <v>2555</v>
      </c>
      <c r="E83" s="2561" t="s">
        <v>2556</v>
      </c>
      <c r="F83" s="2561" t="s">
        <v>2557</v>
      </c>
      <c r="G83" s="2561" t="s">
        <v>2558</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2551</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65" priority="16" stopIfTrue="1" operator="containsText" text="超过">
      <formula>NOT(ISERROR(SEARCH("超过",F53)))</formula>
    </cfRule>
  </conditionalFormatting>
  <conditionalFormatting sqref="H55">
    <cfRule type="containsText" dxfId="64" priority="15" stopIfTrue="1" operator="containsText" text="超过">
      <formula>NOT(ISERROR(SEARCH("超过",H55)))</formula>
    </cfRule>
  </conditionalFormatting>
  <conditionalFormatting sqref="F55">
    <cfRule type="containsText" dxfId="63" priority="14" stopIfTrue="1" operator="containsText" text="超过">
      <formula>NOT(ISERROR(SEARCH("超过",F55)))</formula>
    </cfRule>
  </conditionalFormatting>
  <conditionalFormatting sqref="F54 H54">
    <cfRule type="containsText" dxfId="62" priority="13" stopIfTrue="1" operator="containsText" text="超过">
      <formula>NOT(ISERROR(SEARCH("超过",F54)))</formula>
    </cfRule>
  </conditionalFormatting>
  <conditionalFormatting sqref="E53">
    <cfRule type="expression" dxfId="61" priority="12" stopIfTrue="1">
      <formula>$F$53="超过30%"</formula>
    </cfRule>
  </conditionalFormatting>
  <conditionalFormatting sqref="E54">
    <cfRule type="expression" dxfId="60" priority="11" stopIfTrue="1">
      <formula>$F$54="超过20%"</formula>
    </cfRule>
  </conditionalFormatting>
  <conditionalFormatting sqref="E55">
    <cfRule type="expression" dxfId="59" priority="10" stopIfTrue="1">
      <formula>$F$55="超过30%"</formula>
    </cfRule>
  </conditionalFormatting>
  <conditionalFormatting sqref="G55">
    <cfRule type="expression" dxfId="58" priority="9" stopIfTrue="1">
      <formula>$H$55="超过30%"</formula>
    </cfRule>
  </conditionalFormatting>
  <conditionalFormatting sqref="G53">
    <cfRule type="expression" dxfId="57" priority="8" stopIfTrue="1">
      <formula>$H$53="超过30%"</formula>
    </cfRule>
  </conditionalFormatting>
  <conditionalFormatting sqref="G54">
    <cfRule type="expression" dxfId="56" priority="7" stopIfTrue="1">
      <formula>$H$54="超过20%"</formula>
    </cfRule>
  </conditionalFormatting>
  <conditionalFormatting sqref="J53">
    <cfRule type="containsText" dxfId="55" priority="6" stopIfTrue="1" operator="containsText" text="超过">
      <formula>NOT(ISERROR(SEARCH("超过",J53)))</formula>
    </cfRule>
  </conditionalFormatting>
  <conditionalFormatting sqref="J55">
    <cfRule type="containsText" dxfId="54" priority="5" stopIfTrue="1" operator="containsText" text="超过">
      <formula>NOT(ISERROR(SEARCH("超过",J55)))</formula>
    </cfRule>
  </conditionalFormatting>
  <conditionalFormatting sqref="J54">
    <cfRule type="containsText" dxfId="53" priority="4" stopIfTrue="1" operator="containsText" text="超过">
      <formula>NOT(ISERROR(SEARCH("超过",J54)))</formula>
    </cfRule>
  </conditionalFormatting>
  <conditionalFormatting sqref="I53">
    <cfRule type="expression" dxfId="52" priority="3" stopIfTrue="1">
      <formula>$J$53="超过30%"</formula>
    </cfRule>
  </conditionalFormatting>
  <conditionalFormatting sqref="I54">
    <cfRule type="expression" dxfId="51" priority="2" stopIfTrue="1">
      <formula>$J$53+$J$54="超过20%"</formula>
    </cfRule>
  </conditionalFormatting>
  <conditionalFormatting sqref="I55">
    <cfRule type="expression" dxfId="5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788</v>
      </c>
      <c r="C1" s="504" t="s">
        <v>720</v>
      </c>
      <c r="D1" s="848"/>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519</v>
      </c>
      <c r="B3" s="510"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447" t="s">
        <v>522</v>
      </c>
      <c r="D4" s="3448"/>
      <c r="E4" s="3481" t="s">
        <v>523</v>
      </c>
      <c r="F4" s="3482"/>
      <c r="G4" s="3447" t="s">
        <v>524</v>
      </c>
      <c r="H4" s="3448"/>
      <c r="I4" s="3447" t="s">
        <v>525</v>
      </c>
      <c r="J4" s="3448"/>
      <c r="K4" s="514" t="s">
        <v>526</v>
      </c>
      <c r="L4" s="2117"/>
      <c r="M4" s="2118"/>
      <c r="N4" s="2118"/>
      <c r="O4" s="2118"/>
      <c r="P4" s="3449" t="s">
        <v>527</v>
      </c>
      <c r="Q4" s="3450"/>
      <c r="R4" s="3455" t="s">
        <v>523</v>
      </c>
      <c r="S4" s="3456"/>
      <c r="T4" s="3455" t="s">
        <v>524</v>
      </c>
      <c r="U4" s="3456"/>
      <c r="V4" s="3442" t="s">
        <v>525</v>
      </c>
      <c r="W4" s="3442"/>
      <c r="X4" s="1552"/>
      <c r="Y4" s="3455" t="s">
        <v>527</v>
      </c>
      <c r="Z4" s="3456"/>
      <c r="AA4" s="3444" t="s">
        <v>523</v>
      </c>
      <c r="AB4" s="3445" t="s">
        <v>524</v>
      </c>
      <c r="AC4" s="3444" t="s">
        <v>525</v>
      </c>
    </row>
    <row r="5" spans="1:29" ht="15">
      <c r="A5" s="515"/>
      <c r="B5" s="516"/>
      <c r="C5" s="3463" t="s">
        <v>2923</v>
      </c>
      <c r="D5" s="3464"/>
      <c r="E5" s="3483" t="s">
        <v>2924</v>
      </c>
      <c r="F5" s="3484"/>
      <c r="G5" s="3463" t="s">
        <v>2925</v>
      </c>
      <c r="H5" s="3464"/>
      <c r="I5" s="3463" t="s">
        <v>2926</v>
      </c>
      <c r="J5" s="3464"/>
      <c r="K5" s="514"/>
      <c r="L5" s="2117"/>
      <c r="M5" s="2118"/>
      <c r="N5" s="2118"/>
      <c r="O5" s="2118"/>
      <c r="P5" s="3451"/>
      <c r="Q5" s="3452"/>
      <c r="R5" s="3457"/>
      <c r="S5" s="3458"/>
      <c r="T5" s="3457"/>
      <c r="U5" s="3458"/>
      <c r="V5" s="3442"/>
      <c r="W5" s="3442"/>
      <c r="X5" s="1552"/>
      <c r="Y5" s="3457"/>
      <c r="Z5" s="3458"/>
      <c r="AA5" s="3445"/>
      <c r="AB5" s="3445"/>
      <c r="AC5" s="3445"/>
    </row>
    <row r="6" spans="1:29" ht="15.75" thickBot="1">
      <c r="A6" s="517"/>
      <c r="B6" s="518"/>
      <c r="C6" s="3461" t="s">
        <v>2927</v>
      </c>
      <c r="D6" s="3462"/>
      <c r="E6" s="3479" t="s">
        <v>2927</v>
      </c>
      <c r="F6" s="3480"/>
      <c r="G6" s="3461" t="s">
        <v>2927</v>
      </c>
      <c r="H6" s="3462"/>
      <c r="I6" s="3461" t="s">
        <v>2927</v>
      </c>
      <c r="J6" s="3462"/>
      <c r="K6" s="514" t="s">
        <v>528</v>
      </c>
      <c r="L6" s="2117"/>
      <c r="M6" s="2118"/>
      <c r="N6" s="2118"/>
      <c r="O6" s="2118"/>
      <c r="P6" s="3453"/>
      <c r="Q6" s="3454"/>
      <c r="R6" s="3457"/>
      <c r="S6" s="3458"/>
      <c r="T6" s="3459"/>
      <c r="U6" s="3460"/>
      <c r="V6" s="3442"/>
      <c r="W6" s="3442"/>
      <c r="X6" s="1552"/>
      <c r="Y6" s="3459"/>
      <c r="Z6" s="3460"/>
      <c r="AA6" s="3446"/>
      <c r="AB6" s="3446"/>
      <c r="AC6" s="3446"/>
    </row>
    <row r="7" spans="1:29" s="1214" customFormat="1" ht="15.75" thickBot="1">
      <c r="A7" s="2866"/>
      <c r="B7" s="2873" t="s">
        <v>529</v>
      </c>
      <c r="C7" s="519">
        <f>'数据-取费表'!B2</f>
        <v>44001</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72" t="s">
        <v>530</v>
      </c>
      <c r="Q7" s="3474"/>
      <c r="R7" s="1553" t="s">
        <v>8</v>
      </c>
      <c r="S7" s="1554">
        <f t="shared" ref="S7:S15" si="0">F7</f>
        <v>0</v>
      </c>
      <c r="T7" s="1553" t="s">
        <v>8</v>
      </c>
      <c r="U7" s="1554">
        <f t="shared" ref="U7:U15" si="1">H7</f>
        <v>0</v>
      </c>
      <c r="V7" s="1553" t="s">
        <v>8</v>
      </c>
      <c r="W7" s="1554">
        <f t="shared" ref="W7:W15" si="2">J7</f>
        <v>0</v>
      </c>
      <c r="X7" s="1555"/>
      <c r="Y7" s="3472" t="s">
        <v>530</v>
      </c>
      <c r="Z7" s="3473"/>
      <c r="AA7" s="1556" t="e">
        <f>D7/F7</f>
        <v>#DIV/0!</v>
      </c>
      <c r="AB7" s="1556" t="e">
        <f>D7/H7</f>
        <v>#DIV/0!</v>
      </c>
      <c r="AC7" s="1556" t="e">
        <f>D7/J7</f>
        <v>#DIV/0!</v>
      </c>
    </row>
    <row r="8" spans="1:29" s="1214"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72" t="s">
        <v>533</v>
      </c>
      <c r="Q8" s="3473"/>
      <c r="R8" s="1553" t="s">
        <v>8</v>
      </c>
      <c r="S8" s="1554">
        <f t="shared" si="0"/>
        <v>0</v>
      </c>
      <c r="T8" s="1553" t="s">
        <v>8</v>
      </c>
      <c r="U8" s="1554">
        <f t="shared" si="1"/>
        <v>0</v>
      </c>
      <c r="V8" s="1553" t="s">
        <v>8</v>
      </c>
      <c r="W8" s="1554">
        <f t="shared" si="2"/>
        <v>0</v>
      </c>
      <c r="X8" s="1555"/>
      <c r="Y8" s="3472" t="s">
        <v>533</v>
      </c>
      <c r="Z8" s="3473"/>
      <c r="AA8" s="1556" t="e">
        <f t="shared" ref="AA8:AA40" si="3">D8/F8</f>
        <v>#DIV/0!</v>
      </c>
      <c r="AB8" s="1556" t="e">
        <f t="shared" ref="AB8:AB40" si="4">D8/H8</f>
        <v>#DIV/0!</v>
      </c>
      <c r="AC8" s="1556" t="e">
        <f t="shared" ref="AC8:AC40" si="5">D8/J8</f>
        <v>#DIV/0!</v>
      </c>
    </row>
    <row r="9" spans="1:29" s="1214" customFormat="1" ht="15">
      <c r="A9" s="2868"/>
      <c r="B9" s="2875" t="s">
        <v>2750</v>
      </c>
      <c r="C9" s="856"/>
      <c r="D9" s="254">
        <v>100</v>
      </c>
      <c r="E9" s="859"/>
      <c r="F9" s="254">
        <f>SUMIF(57:57,E9,58:58)-SUMIF(57:57,C9,58:58)+100</f>
        <v>100</v>
      </c>
      <c r="G9" s="857"/>
      <c r="H9" s="254">
        <f>SUMIF(57:57,G9,58:58)-SUMIF(57:57,C9,58:58)+100</f>
        <v>100</v>
      </c>
      <c r="I9" s="857"/>
      <c r="J9" s="254">
        <f>SUMIF(57:57,I9,58:58)-SUMIF(57:57,C9,58:58)+100</f>
        <v>100</v>
      </c>
      <c r="K9" s="524"/>
      <c r="L9" s="2119"/>
      <c r="M9" s="2120"/>
      <c r="N9" s="2120"/>
      <c r="O9" s="2121"/>
      <c r="P9" s="3441" t="s">
        <v>535</v>
      </c>
      <c r="Q9" s="1145" t="str">
        <f t="shared" ref="Q9:Q15" si="6">B9</f>
        <v>用途</v>
      </c>
      <c r="R9" s="1553" t="s">
        <v>8</v>
      </c>
      <c r="S9" s="1554">
        <f t="shared" si="0"/>
        <v>100</v>
      </c>
      <c r="T9" s="1553" t="s">
        <v>8</v>
      </c>
      <c r="U9" s="1554">
        <f t="shared" si="1"/>
        <v>100</v>
      </c>
      <c r="V9" s="1553" t="s">
        <v>8</v>
      </c>
      <c r="W9" s="1554">
        <f t="shared" si="2"/>
        <v>100</v>
      </c>
      <c r="X9" s="1555"/>
      <c r="Y9" s="3361"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0"/>
      <c r="F10" s="255">
        <f>SUMIF(59:59,E10,60:60)-SUMIF(59:59,C10,60:60)+100</f>
        <v>100</v>
      </c>
      <c r="G10" s="861"/>
      <c r="H10" s="255">
        <f>SUMIF(59:59,G10,60:60)-SUMIF(59:59,C10,60:60)+100</f>
        <v>100</v>
      </c>
      <c r="I10" s="860"/>
      <c r="J10" s="255">
        <f>SUMIF(59:59,I10,60:60)-SUMIF(59:59,C10,60:60)+100</f>
        <v>100</v>
      </c>
      <c r="K10" s="584"/>
      <c r="L10" s="2122"/>
      <c r="M10" s="2162"/>
      <c r="N10" s="2162"/>
      <c r="O10" s="2123"/>
      <c r="P10" s="3441"/>
      <c r="Q10" s="1145" t="str">
        <f t="shared" si="6"/>
        <v>土地使用年限（年）</v>
      </c>
      <c r="R10" s="1553" t="s">
        <v>8</v>
      </c>
      <c r="S10" s="1554">
        <f t="shared" si="0"/>
        <v>100</v>
      </c>
      <c r="T10" s="1553" t="s">
        <v>8</v>
      </c>
      <c r="U10" s="1554">
        <f t="shared" si="1"/>
        <v>100</v>
      </c>
      <c r="V10" s="1553" t="s">
        <v>8</v>
      </c>
      <c r="W10" s="1554">
        <f t="shared" si="2"/>
        <v>100</v>
      </c>
      <c r="X10" s="1555"/>
      <c r="Y10" s="3361"/>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41"/>
      <c r="Q11" s="1145" t="str">
        <f t="shared" si="6"/>
        <v>容积率</v>
      </c>
      <c r="R11" s="1553" t="s">
        <v>8</v>
      </c>
      <c r="S11" s="1554" t="e">
        <f t="shared" si="0"/>
        <v>#N/A</v>
      </c>
      <c r="T11" s="1553" t="s">
        <v>8</v>
      </c>
      <c r="U11" s="1554" t="e">
        <f t="shared" si="1"/>
        <v>#N/A</v>
      </c>
      <c r="V11" s="1553" t="s">
        <v>8</v>
      </c>
      <c r="W11" s="1554" t="e">
        <f t="shared" si="2"/>
        <v>#N/A</v>
      </c>
      <c r="X11" s="1555"/>
      <c r="Y11" s="3361"/>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441"/>
      <c r="Q12" s="1145">
        <f t="shared" si="6"/>
        <v>111</v>
      </c>
      <c r="R12" s="1553" t="s">
        <v>8</v>
      </c>
      <c r="S12" s="1554">
        <f t="shared" si="0"/>
        <v>100</v>
      </c>
      <c r="T12" s="1553" t="s">
        <v>8</v>
      </c>
      <c r="U12" s="1554">
        <f t="shared" si="1"/>
        <v>100</v>
      </c>
      <c r="V12" s="1553" t="s">
        <v>8</v>
      </c>
      <c r="W12" s="1554">
        <f t="shared" si="2"/>
        <v>100</v>
      </c>
      <c r="X12" s="1555"/>
      <c r="Y12" s="3361"/>
      <c r="Z12" s="1144">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441"/>
      <c r="Q13" s="1145">
        <f t="shared" si="6"/>
        <v>111</v>
      </c>
      <c r="R13" s="1553" t="s">
        <v>8</v>
      </c>
      <c r="S13" s="1554">
        <f t="shared" si="0"/>
        <v>100</v>
      </c>
      <c r="T13" s="1553" t="s">
        <v>8</v>
      </c>
      <c r="U13" s="1554">
        <f t="shared" si="1"/>
        <v>100</v>
      </c>
      <c r="V13" s="1553" t="s">
        <v>8</v>
      </c>
      <c r="W13" s="1554">
        <f t="shared" si="2"/>
        <v>100</v>
      </c>
      <c r="X13" s="1555"/>
      <c r="Y13" s="3361"/>
      <c r="Z13" s="1144">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441"/>
      <c r="Q14" s="1145">
        <f t="shared" si="6"/>
        <v>111</v>
      </c>
      <c r="R14" s="1553" t="s">
        <v>8</v>
      </c>
      <c r="S14" s="1554">
        <f t="shared" si="0"/>
        <v>100</v>
      </c>
      <c r="T14" s="1553" t="s">
        <v>8</v>
      </c>
      <c r="U14" s="1554">
        <f t="shared" si="1"/>
        <v>100</v>
      </c>
      <c r="V14" s="1553" t="s">
        <v>8</v>
      </c>
      <c r="W14" s="1554">
        <f t="shared" si="2"/>
        <v>100</v>
      </c>
      <c r="X14" s="1555"/>
      <c r="Y14" s="3361"/>
      <c r="Z14" s="1144">
        <f t="shared" si="7"/>
        <v>111</v>
      </c>
      <c r="AA14" s="1556">
        <f t="shared" si="3"/>
        <v>1</v>
      </c>
      <c r="AB14" s="1556">
        <f t="shared" si="4"/>
        <v>1</v>
      </c>
      <c r="AC14" s="1556">
        <f t="shared" si="5"/>
        <v>1</v>
      </c>
    </row>
    <row r="15" spans="1:29" ht="57">
      <c r="A15" s="2864" t="s">
        <v>2748</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475" t="s">
        <v>540</v>
      </c>
      <c r="Q15" s="1557" t="str">
        <f t="shared" si="6"/>
        <v>产业集聚程度</v>
      </c>
      <c r="R15" s="1558" t="s">
        <v>8</v>
      </c>
      <c r="S15" s="1559">
        <f t="shared" si="0"/>
        <v>100</v>
      </c>
      <c r="T15" s="1558" t="s">
        <v>8</v>
      </c>
      <c r="U15" s="1559">
        <f t="shared" si="1"/>
        <v>100</v>
      </c>
      <c r="V15" s="1558" t="s">
        <v>8</v>
      </c>
      <c r="W15" s="1559">
        <f t="shared" si="2"/>
        <v>100</v>
      </c>
      <c r="X15" s="1552"/>
      <c r="Y15" s="3475" t="s">
        <v>540</v>
      </c>
      <c r="Z15" s="1560" t="str">
        <f t="shared" si="7"/>
        <v>产业集聚程度</v>
      </c>
      <c r="AA15" s="1561">
        <f t="shared" si="3"/>
        <v>1</v>
      </c>
      <c r="AB15" s="1561">
        <f t="shared" si="4"/>
        <v>1</v>
      </c>
      <c r="AC15" s="1561">
        <f t="shared" si="5"/>
        <v>1</v>
      </c>
    </row>
    <row r="16" spans="1:29" ht="15">
      <c r="A16" s="532"/>
      <c r="B16" s="868"/>
      <c r="C16" s="576"/>
      <c r="D16" s="555"/>
      <c r="E16" s="576"/>
      <c r="F16" s="557"/>
      <c r="G16" s="576"/>
      <c r="H16" s="559"/>
      <c r="I16" s="576"/>
      <c r="J16" s="555"/>
      <c r="K16" s="898"/>
      <c r="L16" s="2126"/>
      <c r="M16" s="2118"/>
      <c r="N16" s="2118"/>
      <c r="O16" s="2125"/>
      <c r="P16" s="3476"/>
      <c r="Q16" s="1557"/>
      <c r="R16" s="1558"/>
      <c r="S16" s="1559"/>
      <c r="T16" s="1558"/>
      <c r="U16" s="1559"/>
      <c r="V16" s="1558"/>
      <c r="W16" s="1559"/>
      <c r="X16" s="1552"/>
      <c r="Y16" s="3476"/>
      <c r="Z16" s="1560"/>
      <c r="AA16" s="1561">
        <v>1</v>
      </c>
      <c r="AB16" s="1561">
        <v>1</v>
      </c>
      <c r="AC16" s="1561">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476"/>
      <c r="Q17" s="1557" t="str">
        <f>B17</f>
        <v>交通便捷度</v>
      </c>
      <c r="R17" s="1558" t="s">
        <v>8</v>
      </c>
      <c r="S17" s="1559">
        <f>F17</f>
        <v>100</v>
      </c>
      <c r="T17" s="1558" t="s">
        <v>8</v>
      </c>
      <c r="U17" s="1559">
        <f>H17</f>
        <v>100</v>
      </c>
      <c r="V17" s="1558" t="s">
        <v>8</v>
      </c>
      <c r="W17" s="1559">
        <f>J17</f>
        <v>100</v>
      </c>
      <c r="X17" s="1552"/>
      <c r="Y17" s="3476"/>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98"/>
      <c r="L18" s="2126"/>
      <c r="M18" s="2118"/>
      <c r="N18" s="2118"/>
      <c r="O18" s="2125"/>
      <c r="P18" s="3476"/>
      <c r="Q18" s="1557"/>
      <c r="R18" s="1558"/>
      <c r="S18" s="1559"/>
      <c r="T18" s="1558"/>
      <c r="U18" s="1559"/>
      <c r="V18" s="1558"/>
      <c r="W18" s="1559"/>
      <c r="X18" s="1552"/>
      <c r="Y18" s="3476"/>
      <c r="Z18" s="1560"/>
      <c r="AA18" s="1561">
        <v>1</v>
      </c>
      <c r="AB18" s="1561">
        <v>1</v>
      </c>
      <c r="AC18" s="1561">
        <v>1</v>
      </c>
    </row>
    <row r="19" spans="1:29" ht="42.75">
      <c r="A19" s="532"/>
      <c r="B19" s="2566" t="s">
        <v>2541</v>
      </c>
      <c r="C19" s="871"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476"/>
      <c r="Q19" s="1557" t="str">
        <f>B19</f>
        <v>公共配套设施</v>
      </c>
      <c r="R19" s="1558" t="s">
        <v>8</v>
      </c>
      <c r="S19" s="1559">
        <f>F19</f>
        <v>100</v>
      </c>
      <c r="T19" s="1558" t="s">
        <v>8</v>
      </c>
      <c r="U19" s="1559">
        <f>H19</f>
        <v>100</v>
      </c>
      <c r="V19" s="1558" t="s">
        <v>8</v>
      </c>
      <c r="W19" s="1559">
        <f>J19</f>
        <v>100</v>
      </c>
      <c r="X19" s="1552"/>
      <c r="Y19" s="3476"/>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476"/>
      <c r="Q20" s="1557"/>
      <c r="R20" s="1558"/>
      <c r="S20" s="1559"/>
      <c r="T20" s="1558"/>
      <c r="U20" s="1559"/>
      <c r="V20" s="1558"/>
      <c r="W20" s="1559"/>
      <c r="X20" s="1552"/>
      <c r="Y20" s="3476"/>
      <c r="Z20" s="1560"/>
      <c r="AA20" s="1561">
        <v>1</v>
      </c>
      <c r="AB20" s="1561">
        <v>1</v>
      </c>
      <c r="AC20" s="1561">
        <v>1</v>
      </c>
    </row>
    <row r="21" spans="1:29" ht="28.5">
      <c r="A21" s="532"/>
      <c r="B21" s="2554" t="s">
        <v>2553</v>
      </c>
      <c r="C21" s="871"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476"/>
      <c r="Q21" s="2542" t="str">
        <f>B21</f>
        <v>基础设施水平</v>
      </c>
      <c r="R21" s="1558" t="s">
        <v>8</v>
      </c>
      <c r="S21" s="1559">
        <f>F21</f>
        <v>100</v>
      </c>
      <c r="T21" s="1558" t="s">
        <v>8</v>
      </c>
      <c r="U21" s="1559">
        <f>H21</f>
        <v>100</v>
      </c>
      <c r="V21" s="1558" t="s">
        <v>8</v>
      </c>
      <c r="W21" s="1559">
        <f>J21</f>
        <v>100</v>
      </c>
      <c r="X21" s="2544"/>
      <c r="Y21" s="3476"/>
      <c r="Z21" s="2543" t="str">
        <f>Q21</f>
        <v>基础设施水平</v>
      </c>
      <c r="AA21" s="1561">
        <f t="shared" ref="AA21" si="8">D21/F21</f>
        <v>1</v>
      </c>
      <c r="AB21" s="1561">
        <f t="shared" ref="AB21" si="9">D21/H21</f>
        <v>1</v>
      </c>
      <c r="AC21" s="1561">
        <f t="shared" ref="AC21" si="10">D21/J21</f>
        <v>1</v>
      </c>
    </row>
    <row r="22" spans="1:29" ht="15">
      <c r="A22" s="532"/>
      <c r="B22" s="578"/>
      <c r="C22" s="872"/>
      <c r="D22" s="555"/>
      <c r="E22" s="576"/>
      <c r="F22" s="557"/>
      <c r="G22" s="576"/>
      <c r="H22" s="555"/>
      <c r="I22" s="576"/>
      <c r="J22" s="555"/>
      <c r="K22" s="2565"/>
      <c r="L22" s="2126"/>
      <c r="M22" s="2118"/>
      <c r="N22" s="2118"/>
      <c r="O22" s="2125"/>
      <c r="P22" s="3476"/>
      <c r="Q22" s="2542"/>
      <c r="R22" s="1558"/>
      <c r="S22" s="1559"/>
      <c r="T22" s="1558"/>
      <c r="U22" s="1559"/>
      <c r="V22" s="1558"/>
      <c r="W22" s="1559"/>
      <c r="X22" s="2544"/>
      <c r="Y22" s="3476"/>
      <c r="Z22" s="2543"/>
      <c r="AA22" s="1561">
        <v>1</v>
      </c>
      <c r="AB22" s="1561">
        <v>1</v>
      </c>
      <c r="AC22" s="1561">
        <v>1</v>
      </c>
    </row>
    <row r="23" spans="1:29" ht="71.25">
      <c r="A23" s="532"/>
      <c r="B23" s="870" t="s">
        <v>778</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476"/>
      <c r="Q23" s="1557" t="str">
        <f>B23</f>
        <v>环境质量</v>
      </c>
      <c r="R23" s="1558" t="s">
        <v>8</v>
      </c>
      <c r="S23" s="1559">
        <f>F23</f>
        <v>100</v>
      </c>
      <c r="T23" s="1558" t="s">
        <v>8</v>
      </c>
      <c r="U23" s="1559">
        <f>H23</f>
        <v>100</v>
      </c>
      <c r="V23" s="1558" t="s">
        <v>8</v>
      </c>
      <c r="W23" s="1559">
        <f>J23</f>
        <v>100</v>
      </c>
      <c r="X23" s="1552"/>
      <c r="Y23" s="3476"/>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476"/>
      <c r="Q24" s="1557"/>
      <c r="R24" s="1558"/>
      <c r="S24" s="1559"/>
      <c r="T24" s="1558"/>
      <c r="U24" s="1559"/>
      <c r="V24" s="1558"/>
      <c r="W24" s="1559"/>
      <c r="X24" s="1552"/>
      <c r="Y24" s="3476"/>
      <c r="Z24" s="1560"/>
      <c r="AA24" s="1561">
        <v>1</v>
      </c>
      <c r="AB24" s="1561">
        <v>1</v>
      </c>
      <c r="AC24" s="1561">
        <v>1</v>
      </c>
    </row>
    <row r="25" spans="1:29" ht="15">
      <c r="A25" s="515"/>
      <c r="B25" s="876">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76"/>
      <c r="Q25" s="1557">
        <f>B25</f>
        <v>111</v>
      </c>
      <c r="R25" s="1558" t="s">
        <v>8</v>
      </c>
      <c r="S25" s="1559">
        <f>F25</f>
        <v>100</v>
      </c>
      <c r="T25" s="1558" t="s">
        <v>8</v>
      </c>
      <c r="U25" s="1559">
        <f>H25</f>
        <v>100</v>
      </c>
      <c r="V25" s="1558" t="s">
        <v>8</v>
      </c>
      <c r="W25" s="1559">
        <f>J25</f>
        <v>100</v>
      </c>
      <c r="X25" s="1552"/>
      <c r="Y25" s="3476"/>
      <c r="Z25" s="1560">
        <f>Q25</f>
        <v>111</v>
      </c>
      <c r="AA25" s="1561">
        <f t="shared" si="3"/>
        <v>1</v>
      </c>
      <c r="AB25" s="1561">
        <f t="shared" si="4"/>
        <v>1</v>
      </c>
      <c r="AC25" s="1561">
        <f t="shared" si="5"/>
        <v>1</v>
      </c>
    </row>
    <row r="26" spans="1:29" ht="15">
      <c r="A26" s="532"/>
      <c r="B26" s="876">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76"/>
      <c r="Q26" s="1557">
        <f t="shared" ref="Q26:Q40" si="11">B26</f>
        <v>111</v>
      </c>
      <c r="R26" s="1558" t="s">
        <v>8</v>
      </c>
      <c r="S26" s="1559">
        <f>F26</f>
        <v>100</v>
      </c>
      <c r="T26" s="1558" t="s">
        <v>8</v>
      </c>
      <c r="U26" s="1559">
        <f>H26</f>
        <v>100</v>
      </c>
      <c r="V26" s="1558" t="s">
        <v>8</v>
      </c>
      <c r="W26" s="1559">
        <f>J26</f>
        <v>100</v>
      </c>
      <c r="X26" s="1552"/>
      <c r="Y26" s="3476"/>
      <c r="Z26" s="1560">
        <f>Q26</f>
        <v>111</v>
      </c>
      <c r="AA26" s="1561">
        <f t="shared" si="3"/>
        <v>1</v>
      </c>
      <c r="AB26" s="1561">
        <f t="shared" si="4"/>
        <v>1</v>
      </c>
      <c r="AC26" s="1561">
        <f t="shared" si="5"/>
        <v>1</v>
      </c>
    </row>
    <row r="27" spans="1:29" s="1214"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1"/>
      <c r="L27" s="2119"/>
      <c r="M27" s="2120"/>
      <c r="N27" s="2120"/>
      <c r="O27" s="2121"/>
      <c r="P27" s="3476"/>
      <c r="Q27" s="1145">
        <f t="shared" si="11"/>
        <v>111</v>
      </c>
      <c r="R27" s="1553" t="s">
        <v>8</v>
      </c>
      <c r="S27" s="1554">
        <f>F27</f>
        <v>100</v>
      </c>
      <c r="T27" s="1553" t="s">
        <v>8</v>
      </c>
      <c r="U27" s="1554">
        <f>H27</f>
        <v>100</v>
      </c>
      <c r="V27" s="1553" t="s">
        <v>8</v>
      </c>
      <c r="W27" s="1554">
        <f>J27</f>
        <v>100</v>
      </c>
      <c r="X27" s="1555"/>
      <c r="Y27" s="3476"/>
      <c r="Z27" s="1144">
        <f>Q27</f>
        <v>111</v>
      </c>
      <c r="AA27" s="1561">
        <f>D27/F27</f>
        <v>1</v>
      </c>
      <c r="AB27" s="1561">
        <f>D27/H27</f>
        <v>1</v>
      </c>
      <c r="AC27" s="1561">
        <f>D27/J27</f>
        <v>1</v>
      </c>
    </row>
    <row r="28" spans="1:29" ht="15.75" thickBot="1">
      <c r="A28" s="543"/>
      <c r="B28" s="876">
        <v>111</v>
      </c>
      <c r="C28" s="545"/>
      <c r="D28" s="546">
        <v>100</v>
      </c>
      <c r="E28" s="539"/>
      <c r="F28" s="865">
        <f>SUMIF(86:86,E28,87:87)-SUMIF(86:86,C28,87:87)+100</f>
        <v>100</v>
      </c>
      <c r="G28" s="879"/>
      <c r="H28" s="546">
        <f>SUMIF(86:86,G28,87:87)-SUMIF(86:86,C28,87:87)+100</f>
        <v>100</v>
      </c>
      <c r="I28" s="879"/>
      <c r="J28" s="546">
        <f>SUMIF(86:86,I28,87:87)-SUMIF(86:86,C28,87:87)+100</f>
        <v>100</v>
      </c>
      <c r="K28" s="581"/>
      <c r="L28" s="2126"/>
      <c r="M28" s="2118"/>
      <c r="N28" s="2118"/>
      <c r="O28" s="2125"/>
      <c r="P28" s="3476"/>
      <c r="Q28" s="1557">
        <f t="shared" si="11"/>
        <v>111</v>
      </c>
      <c r="R28" s="1558" t="s">
        <v>8</v>
      </c>
      <c r="S28" s="1559">
        <f t="shared" ref="S28:S40" si="12">F28</f>
        <v>100</v>
      </c>
      <c r="T28" s="1558" t="s">
        <v>8</v>
      </c>
      <c r="U28" s="1559">
        <f t="shared" ref="U28:U40" si="13">H28</f>
        <v>100</v>
      </c>
      <c r="V28" s="1558" t="s">
        <v>8</v>
      </c>
      <c r="W28" s="1559">
        <f t="shared" ref="W28:W40" si="14">J28</f>
        <v>100</v>
      </c>
      <c r="X28" s="1552"/>
      <c r="Y28" s="3476"/>
      <c r="Z28" s="1560">
        <f t="shared" ref="Z28:Z40" si="15">Q28</f>
        <v>111</v>
      </c>
      <c r="AA28" s="1561">
        <f t="shared" si="3"/>
        <v>1</v>
      </c>
      <c r="AB28" s="1561">
        <f t="shared" si="4"/>
        <v>1</v>
      </c>
      <c r="AC28" s="1561">
        <f t="shared" si="5"/>
        <v>1</v>
      </c>
    </row>
    <row r="29" spans="1:29" ht="15">
      <c r="A29" s="2861" t="s">
        <v>2749</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477" t="s">
        <v>550</v>
      </c>
      <c r="Q29" s="1557" t="str">
        <f t="shared" si="11"/>
        <v>建筑类型</v>
      </c>
      <c r="R29" s="1558" t="s">
        <v>8</v>
      </c>
      <c r="S29" s="1559">
        <f t="shared" si="12"/>
        <v>100</v>
      </c>
      <c r="T29" s="1558" t="s">
        <v>8</v>
      </c>
      <c r="U29" s="1559">
        <f t="shared" si="13"/>
        <v>100</v>
      </c>
      <c r="V29" s="1558" t="s">
        <v>8</v>
      </c>
      <c r="W29" s="1559">
        <f t="shared" si="14"/>
        <v>100</v>
      </c>
      <c r="X29" s="1552"/>
      <c r="Y29" s="3478" t="s">
        <v>550</v>
      </c>
      <c r="Z29" s="1560" t="str">
        <f t="shared" si="15"/>
        <v>建筑类型</v>
      </c>
      <c r="AA29" s="1561">
        <f t="shared" si="3"/>
        <v>1</v>
      </c>
      <c r="AB29" s="1561">
        <f t="shared" si="4"/>
        <v>1</v>
      </c>
      <c r="AC29" s="1561">
        <f t="shared" si="5"/>
        <v>1</v>
      </c>
    </row>
    <row r="30" spans="1:29" s="1333" customFormat="1" ht="15">
      <c r="A30" s="603"/>
      <c r="B30" s="527" t="s">
        <v>726</v>
      </c>
      <c r="C30" s="879"/>
      <c r="D30" s="255">
        <v>100</v>
      </c>
      <c r="E30" s="534"/>
      <c r="F30" s="862" t="e">
        <f>LOOKUP(E30,91:91,92:92)-LOOKUP(C30,91:91,92:92)+100</f>
        <v>#N/A</v>
      </c>
      <c r="G30" s="533"/>
      <c r="H30" s="255" t="e">
        <f>LOOKUP(G30,91:91,92:92)-LOOKUP(C30,91:91,92:92)+100</f>
        <v>#N/A</v>
      </c>
      <c r="I30" s="533"/>
      <c r="J30" s="255" t="e">
        <f>LOOKUP(I30,91:91,92:92)-LOOKUP(C30,91:91,92:92)+100</f>
        <v>#N/A</v>
      </c>
      <c r="K30" s="581"/>
      <c r="L30" s="2124"/>
      <c r="M30" s="2155"/>
      <c r="N30" s="2155"/>
      <c r="O30" s="2127"/>
      <c r="P30" s="3478"/>
      <c r="Q30" s="1589" t="str">
        <f t="shared" si="11"/>
        <v>项目建筑规模</v>
      </c>
      <c r="R30" s="1562" t="s">
        <v>8</v>
      </c>
      <c r="S30" s="1563" t="e">
        <f t="shared" si="12"/>
        <v>#N/A</v>
      </c>
      <c r="T30" s="1562" t="s">
        <v>8</v>
      </c>
      <c r="U30" s="1563" t="e">
        <f t="shared" si="13"/>
        <v>#N/A</v>
      </c>
      <c r="V30" s="1562" t="s">
        <v>8</v>
      </c>
      <c r="W30" s="1563" t="e">
        <f t="shared" si="14"/>
        <v>#N/A</v>
      </c>
      <c r="X30" s="1564"/>
      <c r="Y30" s="3478"/>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78"/>
      <c r="Q31" s="1557" t="str">
        <f t="shared" si="11"/>
        <v>建筑结构</v>
      </c>
      <c r="R31" s="1558" t="s">
        <v>8</v>
      </c>
      <c r="S31" s="1559">
        <f t="shared" si="12"/>
        <v>100</v>
      </c>
      <c r="T31" s="1558" t="s">
        <v>8</v>
      </c>
      <c r="U31" s="1559">
        <f t="shared" si="13"/>
        <v>100</v>
      </c>
      <c r="V31" s="1558" t="s">
        <v>8</v>
      </c>
      <c r="W31" s="1559">
        <f t="shared" si="14"/>
        <v>100</v>
      </c>
      <c r="X31" s="1552"/>
      <c r="Y31" s="3478"/>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78"/>
      <c r="Q32" s="1557" t="str">
        <f t="shared" si="11"/>
        <v>公共部分装修</v>
      </c>
      <c r="R32" s="1558" t="s">
        <v>8</v>
      </c>
      <c r="S32" s="1559">
        <f t="shared" si="12"/>
        <v>100</v>
      </c>
      <c r="T32" s="1558" t="s">
        <v>8</v>
      </c>
      <c r="U32" s="1559">
        <f t="shared" si="13"/>
        <v>100</v>
      </c>
      <c r="V32" s="1558" t="s">
        <v>8</v>
      </c>
      <c r="W32" s="1559">
        <f t="shared" si="14"/>
        <v>100</v>
      </c>
      <c r="X32" s="1552"/>
      <c r="Y32" s="3478"/>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478"/>
      <c r="Q33" s="1557" t="str">
        <f t="shared" si="11"/>
        <v>成新度</v>
      </c>
      <c r="R33" s="1558" t="s">
        <v>8</v>
      </c>
      <c r="S33" s="1559" t="e">
        <f t="shared" si="12"/>
        <v>#N/A</v>
      </c>
      <c r="T33" s="1558" t="s">
        <v>8</v>
      </c>
      <c r="U33" s="1559" t="e">
        <f t="shared" si="13"/>
        <v>#N/A</v>
      </c>
      <c r="V33" s="1558" t="s">
        <v>8</v>
      </c>
      <c r="W33" s="1559" t="e">
        <f t="shared" si="14"/>
        <v>#N/A</v>
      </c>
      <c r="X33" s="1552"/>
      <c r="Y33" s="3478"/>
      <c r="Z33" s="1560" t="str">
        <f t="shared" si="15"/>
        <v>成新度</v>
      </c>
      <c r="AA33" s="1561" t="e">
        <f t="shared" si="3"/>
        <v>#N/A</v>
      </c>
      <c r="AB33" s="1561" t="e">
        <f t="shared" si="4"/>
        <v>#N/A</v>
      </c>
      <c r="AC33" s="1561" t="e">
        <f t="shared" si="5"/>
        <v>#N/A</v>
      </c>
    </row>
    <row r="34" spans="1:29" s="1214"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78"/>
      <c r="Q34" s="1145" t="str">
        <f t="shared" si="11"/>
        <v>物业管理</v>
      </c>
      <c r="R34" s="1553" t="s">
        <v>8</v>
      </c>
      <c r="S34" s="1554">
        <f t="shared" si="12"/>
        <v>100</v>
      </c>
      <c r="T34" s="1553" t="s">
        <v>8</v>
      </c>
      <c r="U34" s="1554">
        <f t="shared" si="13"/>
        <v>100</v>
      </c>
      <c r="V34" s="1553" t="s">
        <v>8</v>
      </c>
      <c r="W34" s="1554">
        <f t="shared" si="14"/>
        <v>100</v>
      </c>
      <c r="X34" s="1555"/>
      <c r="Y34" s="3478"/>
      <c r="Z34" s="1144" t="str">
        <f t="shared" si="15"/>
        <v>物业管理</v>
      </c>
      <c r="AA34" s="1556">
        <f t="shared" si="3"/>
        <v>1</v>
      </c>
      <c r="AB34" s="1556">
        <f t="shared" si="4"/>
        <v>1</v>
      </c>
      <c r="AC34" s="1556">
        <f t="shared" si="5"/>
        <v>1</v>
      </c>
    </row>
    <row r="35" spans="1:29" ht="15">
      <c r="A35" s="594"/>
      <c r="B35" s="1879"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78" t="s">
        <v>550</v>
      </c>
      <c r="Q35" s="1557" t="str">
        <f t="shared" si="11"/>
        <v>市政基础设施</v>
      </c>
      <c r="R35" s="1558" t="s">
        <v>8</v>
      </c>
      <c r="S35" s="1559">
        <f t="shared" si="12"/>
        <v>100</v>
      </c>
      <c r="T35" s="1558" t="s">
        <v>8</v>
      </c>
      <c r="U35" s="1559">
        <f t="shared" si="13"/>
        <v>100</v>
      </c>
      <c r="V35" s="1558" t="s">
        <v>8</v>
      </c>
      <c r="W35" s="1559">
        <f t="shared" si="14"/>
        <v>100</v>
      </c>
      <c r="X35" s="1552"/>
      <c r="Y35" s="3478"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78"/>
      <c r="Q36" s="1557" t="str">
        <f t="shared" si="11"/>
        <v>内部装修</v>
      </c>
      <c r="R36" s="1558" t="s">
        <v>8</v>
      </c>
      <c r="S36" s="1559">
        <f t="shared" si="12"/>
        <v>100</v>
      </c>
      <c r="T36" s="1558" t="s">
        <v>8</v>
      </c>
      <c r="U36" s="1559">
        <f t="shared" si="13"/>
        <v>100</v>
      </c>
      <c r="V36" s="1558" t="s">
        <v>8</v>
      </c>
      <c r="W36" s="1559">
        <f t="shared" si="14"/>
        <v>100</v>
      </c>
      <c r="X36" s="1552"/>
      <c r="Y36" s="3478"/>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78"/>
      <c r="Q37" s="1557" t="str">
        <f t="shared" si="11"/>
        <v>内部装修状况</v>
      </c>
      <c r="R37" s="1558" t="s">
        <v>8</v>
      </c>
      <c r="S37" s="1559">
        <f t="shared" si="12"/>
        <v>100</v>
      </c>
      <c r="T37" s="1558" t="s">
        <v>8</v>
      </c>
      <c r="U37" s="1559">
        <f t="shared" si="13"/>
        <v>100</v>
      </c>
      <c r="V37" s="1558" t="s">
        <v>8</v>
      </c>
      <c r="W37" s="1559">
        <f t="shared" si="14"/>
        <v>100</v>
      </c>
      <c r="X37" s="1552"/>
      <c r="Y37" s="3478"/>
      <c r="Z37" s="1560" t="str">
        <f t="shared" si="15"/>
        <v>内部装修状况</v>
      </c>
      <c r="AA37" s="1561">
        <f t="shared" si="3"/>
        <v>1</v>
      </c>
      <c r="AB37" s="1561">
        <f t="shared" si="4"/>
        <v>1</v>
      </c>
      <c r="AC37" s="1561">
        <f t="shared" si="5"/>
        <v>1</v>
      </c>
    </row>
    <row r="38" spans="1:29" s="1333" customFormat="1" ht="15">
      <c r="A38" s="603"/>
      <c r="B38" s="876">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478"/>
      <c r="Q38" s="1589">
        <f t="shared" si="11"/>
        <v>111</v>
      </c>
      <c r="R38" s="1562" t="s">
        <v>8</v>
      </c>
      <c r="S38" s="1563">
        <f t="shared" si="12"/>
        <v>100</v>
      </c>
      <c r="T38" s="1562" t="s">
        <v>8</v>
      </c>
      <c r="U38" s="1563">
        <f t="shared" si="13"/>
        <v>100</v>
      </c>
      <c r="V38" s="1562" t="s">
        <v>8</v>
      </c>
      <c r="W38" s="1563">
        <f t="shared" si="14"/>
        <v>100</v>
      </c>
      <c r="X38" s="1564"/>
      <c r="Y38" s="3478"/>
      <c r="Z38" s="1565">
        <f t="shared" si="15"/>
        <v>111</v>
      </c>
      <c r="AA38" s="1561">
        <f t="shared" si="3"/>
        <v>1</v>
      </c>
      <c r="AB38" s="1561">
        <f t="shared" si="4"/>
        <v>1</v>
      </c>
      <c r="AC38" s="1561">
        <f t="shared" si="5"/>
        <v>1</v>
      </c>
    </row>
    <row r="39" spans="1:29" ht="15">
      <c r="A39" s="594"/>
      <c r="B39" s="876">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478"/>
      <c r="Q39" s="1557">
        <f t="shared" si="11"/>
        <v>111</v>
      </c>
      <c r="R39" s="1558" t="s">
        <v>8</v>
      </c>
      <c r="S39" s="1559">
        <f t="shared" si="12"/>
        <v>100</v>
      </c>
      <c r="T39" s="1558" t="s">
        <v>8</v>
      </c>
      <c r="U39" s="1559">
        <f t="shared" si="13"/>
        <v>100</v>
      </c>
      <c r="V39" s="1558" t="s">
        <v>8</v>
      </c>
      <c r="W39" s="1559">
        <f t="shared" si="14"/>
        <v>100</v>
      </c>
      <c r="X39" s="1552"/>
      <c r="Y39" s="3478"/>
      <c r="Z39" s="1560">
        <f t="shared" si="15"/>
        <v>111</v>
      </c>
      <c r="AA39" s="1561">
        <f t="shared" si="3"/>
        <v>1</v>
      </c>
      <c r="AB39" s="1561">
        <f t="shared" si="4"/>
        <v>1</v>
      </c>
      <c r="AC39" s="1561">
        <f t="shared" si="5"/>
        <v>1</v>
      </c>
    </row>
    <row r="40" spans="1:29" ht="15.75" thickBot="1">
      <c r="A40" s="885"/>
      <c r="B40" s="544">
        <v>111</v>
      </c>
      <c r="C40" s="545"/>
      <c r="D40" s="546">
        <v>100</v>
      </c>
      <c r="E40" s="539"/>
      <c r="F40" s="865">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524"/>
      <c r="Q40" s="1557">
        <f t="shared" si="11"/>
        <v>111</v>
      </c>
      <c r="R40" s="1558" t="s">
        <v>8</v>
      </c>
      <c r="S40" s="1559">
        <f t="shared" si="12"/>
        <v>100</v>
      </c>
      <c r="T40" s="1558" t="s">
        <v>8</v>
      </c>
      <c r="U40" s="1559">
        <f t="shared" si="13"/>
        <v>100</v>
      </c>
      <c r="V40" s="1558" t="s">
        <v>8</v>
      </c>
      <c r="W40" s="1559">
        <f t="shared" si="14"/>
        <v>100</v>
      </c>
      <c r="X40" s="1552"/>
      <c r="Y40" s="3524"/>
      <c r="Z40" s="1560">
        <f t="shared" si="15"/>
        <v>111</v>
      </c>
      <c r="AA40" s="1561">
        <f t="shared" si="3"/>
        <v>1</v>
      </c>
      <c r="AB40" s="1561">
        <f t="shared" si="4"/>
        <v>1</v>
      </c>
      <c r="AC40" s="1561">
        <f t="shared" si="5"/>
        <v>1</v>
      </c>
    </row>
    <row r="41" spans="1:29" ht="15">
      <c r="A41" s="607" t="s">
        <v>736</v>
      </c>
      <c r="B41" s="886"/>
      <c r="C41" s="2590" t="s">
        <v>1</v>
      </c>
      <c r="D41" s="2591"/>
      <c r="E41" s="2592"/>
      <c r="F41" s="2593"/>
      <c r="G41" s="2594"/>
      <c r="H41" s="2595"/>
      <c r="I41" s="2592"/>
      <c r="J41" s="2595"/>
      <c r="K41" s="1595"/>
      <c r="L41" s="2128"/>
      <c r="M41" s="2129"/>
      <c r="N41" s="2118"/>
      <c r="O41" s="2129"/>
      <c r="P41" s="3441" t="str">
        <f>A41</f>
        <v>成交单价（元/平方米）</v>
      </c>
      <c r="Q41" s="3441"/>
      <c r="R41" s="3523">
        <f>E41</f>
        <v>0</v>
      </c>
      <c r="S41" s="3523"/>
      <c r="T41" s="3523">
        <f>G41</f>
        <v>0</v>
      </c>
      <c r="U41" s="3523"/>
      <c r="V41" s="3523">
        <f>I41</f>
        <v>0</v>
      </c>
      <c r="W41" s="3523"/>
      <c r="X41" s="1544"/>
      <c r="Y41" s="1566"/>
      <c r="Z41" s="1544"/>
      <c r="AA41" s="1544"/>
      <c r="AB41" s="1544"/>
      <c r="AC41" s="1544"/>
    </row>
    <row r="42" spans="1:29" ht="15.75" thickBot="1">
      <c r="A42" s="615" t="s">
        <v>2754</v>
      </c>
      <c r="B42" s="887"/>
      <c r="C42" s="2596" t="e">
        <f>R43</f>
        <v>#DIV/0!</v>
      </c>
      <c r="D42" s="2597"/>
      <c r="E42" s="2598" t="e">
        <f>R42</f>
        <v>#DIV/0!</v>
      </c>
      <c r="F42" s="2598"/>
      <c r="G42" s="2596" t="e">
        <f>T42</f>
        <v>#DIV/0!</v>
      </c>
      <c r="H42" s="2597"/>
      <c r="I42" s="2598" t="e">
        <f>V42</f>
        <v>#DIV/0!</v>
      </c>
      <c r="J42" s="2597"/>
      <c r="K42" s="1596"/>
      <c r="L42" s="2128"/>
      <c r="M42" s="2129"/>
      <c r="N42" s="2118"/>
      <c r="O42" s="2129"/>
      <c r="P42" s="3441" t="str">
        <f>A42</f>
        <v>比较价格（元/平方米）</v>
      </c>
      <c r="Q42" s="3441"/>
      <c r="R42" s="3523" t="e">
        <f>IF(F1="售价",ROUND(PRODUCT(R41,AA7:AA40),0),ROUND(PRODUCT(R41,AA7:AA40),1))</f>
        <v>#DIV/0!</v>
      </c>
      <c r="S42" s="3523"/>
      <c r="T42" s="3523" t="e">
        <f>IF(F1="售价",ROUND(PRODUCT(T41,AB7:AB40),0),ROUND(PRODUCT(T41,AB7:AB40),1))</f>
        <v>#DIV/0!</v>
      </c>
      <c r="U42" s="3523"/>
      <c r="V42" s="3523" t="e">
        <f>IF(F1="售价",ROUND(PRODUCT(V41,AC7:AC40),0),ROUND(PRODUCT(V41,AC7:AC40),1))</f>
        <v>#DIV/0!</v>
      </c>
      <c r="W42" s="3523"/>
      <c r="X42" s="1544"/>
      <c r="Y42" s="1544"/>
      <c r="Z42" s="1544"/>
      <c r="AA42" s="1544"/>
      <c r="AB42" s="1544"/>
      <c r="AC42" s="1544"/>
    </row>
    <row r="43" spans="1:29" ht="15.75" thickBot="1">
      <c r="A43" s="621" t="s">
        <v>2929</v>
      </c>
      <c r="B43" s="622"/>
      <c r="C43" s="2599" t="e">
        <f>R43</f>
        <v>#DIV/0!</v>
      </c>
      <c r="D43" s="2599"/>
      <c r="E43" s="2599"/>
      <c r="F43" s="2599"/>
      <c r="G43" s="2599"/>
      <c r="H43" s="2599"/>
      <c r="I43" s="2599"/>
      <c r="J43" s="2599"/>
      <c r="K43" s="1597"/>
      <c r="L43" s="2128"/>
      <c r="M43" s="2129"/>
      <c r="N43" s="2129"/>
      <c r="O43" s="2129"/>
      <c r="P43" s="3438" t="str">
        <f>A43</f>
        <v>估价对象XX用房的比较价格（楼面单价，元/平方米）</v>
      </c>
      <c r="Q43" s="3439"/>
      <c r="R43" s="3522" t="e">
        <f>IF(F1="售价",ROUND(AVERAGE(R42:V42),0),ROUND(AVERAGE(R42:V42),1))</f>
        <v>#DIV/0!</v>
      </c>
      <c r="S43" s="3522"/>
      <c r="T43" s="3522"/>
      <c r="U43" s="3522"/>
      <c r="V43" s="3522"/>
      <c r="W43" s="3522"/>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5" t="s">
        <v>529</v>
      </c>
      <c r="B52" s="646"/>
      <c r="C52" s="2756" t="str">
        <f>YEAR(C7)&amp;"-"&amp;MONTH(C7)</f>
        <v>2020-6</v>
      </c>
      <c r="D52" s="2758">
        <f>EDATE(C52,-1)</f>
        <v>43952</v>
      </c>
      <c r="E52" s="2758">
        <f t="shared" ref="E52:O52" si="16">EDATE(D52,-1)</f>
        <v>43922</v>
      </c>
      <c r="F52" s="2758">
        <f t="shared" si="16"/>
        <v>43891</v>
      </c>
      <c r="G52" s="2758">
        <f t="shared" si="16"/>
        <v>43862</v>
      </c>
      <c r="H52" s="2758">
        <f t="shared" si="16"/>
        <v>43831</v>
      </c>
      <c r="I52" s="2758">
        <f t="shared" si="16"/>
        <v>43800</v>
      </c>
      <c r="J52" s="2758">
        <f t="shared" si="16"/>
        <v>43770</v>
      </c>
      <c r="K52" s="2758">
        <f t="shared" si="16"/>
        <v>43739</v>
      </c>
      <c r="L52" s="2758">
        <f t="shared" si="16"/>
        <v>43709</v>
      </c>
      <c r="M52" s="2758">
        <f t="shared" si="16"/>
        <v>43678</v>
      </c>
      <c r="N52" s="2758">
        <f t="shared" si="16"/>
        <v>43647</v>
      </c>
      <c r="O52" s="2758">
        <f t="shared" si="16"/>
        <v>43617</v>
      </c>
      <c r="P52" s="2144"/>
      <c r="Q52" s="2145"/>
      <c r="R52" s="2145"/>
      <c r="S52" s="2145"/>
      <c r="T52" s="2145"/>
      <c r="U52" s="2145"/>
      <c r="V52" s="2145"/>
      <c r="W52" s="2145"/>
      <c r="X52" s="2145"/>
      <c r="Y52" s="2145"/>
      <c r="Z52" s="2145"/>
      <c r="AA52" s="2145"/>
      <c r="AB52" s="2145"/>
      <c r="AC52" s="2145"/>
    </row>
    <row r="53" spans="1:29" s="1214"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4"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4"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2552</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2553</v>
      </c>
      <c r="C76" s="2561" t="s">
        <v>2554</v>
      </c>
      <c r="D76" s="2561" t="s">
        <v>2555</v>
      </c>
      <c r="E76" s="2561" t="s">
        <v>2556</v>
      </c>
      <c r="F76" s="2561" t="s">
        <v>2557</v>
      </c>
      <c r="G76" s="2561" t="s">
        <v>2558</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2551</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9" priority="16" stopIfTrue="1" operator="containsText" text="超过">
      <formula>NOT(ISERROR(SEARCH("超过",F46)))</formula>
    </cfRule>
  </conditionalFormatting>
  <conditionalFormatting sqref="H48">
    <cfRule type="containsText" dxfId="48" priority="15" stopIfTrue="1" operator="containsText" text="超过">
      <formula>NOT(ISERROR(SEARCH("超过",H48)))</formula>
    </cfRule>
  </conditionalFormatting>
  <conditionalFormatting sqref="F48">
    <cfRule type="containsText" dxfId="47" priority="14" stopIfTrue="1" operator="containsText" text="超过">
      <formula>NOT(ISERROR(SEARCH("超过",F48)))</formula>
    </cfRule>
  </conditionalFormatting>
  <conditionalFormatting sqref="F47 H47">
    <cfRule type="containsText" dxfId="46" priority="13" stopIfTrue="1" operator="containsText" text="超过">
      <formula>NOT(ISERROR(SEARCH("超过",F47)))</formula>
    </cfRule>
  </conditionalFormatting>
  <conditionalFormatting sqref="E46">
    <cfRule type="expression" dxfId="45" priority="12" stopIfTrue="1">
      <formula>$F$46="超过30%"</formula>
    </cfRule>
  </conditionalFormatting>
  <conditionalFormatting sqref="E47">
    <cfRule type="expression" dxfId="44" priority="11" stopIfTrue="1">
      <formula>$F$47="超过20%"</formula>
    </cfRule>
  </conditionalFormatting>
  <conditionalFormatting sqref="E48">
    <cfRule type="expression" dxfId="43" priority="10" stopIfTrue="1">
      <formula>$F$48="超过30%"</formula>
    </cfRule>
  </conditionalFormatting>
  <conditionalFormatting sqref="G48">
    <cfRule type="expression" dxfId="42" priority="9" stopIfTrue="1">
      <formula>$H$48="超过30%"</formula>
    </cfRule>
  </conditionalFormatting>
  <conditionalFormatting sqref="G46">
    <cfRule type="expression" dxfId="41" priority="8" stopIfTrue="1">
      <formula>$H$46="超过30%"</formula>
    </cfRule>
  </conditionalFormatting>
  <conditionalFormatting sqref="G47">
    <cfRule type="expression" dxfId="40" priority="7" stopIfTrue="1">
      <formula>$H$47="超过20%"</formula>
    </cfRule>
  </conditionalFormatting>
  <conditionalFormatting sqref="J46">
    <cfRule type="containsText" dxfId="39" priority="6" stopIfTrue="1" operator="containsText" text="超过">
      <formula>NOT(ISERROR(SEARCH("超过",J46)))</formula>
    </cfRule>
  </conditionalFormatting>
  <conditionalFormatting sqref="J48">
    <cfRule type="containsText" dxfId="38" priority="5" stopIfTrue="1" operator="containsText" text="超过">
      <formula>NOT(ISERROR(SEARCH("超过",J48)))</formula>
    </cfRule>
  </conditionalFormatting>
  <conditionalFormatting sqref="J47">
    <cfRule type="containsText" dxfId="37" priority="4" stopIfTrue="1" operator="containsText" text="超过">
      <formula>NOT(ISERROR(SEARCH("超过",J47)))</formula>
    </cfRule>
  </conditionalFormatting>
  <conditionalFormatting sqref="I46">
    <cfRule type="expression" dxfId="36" priority="3" stopIfTrue="1">
      <formula>$J$46="超过30%"</formula>
    </cfRule>
  </conditionalFormatting>
  <conditionalFormatting sqref="I47">
    <cfRule type="expression" dxfId="35" priority="2" stopIfTrue="1">
      <formula>$J$47="超过20%"</formula>
    </cfRule>
  </conditionalFormatting>
  <conditionalFormatting sqref="I48">
    <cfRule type="expression" dxfId="3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8"/>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IF(B37="元/平方米",C39,ROUND(B2*10000/D3,0))</f>
        <v>#DIV/0!</v>
      </c>
      <c r="C3" s="851" t="s">
        <v>796</v>
      </c>
      <c r="D3" s="850">
        <f>SUMIF('数据-汇总表'!$C19:$C33,D1,'数据-汇总表'!$E19:$E33)</f>
        <v>0</v>
      </c>
      <c r="E3" s="1832" t="s">
        <v>2072</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47" t="s">
        <v>798</v>
      </c>
      <c r="D4" s="3448"/>
      <c r="E4" s="3447" t="s">
        <v>799</v>
      </c>
      <c r="F4" s="3448"/>
      <c r="G4" s="3447" t="s">
        <v>800</v>
      </c>
      <c r="H4" s="3448"/>
      <c r="I4" s="3447" t="s">
        <v>801</v>
      </c>
      <c r="J4" s="3448"/>
      <c r="K4" s="514" t="s">
        <v>802</v>
      </c>
      <c r="L4" s="2117"/>
      <c r="M4" s="2118"/>
      <c r="N4" s="2118"/>
      <c r="O4" s="2118"/>
      <c r="P4" s="3449" t="s">
        <v>803</v>
      </c>
      <c r="Q4" s="3450"/>
      <c r="R4" s="3455" t="s">
        <v>799</v>
      </c>
      <c r="S4" s="3456"/>
      <c r="T4" s="3455" t="s">
        <v>800</v>
      </c>
      <c r="U4" s="3456"/>
      <c r="V4" s="3442" t="s">
        <v>801</v>
      </c>
      <c r="W4" s="3442"/>
      <c r="X4" s="1552"/>
      <c r="Y4" s="3455" t="s">
        <v>803</v>
      </c>
      <c r="Z4" s="3456"/>
      <c r="AA4" s="3444" t="s">
        <v>799</v>
      </c>
      <c r="AB4" s="3445" t="s">
        <v>800</v>
      </c>
      <c r="AC4" s="3444" t="s">
        <v>801</v>
      </c>
    </row>
    <row r="5" spans="1:29" ht="15">
      <c r="A5" s="515"/>
      <c r="B5" s="516"/>
      <c r="C5" s="3463" t="s">
        <v>2923</v>
      </c>
      <c r="D5" s="3464"/>
      <c r="E5" s="3463" t="s">
        <v>2924</v>
      </c>
      <c r="F5" s="3464"/>
      <c r="G5" s="3463" t="s">
        <v>2925</v>
      </c>
      <c r="H5" s="3464"/>
      <c r="I5" s="3463" t="s">
        <v>2926</v>
      </c>
      <c r="J5" s="3464"/>
      <c r="K5" s="514"/>
      <c r="L5" s="2117"/>
      <c r="M5" s="2118"/>
      <c r="N5" s="2118"/>
      <c r="O5" s="2118"/>
      <c r="P5" s="3451"/>
      <c r="Q5" s="3452"/>
      <c r="R5" s="3457"/>
      <c r="S5" s="3458"/>
      <c r="T5" s="3457"/>
      <c r="U5" s="3458"/>
      <c r="V5" s="3442"/>
      <c r="W5" s="3442"/>
      <c r="X5" s="1552"/>
      <c r="Y5" s="3457"/>
      <c r="Z5" s="3458"/>
      <c r="AA5" s="3445"/>
      <c r="AB5" s="3445"/>
      <c r="AC5" s="3445"/>
    </row>
    <row r="6" spans="1:29" ht="15.75" thickBot="1">
      <c r="A6" s="517"/>
      <c r="B6" s="518"/>
      <c r="C6" s="3461" t="s">
        <v>2927</v>
      </c>
      <c r="D6" s="3462"/>
      <c r="E6" s="3465" t="s">
        <v>2927</v>
      </c>
      <c r="F6" s="3466"/>
      <c r="G6" s="3461" t="s">
        <v>2927</v>
      </c>
      <c r="H6" s="3462"/>
      <c r="I6" s="3461" t="s">
        <v>2927</v>
      </c>
      <c r="J6" s="3462"/>
      <c r="K6" s="514" t="s">
        <v>528</v>
      </c>
      <c r="L6" s="2117"/>
      <c r="M6" s="2118"/>
      <c r="N6" s="2118"/>
      <c r="O6" s="2118"/>
      <c r="P6" s="3453"/>
      <c r="Q6" s="3454"/>
      <c r="R6" s="3457"/>
      <c r="S6" s="3458"/>
      <c r="T6" s="3459"/>
      <c r="U6" s="3460"/>
      <c r="V6" s="3442"/>
      <c r="W6" s="3442"/>
      <c r="X6" s="1552"/>
      <c r="Y6" s="3459"/>
      <c r="Z6" s="3460"/>
      <c r="AA6" s="3446"/>
      <c r="AB6" s="3446"/>
      <c r="AC6" s="3446"/>
    </row>
    <row r="7" spans="1:29" s="1214" customFormat="1" ht="15.75" thickBot="1">
      <c r="A7" s="2866"/>
      <c r="B7" s="2873" t="s">
        <v>529</v>
      </c>
      <c r="C7" s="519">
        <f>'数据-取费表'!B2</f>
        <v>44001</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72" t="s">
        <v>530</v>
      </c>
      <c r="Q7" s="3474"/>
      <c r="R7" s="1553" t="s">
        <v>8</v>
      </c>
      <c r="S7" s="1554">
        <f t="shared" ref="S7:S14" si="0">F7</f>
        <v>0</v>
      </c>
      <c r="T7" s="1553" t="s">
        <v>8</v>
      </c>
      <c r="U7" s="1554">
        <f t="shared" ref="U7:U14" si="1">H7</f>
        <v>0</v>
      </c>
      <c r="V7" s="1553" t="s">
        <v>8</v>
      </c>
      <c r="W7" s="1554">
        <f t="shared" ref="W7:W14" si="2">J7</f>
        <v>0</v>
      </c>
      <c r="X7" s="1555"/>
      <c r="Y7" s="3472" t="s">
        <v>530</v>
      </c>
      <c r="Z7" s="3473"/>
      <c r="AA7" s="1556" t="e">
        <f>D7/F7</f>
        <v>#DIV/0!</v>
      </c>
      <c r="AB7" s="1556" t="e">
        <f>D7/H7</f>
        <v>#DIV/0!</v>
      </c>
      <c r="AC7" s="1556" t="e">
        <f>D7/J7</f>
        <v>#DIV/0!</v>
      </c>
    </row>
    <row r="8" spans="1:29" s="1214"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72" t="s">
        <v>533</v>
      </c>
      <c r="Q8" s="3473"/>
      <c r="R8" s="1553" t="s">
        <v>8</v>
      </c>
      <c r="S8" s="1554">
        <f t="shared" si="0"/>
        <v>0</v>
      </c>
      <c r="T8" s="1553" t="s">
        <v>8</v>
      </c>
      <c r="U8" s="1554">
        <f t="shared" si="1"/>
        <v>0</v>
      </c>
      <c r="V8" s="1553" t="s">
        <v>8</v>
      </c>
      <c r="W8" s="1554">
        <f t="shared" si="2"/>
        <v>0</v>
      </c>
      <c r="X8" s="1555"/>
      <c r="Y8" s="3472" t="s">
        <v>533</v>
      </c>
      <c r="Z8" s="3473"/>
      <c r="AA8" s="1556" t="e">
        <f t="shared" ref="AA8:AA36" si="3">D8/F8</f>
        <v>#DIV/0!</v>
      </c>
      <c r="AB8" s="1556" t="e">
        <f t="shared" ref="AB8:AB36" si="4">D8/H8</f>
        <v>#DIV/0!</v>
      </c>
      <c r="AC8" s="1556" t="e">
        <f t="shared" ref="AC8:AC36" si="5">D8/J8</f>
        <v>#DIV/0!</v>
      </c>
    </row>
    <row r="9" spans="1:29" s="1214" customFormat="1" ht="15">
      <c r="A9" s="2868"/>
      <c r="B9" s="2875" t="s">
        <v>2750</v>
      </c>
      <c r="C9" s="856"/>
      <c r="D9" s="254">
        <v>100</v>
      </c>
      <c r="E9" s="859"/>
      <c r="F9" s="254">
        <f>SUMIF(53:53,E9,54:54)-SUMIF(53:53,C9,54:54)+100</f>
        <v>100</v>
      </c>
      <c r="G9" s="857"/>
      <c r="H9" s="254">
        <f>SUMIF(53:53,G9,54:54)-SUMIF(53:53,C9,54:54)+100</f>
        <v>100</v>
      </c>
      <c r="I9" s="857"/>
      <c r="J9" s="254">
        <f>SUMIF(53:53,I9,54:54)-SUMIF(53:53,C9,54:54)+100</f>
        <v>100</v>
      </c>
      <c r="K9" s="524"/>
      <c r="L9" s="2119"/>
      <c r="M9" s="2120"/>
      <c r="N9" s="2120"/>
      <c r="O9" s="2121"/>
      <c r="P9" s="3441" t="s">
        <v>535</v>
      </c>
      <c r="Q9" s="1145" t="str">
        <f t="shared" ref="Q9:Q14" si="6">B9</f>
        <v>用途</v>
      </c>
      <c r="R9" s="1553" t="s">
        <v>8</v>
      </c>
      <c r="S9" s="1554">
        <f t="shared" si="0"/>
        <v>100</v>
      </c>
      <c r="T9" s="1553" t="s">
        <v>8</v>
      </c>
      <c r="U9" s="1554">
        <f t="shared" si="1"/>
        <v>100</v>
      </c>
      <c r="V9" s="1553" t="s">
        <v>8</v>
      </c>
      <c r="W9" s="1554">
        <f t="shared" si="2"/>
        <v>100</v>
      </c>
      <c r="X9" s="1555"/>
      <c r="Y9" s="3361" t="s">
        <v>536</v>
      </c>
      <c r="Z9" s="1144" t="str">
        <f t="shared" ref="Z9:Z14" si="7">Q9</f>
        <v>用途</v>
      </c>
      <c r="AA9" s="1556">
        <f t="shared" si="3"/>
        <v>1</v>
      </c>
      <c r="AB9" s="1556">
        <f t="shared" si="4"/>
        <v>1</v>
      </c>
      <c r="AC9" s="1556">
        <f t="shared" si="5"/>
        <v>1</v>
      </c>
    </row>
    <row r="10" spans="1:29" s="1332" customFormat="1" ht="27">
      <c r="A10" s="2869"/>
      <c r="B10" s="2874" t="s">
        <v>2751</v>
      </c>
      <c r="C10" s="860"/>
      <c r="D10" s="255">
        <v>100</v>
      </c>
      <c r="E10" s="860"/>
      <c r="F10" s="255">
        <f>SUMIF(55:55,E10,56:56)-SUMIF(55:55,C10,56:56)+100</f>
        <v>100</v>
      </c>
      <c r="G10" s="861"/>
      <c r="H10" s="255">
        <f>SUMIF(55:55,G10,56:56)-SUMIF(55:55,C10,56:56)+100</f>
        <v>100</v>
      </c>
      <c r="I10" s="860"/>
      <c r="J10" s="255">
        <f>SUMIF(55:55,I10,56:56)-SUMIF(55:55,C10,56:56)+100</f>
        <v>100</v>
      </c>
      <c r="K10" s="584"/>
      <c r="L10" s="2122"/>
      <c r="M10" s="2162"/>
      <c r="N10" s="2162"/>
      <c r="O10" s="2123"/>
      <c r="P10" s="3441"/>
      <c r="Q10" s="1145" t="str">
        <f t="shared" si="6"/>
        <v>土地使用年限（年）</v>
      </c>
      <c r="R10" s="1553" t="s">
        <v>8</v>
      </c>
      <c r="S10" s="1554">
        <f t="shared" si="0"/>
        <v>100</v>
      </c>
      <c r="T10" s="1553" t="s">
        <v>8</v>
      </c>
      <c r="U10" s="1554">
        <f t="shared" si="1"/>
        <v>100</v>
      </c>
      <c r="V10" s="1553" t="s">
        <v>8</v>
      </c>
      <c r="W10" s="1554">
        <f t="shared" si="2"/>
        <v>100</v>
      </c>
      <c r="X10" s="1555"/>
      <c r="Y10" s="3361"/>
      <c r="Z10" s="1144"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41"/>
      <c r="Q11" s="1145">
        <f t="shared" si="6"/>
        <v>111</v>
      </c>
      <c r="R11" s="1553" t="s">
        <v>8</v>
      </c>
      <c r="S11" s="1554">
        <f t="shared" si="0"/>
        <v>100</v>
      </c>
      <c r="T11" s="1553" t="s">
        <v>8</v>
      </c>
      <c r="U11" s="1554">
        <f t="shared" si="1"/>
        <v>100</v>
      </c>
      <c r="V11" s="1553" t="s">
        <v>8</v>
      </c>
      <c r="W11" s="1554">
        <f t="shared" si="2"/>
        <v>100</v>
      </c>
      <c r="X11" s="1555"/>
      <c r="Y11" s="3361"/>
      <c r="Z11" s="1144">
        <f t="shared" si="7"/>
        <v>111</v>
      </c>
      <c r="AA11" s="1556">
        <f t="shared" si="3"/>
        <v>1</v>
      </c>
      <c r="AB11" s="1556">
        <f t="shared" si="4"/>
        <v>1</v>
      </c>
      <c r="AC11" s="1556">
        <f t="shared" si="5"/>
        <v>1</v>
      </c>
    </row>
    <row r="12" spans="1:29" s="1214"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41"/>
      <c r="Q12" s="1145">
        <f t="shared" si="6"/>
        <v>111</v>
      </c>
      <c r="R12" s="1553" t="s">
        <v>8</v>
      </c>
      <c r="S12" s="1554">
        <f t="shared" si="0"/>
        <v>100</v>
      </c>
      <c r="T12" s="1553" t="s">
        <v>8</v>
      </c>
      <c r="U12" s="1554">
        <f t="shared" si="1"/>
        <v>100</v>
      </c>
      <c r="V12" s="1553" t="s">
        <v>8</v>
      </c>
      <c r="W12" s="1554">
        <f t="shared" si="2"/>
        <v>100</v>
      </c>
      <c r="X12" s="1555"/>
      <c r="Y12" s="3361"/>
      <c r="Z12" s="1144">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41"/>
      <c r="Q13" s="1145">
        <f t="shared" si="6"/>
        <v>111</v>
      </c>
      <c r="R13" s="1553" t="s">
        <v>8</v>
      </c>
      <c r="S13" s="1554">
        <f t="shared" si="0"/>
        <v>100</v>
      </c>
      <c r="T13" s="1553" t="s">
        <v>8</v>
      </c>
      <c r="U13" s="1554">
        <f t="shared" si="1"/>
        <v>100</v>
      </c>
      <c r="V13" s="1553" t="s">
        <v>8</v>
      </c>
      <c r="W13" s="1554">
        <f t="shared" si="2"/>
        <v>100</v>
      </c>
      <c r="X13" s="1555"/>
      <c r="Y13" s="3361"/>
      <c r="Z13" s="1144">
        <f t="shared" si="7"/>
        <v>111</v>
      </c>
      <c r="AA13" s="1556">
        <f t="shared" si="3"/>
        <v>1</v>
      </c>
      <c r="AB13" s="1556">
        <f t="shared" si="4"/>
        <v>1</v>
      </c>
      <c r="AC13" s="1556">
        <f t="shared" si="5"/>
        <v>1</v>
      </c>
    </row>
    <row r="14" spans="1:29" ht="85.5">
      <c r="A14" s="2864" t="s">
        <v>2748</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475" t="s">
        <v>540</v>
      </c>
      <c r="Q14" s="1557" t="str">
        <f t="shared" si="6"/>
        <v>交通便捷度</v>
      </c>
      <c r="R14" s="1558" t="s">
        <v>8</v>
      </c>
      <c r="S14" s="1559">
        <f t="shared" si="0"/>
        <v>100</v>
      </c>
      <c r="T14" s="1558" t="s">
        <v>8</v>
      </c>
      <c r="U14" s="1559">
        <f t="shared" si="1"/>
        <v>100</v>
      </c>
      <c r="V14" s="1558" t="s">
        <v>8</v>
      </c>
      <c r="W14" s="1559">
        <f t="shared" si="2"/>
        <v>100</v>
      </c>
      <c r="X14" s="1552"/>
      <c r="Y14" s="3475"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476"/>
      <c r="Q15" s="1557"/>
      <c r="R15" s="1558"/>
      <c r="S15" s="1559"/>
      <c r="T15" s="1558"/>
      <c r="U15" s="1559"/>
      <c r="V15" s="1558"/>
      <c r="W15" s="1559"/>
      <c r="X15" s="1552"/>
      <c r="Y15" s="3476"/>
      <c r="Z15" s="1560"/>
      <c r="AA15" s="1561">
        <v>1</v>
      </c>
      <c r="AB15" s="1561">
        <v>1</v>
      </c>
      <c r="AC15" s="1561">
        <v>1</v>
      </c>
    </row>
    <row r="16" spans="1:29" ht="42.75">
      <c r="A16" s="515"/>
      <c r="B16" s="2566" t="s">
        <v>2541</v>
      </c>
      <c r="C16" s="871"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476"/>
      <c r="Q16" s="1557" t="str">
        <f>B16</f>
        <v>公共配套设施</v>
      </c>
      <c r="R16" s="1558" t="s">
        <v>8</v>
      </c>
      <c r="S16" s="1559">
        <f>F16</f>
        <v>100</v>
      </c>
      <c r="T16" s="1558" t="s">
        <v>8</v>
      </c>
      <c r="U16" s="1559">
        <f>H16</f>
        <v>100</v>
      </c>
      <c r="V16" s="1558" t="s">
        <v>8</v>
      </c>
      <c r="W16" s="1559">
        <f>J16</f>
        <v>100</v>
      </c>
      <c r="X16" s="1552"/>
      <c r="Y16" s="3476"/>
      <c r="Z16" s="1560" t="str">
        <f>Q16</f>
        <v>公共配套设施</v>
      </c>
      <c r="AA16" s="1561">
        <f t="shared" si="3"/>
        <v>1</v>
      </c>
      <c r="AB16" s="1561">
        <f t="shared" si="4"/>
        <v>1</v>
      </c>
      <c r="AC16" s="1561">
        <f t="shared" si="5"/>
        <v>1</v>
      </c>
    </row>
    <row r="17" spans="1:29" ht="15">
      <c r="A17" s="515"/>
      <c r="B17" s="566"/>
      <c r="C17" s="872"/>
      <c r="D17" s="555"/>
      <c r="E17" s="576"/>
      <c r="F17" s="557"/>
      <c r="G17" s="576"/>
      <c r="H17" s="555"/>
      <c r="I17" s="576"/>
      <c r="J17" s="555"/>
      <c r="K17" s="898"/>
      <c r="L17" s="2126"/>
      <c r="M17" s="2118"/>
      <c r="N17" s="2118"/>
      <c r="O17" s="2125"/>
      <c r="P17" s="3476"/>
      <c r="Q17" s="1557"/>
      <c r="R17" s="1558"/>
      <c r="S17" s="1559"/>
      <c r="T17" s="1558"/>
      <c r="U17" s="1559"/>
      <c r="V17" s="1558"/>
      <c r="W17" s="1559"/>
      <c r="X17" s="1552"/>
      <c r="Y17" s="3476"/>
      <c r="Z17" s="1560"/>
      <c r="AA17" s="1561">
        <v>1</v>
      </c>
      <c r="AB17" s="1561">
        <v>1</v>
      </c>
      <c r="AC17" s="1561">
        <v>1</v>
      </c>
    </row>
    <row r="18" spans="1:29" ht="28.5">
      <c r="A18" s="515"/>
      <c r="B18" s="2554" t="s">
        <v>2553</v>
      </c>
      <c r="C18" s="871"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476"/>
      <c r="Q18" s="2542" t="str">
        <f>B18</f>
        <v>基础设施水平</v>
      </c>
      <c r="R18" s="1558" t="s">
        <v>8</v>
      </c>
      <c r="S18" s="1559">
        <f>F18</f>
        <v>100</v>
      </c>
      <c r="T18" s="1558" t="s">
        <v>8</v>
      </c>
      <c r="U18" s="1559">
        <f>H18</f>
        <v>100</v>
      </c>
      <c r="V18" s="1558" t="s">
        <v>8</v>
      </c>
      <c r="W18" s="1559">
        <f>J18</f>
        <v>100</v>
      </c>
      <c r="X18" s="2544"/>
      <c r="Y18" s="3476"/>
      <c r="Z18" s="2543" t="str">
        <f>Q18</f>
        <v>基础设施水平</v>
      </c>
      <c r="AA18" s="1561">
        <f t="shared" ref="AA18" si="8">D18/F18</f>
        <v>1</v>
      </c>
      <c r="AB18" s="1561">
        <f t="shared" ref="AB18" si="9">D18/H18</f>
        <v>1</v>
      </c>
      <c r="AC18" s="1561">
        <f t="shared" ref="AC18" si="10">D18/J18</f>
        <v>1</v>
      </c>
    </row>
    <row r="19" spans="1:29" ht="15">
      <c r="A19" s="515"/>
      <c r="B19" s="578"/>
      <c r="C19" s="872"/>
      <c r="D19" s="559"/>
      <c r="E19" s="576"/>
      <c r="F19" s="557"/>
      <c r="G19" s="576"/>
      <c r="H19" s="555"/>
      <c r="I19" s="576"/>
      <c r="J19" s="555"/>
      <c r="K19" s="2565"/>
      <c r="L19" s="2126"/>
      <c r="M19" s="2118"/>
      <c r="N19" s="2118"/>
      <c r="O19" s="2125"/>
      <c r="P19" s="3476"/>
      <c r="Q19" s="2542"/>
      <c r="R19" s="1558"/>
      <c r="S19" s="1559"/>
      <c r="T19" s="1558"/>
      <c r="U19" s="1559"/>
      <c r="V19" s="1558"/>
      <c r="W19" s="1559"/>
      <c r="X19" s="2544"/>
      <c r="Y19" s="3476"/>
      <c r="Z19" s="2543"/>
      <c r="AA19" s="1561">
        <v>1</v>
      </c>
      <c r="AB19" s="1561">
        <v>1</v>
      </c>
      <c r="AC19" s="1561">
        <v>1</v>
      </c>
    </row>
    <row r="20" spans="1:29" ht="57">
      <c r="A20" s="515"/>
      <c r="B20" s="560" t="s">
        <v>804</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476"/>
      <c r="Q20" s="1557" t="str">
        <f>B20</f>
        <v>自然及人文环境</v>
      </c>
      <c r="R20" s="1558" t="s">
        <v>8</v>
      </c>
      <c r="S20" s="1559">
        <f>F20</f>
        <v>100</v>
      </c>
      <c r="T20" s="1558" t="s">
        <v>8</v>
      </c>
      <c r="U20" s="1559">
        <f>H20</f>
        <v>100</v>
      </c>
      <c r="V20" s="1558" t="s">
        <v>8</v>
      </c>
      <c r="W20" s="1559">
        <f>J20</f>
        <v>100</v>
      </c>
      <c r="X20" s="1552"/>
      <c r="Y20" s="3476"/>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476"/>
      <c r="Q21" s="1557"/>
      <c r="R21" s="1558"/>
      <c r="S21" s="1559"/>
      <c r="T21" s="1558"/>
      <c r="U21" s="1559"/>
      <c r="V21" s="1558"/>
      <c r="W21" s="1559"/>
      <c r="X21" s="1552"/>
      <c r="Y21" s="3476"/>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76"/>
      <c r="Q22" s="1557" t="str">
        <f>B22</f>
        <v>楼层</v>
      </c>
      <c r="R22" s="1558" t="s">
        <v>8</v>
      </c>
      <c r="S22" s="1559">
        <f>F22</f>
        <v>100</v>
      </c>
      <c r="T22" s="1558" t="s">
        <v>8</v>
      </c>
      <c r="U22" s="1559">
        <f>H22</f>
        <v>100</v>
      </c>
      <c r="V22" s="1558" t="s">
        <v>8</v>
      </c>
      <c r="W22" s="1559">
        <f>J22</f>
        <v>100</v>
      </c>
      <c r="X22" s="1552"/>
      <c r="Y22" s="3476"/>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76"/>
      <c r="Q23" s="1557">
        <f>B23</f>
        <v>111</v>
      </c>
      <c r="R23" s="1558" t="s">
        <v>8</v>
      </c>
      <c r="S23" s="1559">
        <f>F23</f>
        <v>100</v>
      </c>
      <c r="T23" s="1558" t="s">
        <v>8</v>
      </c>
      <c r="U23" s="1559">
        <f>H23</f>
        <v>100</v>
      </c>
      <c r="V23" s="1558" t="s">
        <v>8</v>
      </c>
      <c r="W23" s="1559">
        <f>J23</f>
        <v>100</v>
      </c>
      <c r="X23" s="1552"/>
      <c r="Y23" s="3476"/>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76"/>
      <c r="Q24" s="1557">
        <f t="shared" ref="Q24:Q36" si="11">B24</f>
        <v>111</v>
      </c>
      <c r="R24" s="1558" t="s">
        <v>8</v>
      </c>
      <c r="S24" s="1559">
        <f>F24</f>
        <v>100</v>
      </c>
      <c r="T24" s="1558" t="s">
        <v>8</v>
      </c>
      <c r="U24" s="1559">
        <f>H24</f>
        <v>100</v>
      </c>
      <c r="V24" s="1558" t="s">
        <v>8</v>
      </c>
      <c r="W24" s="1559">
        <f>J24</f>
        <v>100</v>
      </c>
      <c r="X24" s="1552"/>
      <c r="Y24" s="3476"/>
      <c r="Z24" s="1560">
        <f>Q24</f>
        <v>111</v>
      </c>
      <c r="AA24" s="1561">
        <f t="shared" si="3"/>
        <v>1</v>
      </c>
      <c r="AB24" s="1561">
        <f t="shared" si="4"/>
        <v>1</v>
      </c>
      <c r="AC24" s="1561">
        <f t="shared" si="5"/>
        <v>1</v>
      </c>
    </row>
    <row r="25" spans="1:29" s="1214"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476"/>
      <c r="Q25" s="1145">
        <f t="shared" si="11"/>
        <v>111</v>
      </c>
      <c r="R25" s="1553" t="s">
        <v>8</v>
      </c>
      <c r="S25" s="1554">
        <f>F25</f>
        <v>100</v>
      </c>
      <c r="T25" s="1553" t="s">
        <v>8</v>
      </c>
      <c r="U25" s="1554">
        <f>H25</f>
        <v>100</v>
      </c>
      <c r="V25" s="1553" t="s">
        <v>8</v>
      </c>
      <c r="W25" s="1554">
        <f>J25</f>
        <v>100</v>
      </c>
      <c r="X25" s="1555"/>
      <c r="Y25" s="3476"/>
      <c r="Z25" s="1144">
        <f>Q25</f>
        <v>111</v>
      </c>
      <c r="AA25" s="1561">
        <f>D25/F25</f>
        <v>1</v>
      </c>
      <c r="AB25" s="1561">
        <f>D25/H25</f>
        <v>1</v>
      </c>
      <c r="AC25" s="1561">
        <f>D25/J25</f>
        <v>1</v>
      </c>
    </row>
    <row r="26" spans="1:29" ht="15">
      <c r="A26" s="2861" t="s">
        <v>2749</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77"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78" t="s">
        <v>550</v>
      </c>
      <c r="Z26" s="1560" t="str">
        <f t="shared" ref="Z26:Z36" si="15">Q26</f>
        <v>配套类型</v>
      </c>
      <c r="AA26" s="1561">
        <f t="shared" si="3"/>
        <v>1</v>
      </c>
      <c r="AB26" s="1561">
        <f t="shared" si="4"/>
        <v>1</v>
      </c>
      <c r="AC26" s="1561">
        <f t="shared" si="5"/>
        <v>1</v>
      </c>
    </row>
    <row r="27" spans="1:29" s="1333"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478"/>
      <c r="Q27" s="1589" t="str">
        <f t="shared" si="11"/>
        <v>项目停车位配比</v>
      </c>
      <c r="R27" s="1562" t="s">
        <v>8</v>
      </c>
      <c r="S27" s="1563">
        <f t="shared" si="12"/>
        <v>100</v>
      </c>
      <c r="T27" s="1562" t="s">
        <v>8</v>
      </c>
      <c r="U27" s="1563">
        <f t="shared" si="13"/>
        <v>100</v>
      </c>
      <c r="V27" s="1562" t="s">
        <v>8</v>
      </c>
      <c r="W27" s="1563">
        <f t="shared" si="14"/>
        <v>100</v>
      </c>
      <c r="X27" s="1564"/>
      <c r="Y27" s="3478"/>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78"/>
      <c r="Q28" s="1557" t="str">
        <f t="shared" si="11"/>
        <v>公共部分装修</v>
      </c>
      <c r="R28" s="1558" t="s">
        <v>8</v>
      </c>
      <c r="S28" s="1559">
        <f t="shared" si="12"/>
        <v>100</v>
      </c>
      <c r="T28" s="1558" t="s">
        <v>8</v>
      </c>
      <c r="U28" s="1559">
        <f t="shared" si="13"/>
        <v>100</v>
      </c>
      <c r="V28" s="1558" t="s">
        <v>8</v>
      </c>
      <c r="W28" s="1559">
        <f t="shared" si="14"/>
        <v>100</v>
      </c>
      <c r="X28" s="1552"/>
      <c r="Y28" s="3478"/>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478"/>
      <c r="Q29" s="1557" t="str">
        <f t="shared" si="11"/>
        <v>成新率</v>
      </c>
      <c r="R29" s="1558" t="s">
        <v>8</v>
      </c>
      <c r="S29" s="1559" t="e">
        <f t="shared" si="12"/>
        <v>#N/A</v>
      </c>
      <c r="T29" s="1558" t="s">
        <v>8</v>
      </c>
      <c r="U29" s="1559" t="e">
        <f t="shared" si="13"/>
        <v>#N/A</v>
      </c>
      <c r="V29" s="1558" t="s">
        <v>8</v>
      </c>
      <c r="W29" s="1559" t="e">
        <f t="shared" si="14"/>
        <v>#N/A</v>
      </c>
      <c r="X29" s="1552"/>
      <c r="Y29" s="3478"/>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478"/>
      <c r="Q30" s="1557" t="str">
        <f t="shared" si="11"/>
        <v>物业等级</v>
      </c>
      <c r="R30" s="1558" t="s">
        <v>8</v>
      </c>
      <c r="S30" s="1559">
        <f t="shared" si="12"/>
        <v>100</v>
      </c>
      <c r="T30" s="1558" t="s">
        <v>8</v>
      </c>
      <c r="U30" s="1559">
        <f t="shared" si="13"/>
        <v>100</v>
      </c>
      <c r="V30" s="1558" t="s">
        <v>8</v>
      </c>
      <c r="W30" s="1559">
        <f t="shared" si="14"/>
        <v>100</v>
      </c>
      <c r="X30" s="1552"/>
      <c r="Y30" s="3478"/>
      <c r="Z30" s="1560" t="str">
        <f t="shared" si="15"/>
        <v>物业等级</v>
      </c>
      <c r="AA30" s="1561">
        <f t="shared" si="3"/>
        <v>1</v>
      </c>
      <c r="AB30" s="1561">
        <f t="shared" si="4"/>
        <v>1</v>
      </c>
      <c r="AC30" s="1561">
        <f t="shared" si="5"/>
        <v>1</v>
      </c>
    </row>
    <row r="31" spans="1:29" s="1214"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478"/>
      <c r="Q31" s="1145" t="str">
        <f t="shared" si="11"/>
        <v>停车位面积</v>
      </c>
      <c r="R31" s="1553" t="s">
        <v>8</v>
      </c>
      <c r="S31" s="1554" t="e">
        <f t="shared" si="12"/>
        <v>#N/A</v>
      </c>
      <c r="T31" s="1553" t="s">
        <v>8</v>
      </c>
      <c r="U31" s="1554" t="e">
        <f t="shared" si="13"/>
        <v>#N/A</v>
      </c>
      <c r="V31" s="1553" t="s">
        <v>8</v>
      </c>
      <c r="W31" s="1554" t="e">
        <f t="shared" si="14"/>
        <v>#N/A</v>
      </c>
      <c r="X31" s="1555"/>
      <c r="Y31" s="3478"/>
      <c r="Z31" s="1144"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78" t="s">
        <v>550</v>
      </c>
      <c r="Q32" s="1557" t="str">
        <f t="shared" si="11"/>
        <v>车位类型</v>
      </c>
      <c r="R32" s="1558" t="s">
        <v>8</v>
      </c>
      <c r="S32" s="1559">
        <f t="shared" si="12"/>
        <v>100</v>
      </c>
      <c r="T32" s="1558" t="s">
        <v>8</v>
      </c>
      <c r="U32" s="1559">
        <f t="shared" si="13"/>
        <v>100</v>
      </c>
      <c r="V32" s="1558" t="s">
        <v>8</v>
      </c>
      <c r="W32" s="1559">
        <f t="shared" si="14"/>
        <v>100</v>
      </c>
      <c r="X32" s="1552"/>
      <c r="Y32" s="3478"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78"/>
      <c r="Q33" s="1557" t="str">
        <f t="shared" si="11"/>
        <v>是否直接入户</v>
      </c>
      <c r="R33" s="1558" t="s">
        <v>8</v>
      </c>
      <c r="S33" s="1559">
        <f t="shared" si="12"/>
        <v>100</v>
      </c>
      <c r="T33" s="1558" t="s">
        <v>8</v>
      </c>
      <c r="U33" s="1559">
        <f t="shared" si="13"/>
        <v>100</v>
      </c>
      <c r="V33" s="1558" t="s">
        <v>8</v>
      </c>
      <c r="W33" s="1559">
        <f t="shared" si="14"/>
        <v>100</v>
      </c>
      <c r="X33" s="1552"/>
      <c r="Y33" s="3478"/>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78"/>
      <c r="Q34" s="1557">
        <f t="shared" si="11"/>
        <v>111</v>
      </c>
      <c r="R34" s="1558" t="s">
        <v>8</v>
      </c>
      <c r="S34" s="1559">
        <f t="shared" si="12"/>
        <v>100</v>
      </c>
      <c r="T34" s="1558" t="s">
        <v>8</v>
      </c>
      <c r="U34" s="1559">
        <f t="shared" si="13"/>
        <v>100</v>
      </c>
      <c r="V34" s="1558" t="s">
        <v>8</v>
      </c>
      <c r="W34" s="1559">
        <f t="shared" si="14"/>
        <v>100</v>
      </c>
      <c r="X34" s="1552"/>
      <c r="Y34" s="3478"/>
      <c r="Z34" s="1560">
        <f t="shared" si="15"/>
        <v>111</v>
      </c>
      <c r="AA34" s="1561">
        <f t="shared" si="3"/>
        <v>1</v>
      </c>
      <c r="AB34" s="1561">
        <f t="shared" si="4"/>
        <v>1</v>
      </c>
      <c r="AC34" s="1561">
        <f t="shared" si="5"/>
        <v>1</v>
      </c>
    </row>
    <row r="35" spans="1:29" s="1333"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78"/>
      <c r="Q35" s="1589">
        <f t="shared" si="11"/>
        <v>111</v>
      </c>
      <c r="R35" s="1562" t="s">
        <v>8</v>
      </c>
      <c r="S35" s="1563">
        <f t="shared" si="12"/>
        <v>100</v>
      </c>
      <c r="T35" s="1562" t="s">
        <v>8</v>
      </c>
      <c r="U35" s="1563">
        <f t="shared" si="13"/>
        <v>100</v>
      </c>
      <c r="V35" s="1562" t="s">
        <v>8</v>
      </c>
      <c r="W35" s="1563">
        <f t="shared" si="14"/>
        <v>100</v>
      </c>
      <c r="X35" s="1564"/>
      <c r="Y35" s="3478"/>
      <c r="Z35" s="1565">
        <f t="shared" si="15"/>
        <v>111</v>
      </c>
      <c r="AA35" s="1561">
        <f t="shared" si="3"/>
        <v>1</v>
      </c>
      <c r="AB35" s="1561">
        <f t="shared" si="4"/>
        <v>1</v>
      </c>
      <c r="AC35" s="1561">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78"/>
      <c r="Q36" s="1557">
        <f t="shared" si="11"/>
        <v>111</v>
      </c>
      <c r="R36" s="1558" t="s">
        <v>8</v>
      </c>
      <c r="S36" s="1559">
        <f t="shared" si="12"/>
        <v>100</v>
      </c>
      <c r="T36" s="1558" t="s">
        <v>8</v>
      </c>
      <c r="U36" s="1559">
        <f t="shared" si="13"/>
        <v>100</v>
      </c>
      <c r="V36" s="1558" t="s">
        <v>8</v>
      </c>
      <c r="W36" s="1559">
        <f t="shared" si="14"/>
        <v>100</v>
      </c>
      <c r="X36" s="1552"/>
      <c r="Y36" s="3478"/>
      <c r="Z36" s="1560">
        <f t="shared" si="15"/>
        <v>111</v>
      </c>
      <c r="AA36" s="1561">
        <f t="shared" si="3"/>
        <v>1</v>
      </c>
      <c r="AB36" s="1561">
        <f t="shared" si="4"/>
        <v>1</v>
      </c>
      <c r="AC36" s="1561">
        <f t="shared" si="5"/>
        <v>1</v>
      </c>
    </row>
    <row r="37" spans="1:29" ht="15">
      <c r="A37" s="1830" t="s">
        <v>2073</v>
      </c>
      <c r="B37" s="1831" t="s">
        <v>2074</v>
      </c>
      <c r="C37" s="2590" t="s">
        <v>1</v>
      </c>
      <c r="D37" s="2591"/>
      <c r="E37" s="2592"/>
      <c r="F37" s="2593"/>
      <c r="G37" s="2594"/>
      <c r="H37" s="2595"/>
      <c r="I37" s="2592"/>
      <c r="J37" s="2595"/>
      <c r="K37" s="1595"/>
      <c r="L37" s="2128"/>
      <c r="M37" s="2129"/>
      <c r="N37" s="2118"/>
      <c r="O37" s="2129"/>
      <c r="P37" s="3441" t="str">
        <f>A37</f>
        <v>成交单价</v>
      </c>
      <c r="Q37" s="3441"/>
      <c r="R37" s="3523">
        <f>E37</f>
        <v>0</v>
      </c>
      <c r="S37" s="3523"/>
      <c r="T37" s="3523">
        <f>G37</f>
        <v>0</v>
      </c>
      <c r="U37" s="3523"/>
      <c r="V37" s="3523">
        <f>I37</f>
        <v>0</v>
      </c>
      <c r="W37" s="3523"/>
      <c r="X37" s="1544"/>
      <c r="Y37" s="1566"/>
      <c r="Z37" s="1544"/>
      <c r="AA37" s="1544"/>
      <c r="AB37" s="1544"/>
      <c r="AC37" s="1544"/>
    </row>
    <row r="38" spans="1:29" ht="15.75" thickBot="1">
      <c r="A38" s="615" t="s">
        <v>2754</v>
      </c>
      <c r="B38" s="887"/>
      <c r="C38" s="2596" t="e">
        <f>R39</f>
        <v>#DIV/0!</v>
      </c>
      <c r="D38" s="2597"/>
      <c r="E38" s="2598" t="e">
        <f>R38</f>
        <v>#DIV/0!</v>
      </c>
      <c r="F38" s="2598"/>
      <c r="G38" s="2596" t="e">
        <f>T38</f>
        <v>#DIV/0!</v>
      </c>
      <c r="H38" s="2597"/>
      <c r="I38" s="2598" t="e">
        <f>V38</f>
        <v>#DIV/0!</v>
      </c>
      <c r="J38" s="2597"/>
      <c r="K38" s="1596"/>
      <c r="L38" s="2128"/>
      <c r="M38" s="2129"/>
      <c r="N38" s="2129"/>
      <c r="O38" s="2129"/>
      <c r="P38" s="3441" t="str">
        <f>A38</f>
        <v>比较价格（元/平方米）</v>
      </c>
      <c r="Q38" s="3441"/>
      <c r="R38" s="3523" t="e">
        <f>IF(F1="售价",ROUND(PRODUCT(R37,AA7:AA36),0),ROUND(PRODUCT(R37,AA7:AA36),1))</f>
        <v>#DIV/0!</v>
      </c>
      <c r="S38" s="3523"/>
      <c r="T38" s="3523" t="e">
        <f>IF(F1="售价",ROUND(PRODUCT(T37,AB7:AB36),0),ROUND(PRODUCT(T37,AB7:AB36),1))</f>
        <v>#DIV/0!</v>
      </c>
      <c r="U38" s="3523"/>
      <c r="V38" s="3523" t="e">
        <f>IF(F1="售价",ROUND(PRODUCT(V37,AC7:AC36),0),ROUND(PRODUCT(V37,AC7:AC36),1))</f>
        <v>#DIV/0!</v>
      </c>
      <c r="W38" s="3523"/>
      <c r="X38" s="1544"/>
      <c r="Y38" s="1544"/>
      <c r="Z38" s="1544"/>
      <c r="AA38" s="1544"/>
      <c r="AB38" s="1544"/>
      <c r="AC38" s="1544"/>
    </row>
    <row r="39" spans="1:29" ht="15.75" thickBot="1">
      <c r="A39" s="621" t="s">
        <v>2929</v>
      </c>
      <c r="B39" s="622"/>
      <c r="C39" s="2599" t="e">
        <f>R39</f>
        <v>#DIV/0!</v>
      </c>
      <c r="D39" s="2599"/>
      <c r="E39" s="2599"/>
      <c r="F39" s="2599"/>
      <c r="G39" s="2599"/>
      <c r="H39" s="2599"/>
      <c r="I39" s="2599"/>
      <c r="J39" s="2599"/>
      <c r="K39" s="1597"/>
      <c r="L39" s="2128"/>
      <c r="M39" s="2129"/>
      <c r="N39" s="2129"/>
      <c r="O39" s="2129"/>
      <c r="P39" s="3438" t="str">
        <f>A39</f>
        <v>估价对象XX用房的比较价格（楼面单价，元/平方米）</v>
      </c>
      <c r="Q39" s="3439"/>
      <c r="R39" s="3522" t="e">
        <f>IF(F1="售价",ROUND(AVERAGE(R38:V38),0),ROUND(AVERAGE(R38:V38),1))</f>
        <v>#DIV/0!</v>
      </c>
      <c r="S39" s="3522"/>
      <c r="T39" s="3522"/>
      <c r="U39" s="3522"/>
      <c r="V39" s="3522"/>
      <c r="W39" s="3522"/>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5" t="s">
        <v>529</v>
      </c>
      <c r="B48" s="646"/>
      <c r="C48" s="2756" t="str">
        <f>YEAR(C7)&amp;"-"&amp;MONTH(C7)</f>
        <v>2020-6</v>
      </c>
      <c r="D48" s="2758">
        <f>EDATE(C48,-1)</f>
        <v>43952</v>
      </c>
      <c r="E48" s="2758">
        <f t="shared" ref="E48:O48" si="16">EDATE(D48,-1)</f>
        <v>43922</v>
      </c>
      <c r="F48" s="2758">
        <f t="shared" si="16"/>
        <v>43891</v>
      </c>
      <c r="G48" s="2758">
        <f t="shared" si="16"/>
        <v>43862</v>
      </c>
      <c r="H48" s="2758">
        <f t="shared" si="16"/>
        <v>43831</v>
      </c>
      <c r="I48" s="2758">
        <f t="shared" si="16"/>
        <v>43800</v>
      </c>
      <c r="J48" s="2758">
        <f t="shared" si="16"/>
        <v>43770</v>
      </c>
      <c r="K48" s="2758">
        <f t="shared" si="16"/>
        <v>43739</v>
      </c>
      <c r="L48" s="2758">
        <f t="shared" si="16"/>
        <v>43709</v>
      </c>
      <c r="M48" s="2758">
        <f t="shared" si="16"/>
        <v>43678</v>
      </c>
      <c r="N48" s="2758">
        <f t="shared" si="16"/>
        <v>43647</v>
      </c>
      <c r="O48" s="2758">
        <f t="shared" si="16"/>
        <v>43617</v>
      </c>
      <c r="P48" s="2144"/>
      <c r="Q48" s="2145"/>
      <c r="R48" s="2145"/>
      <c r="S48" s="2145"/>
      <c r="T48" s="2145"/>
      <c r="U48" s="2145"/>
      <c r="V48" s="2145"/>
      <c r="W48" s="2145"/>
      <c r="X48" s="2145"/>
      <c r="Y48" s="2145"/>
      <c r="Z48" s="2145"/>
      <c r="AA48" s="2145"/>
      <c r="AB48" s="2145"/>
      <c r="AC48" s="2145"/>
    </row>
    <row r="49" spans="1:29" s="1214"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4"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4"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2552</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2553</v>
      </c>
      <c r="C67" s="2561" t="s">
        <v>2554</v>
      </c>
      <c r="D67" s="2561" t="s">
        <v>2555</v>
      </c>
      <c r="E67" s="2561" t="s">
        <v>2556</v>
      </c>
      <c r="F67" s="2561" t="s">
        <v>2557</v>
      </c>
      <c r="G67" s="2561" t="s">
        <v>2558</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3" priority="14" stopIfTrue="1" operator="containsText" text="超过">
      <formula>NOT(ISERROR(SEARCH("超过",F42)))</formula>
    </cfRule>
  </conditionalFormatting>
  <conditionalFormatting sqref="J44">
    <cfRule type="containsText" dxfId="32" priority="13" stopIfTrue="1" operator="containsText" text="超过">
      <formula>NOT(ISERROR(SEARCH("超过",J44)))</formula>
    </cfRule>
  </conditionalFormatting>
  <conditionalFormatting sqref="H44">
    <cfRule type="containsText" dxfId="31" priority="12" stopIfTrue="1" operator="containsText" text="超过">
      <formula>NOT(ISERROR(SEARCH("超过",H44)))</formula>
    </cfRule>
  </conditionalFormatting>
  <conditionalFormatting sqref="F44">
    <cfRule type="containsText" dxfId="30" priority="11" stopIfTrue="1" operator="containsText" text="超过">
      <formula>NOT(ISERROR(SEARCH("超过",F44)))</formula>
    </cfRule>
  </conditionalFormatting>
  <conditionalFormatting sqref="F43 H43 J43">
    <cfRule type="containsText" dxfId="29" priority="10" stopIfTrue="1" operator="containsText" text="超过">
      <formula>NOT(ISERROR(SEARCH("超过",F43)))</formula>
    </cfRule>
  </conditionalFormatting>
  <conditionalFormatting sqref="E42">
    <cfRule type="expression" dxfId="28" priority="9" stopIfTrue="1">
      <formula>$F$42="超过30%"</formula>
    </cfRule>
  </conditionalFormatting>
  <conditionalFormatting sqref="G44">
    <cfRule type="expression" dxfId="27" priority="8" stopIfTrue="1">
      <formula>$H$54+$H$44="超过30%"</formula>
    </cfRule>
  </conditionalFormatting>
  <conditionalFormatting sqref="E43">
    <cfRule type="expression" dxfId="26" priority="7" stopIfTrue="1">
      <formula>$F$43="超过20%"</formula>
    </cfRule>
  </conditionalFormatting>
  <conditionalFormatting sqref="E44">
    <cfRule type="expression" dxfId="25" priority="6" stopIfTrue="1">
      <formula>$F$44="超过30%"</formula>
    </cfRule>
  </conditionalFormatting>
  <conditionalFormatting sqref="G42">
    <cfRule type="expression" dxfId="24" priority="5" stopIfTrue="1">
      <formula>$H$52+$H$42="超过30%"</formula>
    </cfRule>
  </conditionalFormatting>
  <conditionalFormatting sqref="G43">
    <cfRule type="expression" dxfId="23" priority="4" stopIfTrue="1">
      <formula>$H$43="超过20%"</formula>
    </cfRule>
  </conditionalFormatting>
  <conditionalFormatting sqref="I42">
    <cfRule type="expression" dxfId="22" priority="3" stopIfTrue="1">
      <formula>$J$52+$J$42="超过30%"</formula>
    </cfRule>
  </conditionalFormatting>
  <conditionalFormatting sqref="I43">
    <cfRule type="expression" dxfId="21" priority="2" stopIfTrue="1">
      <formula>$J$53+$J$43="超过20%"</formula>
    </cfRule>
  </conditionalFormatting>
  <conditionalFormatting sqref="I44">
    <cfRule type="expression" dxfId="2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8"/>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47" t="s">
        <v>798</v>
      </c>
      <c r="D4" s="3448"/>
      <c r="E4" s="3481" t="s">
        <v>799</v>
      </c>
      <c r="F4" s="3482"/>
      <c r="G4" s="3447" t="s">
        <v>800</v>
      </c>
      <c r="H4" s="3448"/>
      <c r="I4" s="3447" t="s">
        <v>801</v>
      </c>
      <c r="J4" s="3448"/>
      <c r="K4" s="514" t="s">
        <v>802</v>
      </c>
      <c r="L4" s="2117"/>
      <c r="M4" s="2118"/>
      <c r="N4" s="2118"/>
      <c r="O4" s="2118"/>
      <c r="P4" s="3449" t="s">
        <v>803</v>
      </c>
      <c r="Q4" s="3450"/>
      <c r="R4" s="3455" t="s">
        <v>799</v>
      </c>
      <c r="S4" s="3456"/>
      <c r="T4" s="3455" t="s">
        <v>800</v>
      </c>
      <c r="U4" s="3456"/>
      <c r="V4" s="3442" t="s">
        <v>801</v>
      </c>
      <c r="W4" s="3442"/>
      <c r="X4" s="1552"/>
      <c r="Y4" s="3455" t="s">
        <v>803</v>
      </c>
      <c r="Z4" s="3456"/>
      <c r="AA4" s="3444" t="s">
        <v>799</v>
      </c>
      <c r="AB4" s="3445" t="s">
        <v>800</v>
      </c>
      <c r="AC4" s="3444" t="s">
        <v>801</v>
      </c>
    </row>
    <row r="5" spans="1:29" ht="15">
      <c r="A5" s="515"/>
      <c r="B5" s="516"/>
      <c r="C5" s="3463" t="s">
        <v>2923</v>
      </c>
      <c r="D5" s="3464"/>
      <c r="E5" s="3483" t="s">
        <v>2924</v>
      </c>
      <c r="F5" s="3484"/>
      <c r="G5" s="3463" t="s">
        <v>2925</v>
      </c>
      <c r="H5" s="3464"/>
      <c r="I5" s="3463" t="s">
        <v>2926</v>
      </c>
      <c r="J5" s="3464"/>
      <c r="K5" s="514"/>
      <c r="L5" s="2117"/>
      <c r="M5" s="2118"/>
      <c r="N5" s="2118"/>
      <c r="O5" s="2118"/>
      <c r="P5" s="3451"/>
      <c r="Q5" s="3452"/>
      <c r="R5" s="3457"/>
      <c r="S5" s="3458"/>
      <c r="T5" s="3457"/>
      <c r="U5" s="3458"/>
      <c r="V5" s="3442"/>
      <c r="W5" s="3442"/>
      <c r="X5" s="1552"/>
      <c r="Y5" s="3457"/>
      <c r="Z5" s="3458"/>
      <c r="AA5" s="3445"/>
      <c r="AB5" s="3445"/>
      <c r="AC5" s="3445"/>
    </row>
    <row r="6" spans="1:29" ht="15.75" thickBot="1">
      <c r="A6" s="517"/>
      <c r="B6" s="518"/>
      <c r="C6" s="3461" t="s">
        <v>2927</v>
      </c>
      <c r="D6" s="3462"/>
      <c r="E6" s="3479" t="s">
        <v>2927</v>
      </c>
      <c r="F6" s="3480"/>
      <c r="G6" s="3461" t="s">
        <v>2927</v>
      </c>
      <c r="H6" s="3462"/>
      <c r="I6" s="3461" t="s">
        <v>2927</v>
      </c>
      <c r="J6" s="3462"/>
      <c r="K6" s="514" t="s">
        <v>528</v>
      </c>
      <c r="L6" s="2117"/>
      <c r="M6" s="2118"/>
      <c r="N6" s="2118"/>
      <c r="O6" s="2118"/>
      <c r="P6" s="3453"/>
      <c r="Q6" s="3454"/>
      <c r="R6" s="3457"/>
      <c r="S6" s="3458"/>
      <c r="T6" s="3459"/>
      <c r="U6" s="3460"/>
      <c r="V6" s="3442"/>
      <c r="W6" s="3442"/>
      <c r="X6" s="1552"/>
      <c r="Y6" s="3459"/>
      <c r="Z6" s="3460"/>
      <c r="AA6" s="3446"/>
      <c r="AB6" s="3446"/>
      <c r="AC6" s="3446"/>
    </row>
    <row r="7" spans="1:29" s="1214" customFormat="1" ht="15.75" thickBot="1">
      <c r="A7" s="2866"/>
      <c r="B7" s="2873" t="s">
        <v>529</v>
      </c>
      <c r="C7" s="519">
        <f>'数据-取费表'!B2</f>
        <v>44001</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72" t="s">
        <v>530</v>
      </c>
      <c r="Q7" s="3474"/>
      <c r="R7" s="1553" t="s">
        <v>8</v>
      </c>
      <c r="S7" s="1554">
        <f t="shared" ref="S7:S14" si="0">F7</f>
        <v>0</v>
      </c>
      <c r="T7" s="1553" t="s">
        <v>8</v>
      </c>
      <c r="U7" s="1554">
        <f t="shared" ref="U7:U14" si="1">H7</f>
        <v>0</v>
      </c>
      <c r="V7" s="1553" t="s">
        <v>8</v>
      </c>
      <c r="W7" s="1554">
        <f t="shared" ref="W7:W14" si="2">J7</f>
        <v>0</v>
      </c>
      <c r="X7" s="1555"/>
      <c r="Y7" s="3472" t="s">
        <v>530</v>
      </c>
      <c r="Z7" s="3473"/>
      <c r="AA7" s="1556" t="e">
        <f>D7/F7</f>
        <v>#DIV/0!</v>
      </c>
      <c r="AB7" s="1556" t="e">
        <f>D7/H7</f>
        <v>#DIV/0!</v>
      </c>
      <c r="AC7" s="1556" t="e">
        <f>D7/J7</f>
        <v>#DIV/0!</v>
      </c>
    </row>
    <row r="8" spans="1:29" s="1214"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72" t="s">
        <v>533</v>
      </c>
      <c r="Q8" s="3473"/>
      <c r="R8" s="1553" t="s">
        <v>8</v>
      </c>
      <c r="S8" s="1554">
        <f t="shared" si="0"/>
        <v>0</v>
      </c>
      <c r="T8" s="1553" t="s">
        <v>8</v>
      </c>
      <c r="U8" s="1554">
        <f t="shared" si="1"/>
        <v>0</v>
      </c>
      <c r="V8" s="1553" t="s">
        <v>8</v>
      </c>
      <c r="W8" s="1554">
        <f t="shared" si="2"/>
        <v>0</v>
      </c>
      <c r="X8" s="1555"/>
      <c r="Y8" s="3472" t="s">
        <v>533</v>
      </c>
      <c r="Z8" s="3473"/>
      <c r="AA8" s="1556" t="e">
        <f t="shared" ref="AA8:AA34" si="3">D8/F8</f>
        <v>#DIV/0!</v>
      </c>
      <c r="AB8" s="1556" t="e">
        <f t="shared" ref="AB8:AB34" si="4">D8/H8</f>
        <v>#DIV/0!</v>
      </c>
      <c r="AC8" s="1556" t="e">
        <f t="shared" ref="AC8:AC34" si="5">D8/J8</f>
        <v>#DIV/0!</v>
      </c>
    </row>
    <row r="9" spans="1:29" s="1214" customFormat="1" ht="15">
      <c r="A9" s="2868"/>
      <c r="B9" s="2875" t="s">
        <v>2750</v>
      </c>
      <c r="C9" s="856"/>
      <c r="D9" s="254">
        <v>100</v>
      </c>
      <c r="E9" s="859"/>
      <c r="F9" s="254">
        <f>SUMIF(51:51,E9,52:52)-SUMIF(51:51,C9,52:52)+100</f>
        <v>100</v>
      </c>
      <c r="G9" s="859"/>
      <c r="H9" s="254">
        <f>SUMIF(51:51,G9,52:52)-SUMIF(51:51,C9,52:52)+100</f>
        <v>100</v>
      </c>
      <c r="I9" s="859"/>
      <c r="J9" s="254">
        <f>SUMIF(51:51,I9,52:52)-SUMIF(51:51,C9,52:52)+100</f>
        <v>100</v>
      </c>
      <c r="K9" s="524"/>
      <c r="L9" s="2119"/>
      <c r="M9" s="2120"/>
      <c r="N9" s="2120"/>
      <c r="O9" s="2121"/>
      <c r="P9" s="3441" t="s">
        <v>535</v>
      </c>
      <c r="Q9" s="1145" t="str">
        <f t="shared" ref="Q9:Q14" si="6">B9</f>
        <v>用途</v>
      </c>
      <c r="R9" s="1553" t="s">
        <v>8</v>
      </c>
      <c r="S9" s="1554">
        <f t="shared" si="0"/>
        <v>100</v>
      </c>
      <c r="T9" s="1553" t="s">
        <v>8</v>
      </c>
      <c r="U9" s="1554">
        <f t="shared" si="1"/>
        <v>100</v>
      </c>
      <c r="V9" s="1553" t="s">
        <v>8</v>
      </c>
      <c r="W9" s="1554">
        <f t="shared" si="2"/>
        <v>100</v>
      </c>
      <c r="X9" s="1555"/>
      <c r="Y9" s="3361" t="s">
        <v>536</v>
      </c>
      <c r="Z9" s="1144" t="str">
        <f t="shared" ref="Z9:Z14" si="7">Q9</f>
        <v>用途</v>
      </c>
      <c r="AA9" s="1556">
        <f t="shared" si="3"/>
        <v>1</v>
      </c>
      <c r="AB9" s="1556">
        <f t="shared" si="4"/>
        <v>1</v>
      </c>
      <c r="AC9" s="1556">
        <f t="shared" si="5"/>
        <v>1</v>
      </c>
    </row>
    <row r="10" spans="1:29" s="1332" customFormat="1" ht="27">
      <c r="A10" s="2869"/>
      <c r="B10" s="2874" t="s">
        <v>2751</v>
      </c>
      <c r="C10" s="860"/>
      <c r="D10" s="255">
        <v>100</v>
      </c>
      <c r="E10" s="860"/>
      <c r="F10" s="255">
        <f>SUMIF(53:53,E10,54:54)-SUMIF(53:53,C10,54:54)+100</f>
        <v>100</v>
      </c>
      <c r="G10" s="861"/>
      <c r="H10" s="255">
        <f>SUMIF(53:53,G10,54:54)-SUMIF(53:53,C10,54:54)+100</f>
        <v>100</v>
      </c>
      <c r="I10" s="860"/>
      <c r="J10" s="255">
        <f>SUMIF(53:53,I10,54:54)-SUMIF(53:53,C10,54:54)+100</f>
        <v>100</v>
      </c>
      <c r="K10" s="584"/>
      <c r="L10" s="2122"/>
      <c r="M10" s="2162"/>
      <c r="N10" s="2162"/>
      <c r="O10" s="2123"/>
      <c r="P10" s="3441"/>
      <c r="Q10" s="1145" t="str">
        <f t="shared" si="6"/>
        <v>土地使用年限（年）</v>
      </c>
      <c r="R10" s="1553" t="s">
        <v>8</v>
      </c>
      <c r="S10" s="1554">
        <f t="shared" si="0"/>
        <v>100</v>
      </c>
      <c r="T10" s="1553" t="s">
        <v>8</v>
      </c>
      <c r="U10" s="1554">
        <f t="shared" si="1"/>
        <v>100</v>
      </c>
      <c r="V10" s="1553" t="s">
        <v>8</v>
      </c>
      <c r="W10" s="1554">
        <f t="shared" si="2"/>
        <v>100</v>
      </c>
      <c r="X10" s="1555"/>
      <c r="Y10" s="3361"/>
      <c r="Z10" s="1144" t="str">
        <f t="shared" si="7"/>
        <v>土地使用年限（年）</v>
      </c>
      <c r="AA10" s="1556">
        <f t="shared" si="3"/>
        <v>1</v>
      </c>
      <c r="AB10" s="1556">
        <f t="shared" si="4"/>
        <v>1</v>
      </c>
      <c r="AC10" s="1556">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441"/>
      <c r="Q11" s="1145">
        <f t="shared" si="6"/>
        <v>111</v>
      </c>
      <c r="R11" s="1553" t="s">
        <v>8</v>
      </c>
      <c r="S11" s="1554">
        <f t="shared" si="0"/>
        <v>100</v>
      </c>
      <c r="T11" s="1553" t="s">
        <v>8</v>
      </c>
      <c r="U11" s="1554">
        <f t="shared" si="1"/>
        <v>100</v>
      </c>
      <c r="V11" s="1553" t="s">
        <v>8</v>
      </c>
      <c r="W11" s="1554">
        <f t="shared" si="2"/>
        <v>100</v>
      </c>
      <c r="X11" s="1555"/>
      <c r="Y11" s="3361"/>
      <c r="Z11" s="1144">
        <f t="shared" si="7"/>
        <v>111</v>
      </c>
      <c r="AA11" s="1556">
        <f t="shared" si="3"/>
        <v>1</v>
      </c>
      <c r="AB11" s="1556">
        <f t="shared" si="4"/>
        <v>1</v>
      </c>
      <c r="AC11" s="1556">
        <f t="shared" si="5"/>
        <v>1</v>
      </c>
    </row>
    <row r="12" spans="1:29" s="1214"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441"/>
      <c r="Q12" s="1145">
        <f t="shared" si="6"/>
        <v>111</v>
      </c>
      <c r="R12" s="1553" t="s">
        <v>8</v>
      </c>
      <c r="S12" s="1554">
        <f t="shared" si="0"/>
        <v>100</v>
      </c>
      <c r="T12" s="1553" t="s">
        <v>8</v>
      </c>
      <c r="U12" s="1554">
        <f t="shared" si="1"/>
        <v>100</v>
      </c>
      <c r="V12" s="1553" t="s">
        <v>8</v>
      </c>
      <c r="W12" s="1554">
        <f t="shared" si="2"/>
        <v>100</v>
      </c>
      <c r="X12" s="1555"/>
      <c r="Y12" s="3361"/>
      <c r="Z12" s="1144">
        <f t="shared" si="7"/>
        <v>111</v>
      </c>
      <c r="AA12" s="1556">
        <f>D12/F12</f>
        <v>1</v>
      </c>
      <c r="AB12" s="1556">
        <f>D12/H12</f>
        <v>1</v>
      </c>
      <c r="AC12" s="1556">
        <f>D12/J12</f>
        <v>1</v>
      </c>
    </row>
    <row r="13" spans="1:29" ht="15.75"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441"/>
      <c r="Q13" s="1145">
        <f t="shared" si="6"/>
        <v>111</v>
      </c>
      <c r="R13" s="1553" t="s">
        <v>8</v>
      </c>
      <c r="S13" s="1554">
        <f t="shared" si="0"/>
        <v>100</v>
      </c>
      <c r="T13" s="1553" t="s">
        <v>8</v>
      </c>
      <c r="U13" s="1554">
        <f t="shared" si="1"/>
        <v>100</v>
      </c>
      <c r="V13" s="1553" t="s">
        <v>8</v>
      </c>
      <c r="W13" s="1554">
        <f t="shared" si="2"/>
        <v>100</v>
      </c>
      <c r="X13" s="1555"/>
      <c r="Y13" s="3361"/>
      <c r="Z13" s="1144">
        <f t="shared" si="7"/>
        <v>111</v>
      </c>
      <c r="AA13" s="1556">
        <f t="shared" si="3"/>
        <v>1</v>
      </c>
      <c r="AB13" s="1556">
        <f t="shared" si="4"/>
        <v>1</v>
      </c>
      <c r="AC13" s="1556">
        <f t="shared" si="5"/>
        <v>1</v>
      </c>
    </row>
    <row r="14" spans="1:29" ht="85.5">
      <c r="A14" s="2864" t="s">
        <v>2748</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475" t="s">
        <v>540</v>
      </c>
      <c r="Q14" s="1557" t="str">
        <f t="shared" si="6"/>
        <v>交通便捷度</v>
      </c>
      <c r="R14" s="1558" t="s">
        <v>8</v>
      </c>
      <c r="S14" s="1559">
        <f t="shared" si="0"/>
        <v>100</v>
      </c>
      <c r="T14" s="1558" t="s">
        <v>8</v>
      </c>
      <c r="U14" s="1559">
        <f t="shared" si="1"/>
        <v>100</v>
      </c>
      <c r="V14" s="1558" t="s">
        <v>8</v>
      </c>
      <c r="W14" s="1559">
        <f t="shared" si="2"/>
        <v>100</v>
      </c>
      <c r="X14" s="1552"/>
      <c r="Y14" s="3475" t="s">
        <v>540</v>
      </c>
      <c r="Z14" s="1560" t="str">
        <f t="shared" si="7"/>
        <v>交通便捷度</v>
      </c>
      <c r="AA14" s="1561">
        <f t="shared" si="3"/>
        <v>1</v>
      </c>
      <c r="AB14" s="1561">
        <f t="shared" si="4"/>
        <v>1</v>
      </c>
      <c r="AC14" s="1561">
        <f t="shared" si="5"/>
        <v>1</v>
      </c>
    </row>
    <row r="15" spans="1:29" ht="15">
      <c r="A15" s="532"/>
      <c r="B15" s="868"/>
      <c r="C15" s="576"/>
      <c r="D15" s="555"/>
      <c r="E15" s="576"/>
      <c r="F15" s="557"/>
      <c r="G15" s="576"/>
      <c r="H15" s="559"/>
      <c r="I15" s="576"/>
      <c r="J15" s="555"/>
      <c r="K15" s="898"/>
      <c r="L15" s="2126"/>
      <c r="M15" s="2118"/>
      <c r="N15" s="2118"/>
      <c r="O15" s="2125"/>
      <c r="P15" s="3476"/>
      <c r="Q15" s="1557"/>
      <c r="R15" s="1558"/>
      <c r="S15" s="1559"/>
      <c r="T15" s="1558"/>
      <c r="U15" s="1559"/>
      <c r="V15" s="1558"/>
      <c r="W15" s="1559"/>
      <c r="X15" s="1552"/>
      <c r="Y15" s="3476"/>
      <c r="Z15" s="1560"/>
      <c r="AA15" s="1561">
        <v>1</v>
      </c>
      <c r="AB15" s="1561">
        <v>1</v>
      </c>
      <c r="AC15" s="1561">
        <v>1</v>
      </c>
    </row>
    <row r="16" spans="1:29" ht="42.75">
      <c r="A16" s="532"/>
      <c r="B16" s="2566" t="s">
        <v>2541</v>
      </c>
      <c r="C16" s="871"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476"/>
      <c r="Q16" s="1557" t="str">
        <f>B16</f>
        <v>公共配套设施</v>
      </c>
      <c r="R16" s="1558" t="s">
        <v>8</v>
      </c>
      <c r="S16" s="1559">
        <f>F16</f>
        <v>100</v>
      </c>
      <c r="T16" s="1558" t="s">
        <v>8</v>
      </c>
      <c r="U16" s="1559">
        <f>H16</f>
        <v>100</v>
      </c>
      <c r="V16" s="1558" t="s">
        <v>8</v>
      </c>
      <c r="W16" s="1559">
        <f>J16</f>
        <v>100</v>
      </c>
      <c r="X16" s="1552"/>
      <c r="Y16" s="3476"/>
      <c r="Z16" s="1560" t="str">
        <f>Q16</f>
        <v>公共配套设施</v>
      </c>
      <c r="AA16" s="1561">
        <f t="shared" si="3"/>
        <v>1</v>
      </c>
      <c r="AB16" s="1561">
        <f t="shared" si="4"/>
        <v>1</v>
      </c>
      <c r="AC16" s="1561">
        <f t="shared" si="5"/>
        <v>1</v>
      </c>
    </row>
    <row r="17" spans="1:29" ht="15">
      <c r="A17" s="532"/>
      <c r="B17" s="566"/>
      <c r="C17" s="872"/>
      <c r="D17" s="555"/>
      <c r="E17" s="576"/>
      <c r="F17" s="557"/>
      <c r="G17" s="576"/>
      <c r="H17" s="555"/>
      <c r="I17" s="576"/>
      <c r="J17" s="555"/>
      <c r="K17" s="898"/>
      <c r="L17" s="2126"/>
      <c r="M17" s="2118"/>
      <c r="N17" s="2118"/>
      <c r="O17" s="2125"/>
      <c r="P17" s="3476"/>
      <c r="Q17" s="1557"/>
      <c r="R17" s="1558"/>
      <c r="S17" s="1559"/>
      <c r="T17" s="1558"/>
      <c r="U17" s="1559"/>
      <c r="V17" s="1558"/>
      <c r="W17" s="1559"/>
      <c r="X17" s="1552"/>
      <c r="Y17" s="3476"/>
      <c r="Z17" s="1560"/>
      <c r="AA17" s="1561">
        <v>1</v>
      </c>
      <c r="AB17" s="1561">
        <v>1</v>
      </c>
      <c r="AC17" s="1561">
        <v>1</v>
      </c>
    </row>
    <row r="18" spans="1:29" ht="28.5">
      <c r="A18" s="532"/>
      <c r="B18" s="2554" t="s">
        <v>2553</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476"/>
      <c r="Q18" s="2542" t="str">
        <f>B18</f>
        <v>基础设施水平</v>
      </c>
      <c r="R18" s="1558" t="s">
        <v>8</v>
      </c>
      <c r="S18" s="1559">
        <f>F18</f>
        <v>100</v>
      </c>
      <c r="T18" s="1558" t="s">
        <v>8</v>
      </c>
      <c r="U18" s="1559">
        <f>H18</f>
        <v>100</v>
      </c>
      <c r="V18" s="1558" t="s">
        <v>8</v>
      </c>
      <c r="W18" s="1559">
        <f>J18</f>
        <v>100</v>
      </c>
      <c r="X18" s="2544"/>
      <c r="Y18" s="3476"/>
      <c r="Z18" s="2543" t="str">
        <f>Q18</f>
        <v>基础设施水平</v>
      </c>
      <c r="AA18" s="1561">
        <f t="shared" ref="AA18" si="8">D18/F18</f>
        <v>1</v>
      </c>
      <c r="AB18" s="1561">
        <f t="shared" ref="AB18" si="9">D18/H18</f>
        <v>1</v>
      </c>
      <c r="AC18" s="1561">
        <f t="shared" ref="AC18" si="10">D18/J18</f>
        <v>1</v>
      </c>
    </row>
    <row r="19" spans="1:29" ht="15">
      <c r="A19" s="532"/>
      <c r="B19" s="578"/>
      <c r="C19" s="872"/>
      <c r="D19" s="559"/>
      <c r="E19" s="872"/>
      <c r="F19" s="563"/>
      <c r="G19" s="872"/>
      <c r="H19" s="555"/>
      <c r="I19" s="576"/>
      <c r="J19" s="555"/>
      <c r="K19" s="2565"/>
      <c r="L19" s="2126"/>
      <c r="M19" s="2118"/>
      <c r="N19" s="2118"/>
      <c r="O19" s="2125"/>
      <c r="P19" s="3476"/>
      <c r="Q19" s="2542"/>
      <c r="R19" s="1558"/>
      <c r="S19" s="1559"/>
      <c r="T19" s="1558"/>
      <c r="U19" s="1559"/>
      <c r="V19" s="1558"/>
      <c r="W19" s="1559"/>
      <c r="X19" s="2544"/>
      <c r="Y19" s="3476"/>
      <c r="Z19" s="2543"/>
      <c r="AA19" s="1561">
        <v>1</v>
      </c>
      <c r="AB19" s="1561">
        <v>1</v>
      </c>
      <c r="AC19" s="1561">
        <v>1</v>
      </c>
    </row>
    <row r="20" spans="1:29" ht="57">
      <c r="A20" s="532"/>
      <c r="B20" s="870" t="s">
        <v>804</v>
      </c>
      <c r="C20" s="871"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476"/>
      <c r="Q20" s="1557" t="str">
        <f>B20</f>
        <v>自然及人文环境</v>
      </c>
      <c r="R20" s="1558" t="s">
        <v>8</v>
      </c>
      <c r="S20" s="1559">
        <f>F20</f>
        <v>100</v>
      </c>
      <c r="T20" s="1558" t="s">
        <v>8</v>
      </c>
      <c r="U20" s="1559">
        <f>H20</f>
        <v>100</v>
      </c>
      <c r="V20" s="1558" t="s">
        <v>8</v>
      </c>
      <c r="W20" s="1559">
        <f>J20</f>
        <v>100</v>
      </c>
      <c r="X20" s="1552"/>
      <c r="Y20" s="3476"/>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476"/>
      <c r="Q21" s="1557"/>
      <c r="R21" s="1558"/>
      <c r="S21" s="1559"/>
      <c r="T21" s="1558"/>
      <c r="U21" s="1559"/>
      <c r="V21" s="1558"/>
      <c r="W21" s="1559"/>
      <c r="X21" s="1552"/>
      <c r="Y21" s="3476"/>
      <c r="Z21" s="1560"/>
      <c r="AA21" s="1561">
        <v>1</v>
      </c>
      <c r="AB21" s="1561">
        <v>1</v>
      </c>
      <c r="AC21" s="1561">
        <v>1</v>
      </c>
    </row>
    <row r="22" spans="1:29" ht="15">
      <c r="A22" s="532"/>
      <c r="B22" s="870"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76"/>
      <c r="Q22" s="1557" t="str">
        <f>B22</f>
        <v>楼层</v>
      </c>
      <c r="R22" s="1558" t="s">
        <v>8</v>
      </c>
      <c r="S22" s="1559">
        <f>F22</f>
        <v>100</v>
      </c>
      <c r="T22" s="1558" t="s">
        <v>8</v>
      </c>
      <c r="U22" s="1559">
        <f>H22</f>
        <v>100</v>
      </c>
      <c r="V22" s="1558" t="s">
        <v>8</v>
      </c>
      <c r="W22" s="1559">
        <f>J22</f>
        <v>100</v>
      </c>
      <c r="X22" s="1552"/>
      <c r="Y22" s="3476"/>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76"/>
      <c r="Q23" s="1557">
        <f>B23</f>
        <v>111</v>
      </c>
      <c r="R23" s="1558" t="s">
        <v>8</v>
      </c>
      <c r="S23" s="1559">
        <f>F23</f>
        <v>100</v>
      </c>
      <c r="T23" s="1558" t="s">
        <v>8</v>
      </c>
      <c r="U23" s="1559">
        <f>H23</f>
        <v>100</v>
      </c>
      <c r="V23" s="1558" t="s">
        <v>8</v>
      </c>
      <c r="W23" s="1559">
        <f>J23</f>
        <v>100</v>
      </c>
      <c r="X23" s="1552"/>
      <c r="Y23" s="3476"/>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76"/>
      <c r="Q24" s="1557">
        <f t="shared" ref="Q24:Q34" si="11">B24</f>
        <v>111</v>
      </c>
      <c r="R24" s="1558" t="s">
        <v>8</v>
      </c>
      <c r="S24" s="1559">
        <f>F24</f>
        <v>100</v>
      </c>
      <c r="T24" s="1558" t="s">
        <v>8</v>
      </c>
      <c r="U24" s="1559">
        <f>H24</f>
        <v>100</v>
      </c>
      <c r="V24" s="1558" t="s">
        <v>8</v>
      </c>
      <c r="W24" s="1559">
        <f>J24</f>
        <v>100</v>
      </c>
      <c r="X24" s="1552"/>
      <c r="Y24" s="3476"/>
      <c r="Z24" s="1560">
        <f>Q24</f>
        <v>111</v>
      </c>
      <c r="AA24" s="1561">
        <f t="shared" si="3"/>
        <v>1</v>
      </c>
      <c r="AB24" s="1561">
        <f t="shared" si="4"/>
        <v>1</v>
      </c>
      <c r="AC24" s="1561">
        <f t="shared" si="5"/>
        <v>1</v>
      </c>
    </row>
    <row r="25" spans="1:29" s="1214"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476"/>
      <c r="Q25" s="1145">
        <f t="shared" si="11"/>
        <v>111</v>
      </c>
      <c r="R25" s="1553" t="s">
        <v>8</v>
      </c>
      <c r="S25" s="1554">
        <f>F25</f>
        <v>100</v>
      </c>
      <c r="T25" s="1553" t="s">
        <v>8</v>
      </c>
      <c r="U25" s="1554">
        <f>H25</f>
        <v>100</v>
      </c>
      <c r="V25" s="1553" t="s">
        <v>8</v>
      </c>
      <c r="W25" s="1554">
        <f>J25</f>
        <v>100</v>
      </c>
      <c r="X25" s="1555"/>
      <c r="Y25" s="3476"/>
      <c r="Z25" s="1144">
        <f>Q25</f>
        <v>111</v>
      </c>
      <c r="AA25" s="1561">
        <f>D25/F25</f>
        <v>1</v>
      </c>
      <c r="AB25" s="1561">
        <f>D25/H25</f>
        <v>1</v>
      </c>
      <c r="AC25" s="1561">
        <f>D25/J25</f>
        <v>1</v>
      </c>
    </row>
    <row r="26" spans="1:29" ht="15">
      <c r="A26" s="2861" t="s">
        <v>2749</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477"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78" t="s">
        <v>821</v>
      </c>
      <c r="Z26" s="1560" t="str">
        <f t="shared" ref="Z26:Z34" si="15">Q26</f>
        <v>公共部分装修</v>
      </c>
      <c r="AA26" s="1561">
        <f t="shared" si="3"/>
        <v>1</v>
      </c>
      <c r="AB26" s="1561">
        <f t="shared" si="4"/>
        <v>1</v>
      </c>
      <c r="AC26" s="1561">
        <f t="shared" si="5"/>
        <v>1</v>
      </c>
    </row>
    <row r="27" spans="1:29" s="1333"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478"/>
      <c r="Q27" s="1589" t="str">
        <f t="shared" si="11"/>
        <v>成新率</v>
      </c>
      <c r="R27" s="1562" t="s">
        <v>8</v>
      </c>
      <c r="S27" s="1563" t="e">
        <f t="shared" si="12"/>
        <v>#N/A</v>
      </c>
      <c r="T27" s="1562" t="s">
        <v>8</v>
      </c>
      <c r="U27" s="1563" t="e">
        <f t="shared" si="13"/>
        <v>#N/A</v>
      </c>
      <c r="V27" s="1562" t="s">
        <v>8</v>
      </c>
      <c r="W27" s="1563" t="e">
        <f t="shared" si="14"/>
        <v>#N/A</v>
      </c>
      <c r="X27" s="1564"/>
      <c r="Y27" s="3478"/>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78"/>
      <c r="Q28" s="1557" t="str">
        <f t="shared" si="11"/>
        <v>物业等级</v>
      </c>
      <c r="R28" s="1558" t="s">
        <v>8</v>
      </c>
      <c r="S28" s="1559">
        <f t="shared" si="12"/>
        <v>100</v>
      </c>
      <c r="T28" s="1558" t="s">
        <v>8</v>
      </c>
      <c r="U28" s="1559">
        <f t="shared" si="13"/>
        <v>100</v>
      </c>
      <c r="V28" s="1558" t="s">
        <v>8</v>
      </c>
      <c r="W28" s="1559">
        <f t="shared" si="14"/>
        <v>100</v>
      </c>
      <c r="X28" s="1552"/>
      <c r="Y28" s="3478"/>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478"/>
      <c r="Q29" s="1557" t="str">
        <f t="shared" si="11"/>
        <v>有无电梯</v>
      </c>
      <c r="R29" s="1558" t="s">
        <v>8</v>
      </c>
      <c r="S29" s="1559">
        <f t="shared" si="12"/>
        <v>100</v>
      </c>
      <c r="T29" s="1558" t="s">
        <v>8</v>
      </c>
      <c r="U29" s="1559">
        <f t="shared" si="13"/>
        <v>100</v>
      </c>
      <c r="V29" s="1558" t="s">
        <v>8</v>
      </c>
      <c r="W29" s="1559">
        <f t="shared" si="14"/>
        <v>100</v>
      </c>
      <c r="X29" s="1552"/>
      <c r="Y29" s="3478"/>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478"/>
      <c r="Q30" s="1557" t="str">
        <f t="shared" si="11"/>
        <v>建筑面积</v>
      </c>
      <c r="R30" s="1558" t="s">
        <v>8</v>
      </c>
      <c r="S30" s="1559" t="e">
        <f t="shared" si="12"/>
        <v>#N/A</v>
      </c>
      <c r="T30" s="1558" t="s">
        <v>8</v>
      </c>
      <c r="U30" s="1559" t="e">
        <f t="shared" si="13"/>
        <v>#N/A</v>
      </c>
      <c r="V30" s="1558" t="s">
        <v>8</v>
      </c>
      <c r="W30" s="1559" t="e">
        <f t="shared" si="14"/>
        <v>#N/A</v>
      </c>
      <c r="X30" s="1552"/>
      <c r="Y30" s="3478"/>
      <c r="Z30" s="1560" t="str">
        <f t="shared" si="15"/>
        <v>建筑面积</v>
      </c>
      <c r="AA30" s="1561" t="e">
        <f t="shared" si="3"/>
        <v>#N/A</v>
      </c>
      <c r="AB30" s="1561" t="e">
        <f t="shared" si="4"/>
        <v>#N/A</v>
      </c>
      <c r="AC30" s="1561" t="e">
        <f t="shared" si="5"/>
        <v>#N/A</v>
      </c>
    </row>
    <row r="31" spans="1:29" s="1214"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478"/>
      <c r="Q31" s="1145" t="str">
        <f t="shared" si="11"/>
        <v>是否封闭</v>
      </c>
      <c r="R31" s="1553" t="s">
        <v>8</v>
      </c>
      <c r="S31" s="1554">
        <f t="shared" si="12"/>
        <v>100</v>
      </c>
      <c r="T31" s="1553" t="s">
        <v>8</v>
      </c>
      <c r="U31" s="1554">
        <f t="shared" si="13"/>
        <v>100</v>
      </c>
      <c r="V31" s="1553" t="s">
        <v>8</v>
      </c>
      <c r="W31" s="1554">
        <f t="shared" si="14"/>
        <v>100</v>
      </c>
      <c r="X31" s="1555"/>
      <c r="Y31" s="3478"/>
      <c r="Z31" s="1144"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478" t="s">
        <v>550</v>
      </c>
      <c r="Q32" s="1557">
        <f t="shared" si="11"/>
        <v>111</v>
      </c>
      <c r="R32" s="1558" t="s">
        <v>8</v>
      </c>
      <c r="S32" s="1559">
        <f t="shared" si="12"/>
        <v>100</v>
      </c>
      <c r="T32" s="1558" t="s">
        <v>8</v>
      </c>
      <c r="U32" s="1559">
        <f t="shared" si="13"/>
        <v>100</v>
      </c>
      <c r="V32" s="1558" t="s">
        <v>8</v>
      </c>
      <c r="W32" s="1559">
        <f t="shared" si="14"/>
        <v>100</v>
      </c>
      <c r="X32" s="1552"/>
      <c r="Y32" s="3478"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478"/>
      <c r="Q33" s="1557">
        <f t="shared" si="11"/>
        <v>111</v>
      </c>
      <c r="R33" s="1558" t="s">
        <v>8</v>
      </c>
      <c r="S33" s="1559">
        <f t="shared" si="12"/>
        <v>100</v>
      </c>
      <c r="T33" s="1558" t="s">
        <v>8</v>
      </c>
      <c r="U33" s="1559">
        <f t="shared" si="13"/>
        <v>100</v>
      </c>
      <c r="V33" s="1558" t="s">
        <v>8</v>
      </c>
      <c r="W33" s="1559">
        <f t="shared" si="14"/>
        <v>100</v>
      </c>
      <c r="X33" s="1552"/>
      <c r="Y33" s="3478"/>
      <c r="Z33" s="1560">
        <f t="shared" si="15"/>
        <v>111</v>
      </c>
      <c r="AA33" s="1561">
        <f t="shared" si="3"/>
        <v>1</v>
      </c>
      <c r="AB33" s="1561">
        <f t="shared" si="4"/>
        <v>1</v>
      </c>
      <c r="AC33" s="1561">
        <f t="shared" si="5"/>
        <v>1</v>
      </c>
    </row>
    <row r="34" spans="1:29" ht="15.75" thickBot="1">
      <c r="A34" s="885"/>
      <c r="B34" s="544">
        <v>111</v>
      </c>
      <c r="C34" s="545"/>
      <c r="D34" s="546">
        <v>100</v>
      </c>
      <c r="E34" s="943"/>
      <c r="F34" s="865">
        <f>SUMIF(95:95,E34,96:96)-SUMIF(95:95,C34,96:96)+100</f>
        <v>100</v>
      </c>
      <c r="G34" s="943"/>
      <c r="H34" s="546">
        <f>SUMIF(95:95,G34,96:96)-SUMIF(95:95,C34,96:96)+100</f>
        <v>100</v>
      </c>
      <c r="I34" s="943"/>
      <c r="J34" s="546">
        <f>SUMIF(95:95,I34,96:96)-SUMIF(95:95,C34,96:96)+100</f>
        <v>100</v>
      </c>
      <c r="K34" s="581"/>
      <c r="L34" s="2126"/>
      <c r="M34" s="2118"/>
      <c r="N34" s="2118"/>
      <c r="O34" s="2125"/>
      <c r="P34" s="3478"/>
      <c r="Q34" s="1557">
        <f t="shared" si="11"/>
        <v>111</v>
      </c>
      <c r="R34" s="1558" t="s">
        <v>8</v>
      </c>
      <c r="S34" s="1559">
        <f t="shared" si="12"/>
        <v>100</v>
      </c>
      <c r="T34" s="1558" t="s">
        <v>8</v>
      </c>
      <c r="U34" s="1559">
        <f t="shared" si="13"/>
        <v>100</v>
      </c>
      <c r="V34" s="1558" t="s">
        <v>8</v>
      </c>
      <c r="W34" s="1559">
        <f t="shared" si="14"/>
        <v>100</v>
      </c>
      <c r="X34" s="1552"/>
      <c r="Y34" s="3478"/>
      <c r="Z34" s="1560">
        <f t="shared" si="15"/>
        <v>111</v>
      </c>
      <c r="AA34" s="1561">
        <f t="shared" si="3"/>
        <v>1</v>
      </c>
      <c r="AB34" s="1561">
        <f t="shared" si="4"/>
        <v>1</v>
      </c>
      <c r="AC34" s="1561">
        <f t="shared" si="5"/>
        <v>1</v>
      </c>
    </row>
    <row r="35" spans="1:29" ht="15">
      <c r="A35" s="607" t="s">
        <v>736</v>
      </c>
      <c r="B35" s="886"/>
      <c r="C35" s="2590" t="s">
        <v>1</v>
      </c>
      <c r="D35" s="2591"/>
      <c r="E35" s="2592"/>
      <c r="F35" s="2593"/>
      <c r="G35" s="2594"/>
      <c r="H35" s="2595"/>
      <c r="I35" s="2592"/>
      <c r="J35" s="2595"/>
      <c r="K35" s="1595"/>
      <c r="L35" s="2128"/>
      <c r="M35" s="2129"/>
      <c r="N35" s="2118"/>
      <c r="O35" s="2129"/>
      <c r="P35" s="3441" t="str">
        <f>A35</f>
        <v>成交单价（元/平方米）</v>
      </c>
      <c r="Q35" s="3441"/>
      <c r="R35" s="3523">
        <f>E35</f>
        <v>0</v>
      </c>
      <c r="S35" s="3523"/>
      <c r="T35" s="3523">
        <f>G35</f>
        <v>0</v>
      </c>
      <c r="U35" s="3523"/>
      <c r="V35" s="3523">
        <f>I35</f>
        <v>0</v>
      </c>
      <c r="W35" s="3523"/>
      <c r="X35" s="1544"/>
      <c r="Y35" s="1566"/>
      <c r="Z35" s="1544"/>
      <c r="AA35" s="1544"/>
      <c r="AB35" s="1544"/>
      <c r="AC35" s="1544"/>
    </row>
    <row r="36" spans="1:29" ht="15.75" thickBot="1">
      <c r="A36" s="615" t="s">
        <v>2754</v>
      </c>
      <c r="B36" s="887"/>
      <c r="C36" s="2596" t="e">
        <f>R37</f>
        <v>#DIV/0!</v>
      </c>
      <c r="D36" s="2597"/>
      <c r="E36" s="2598" t="e">
        <f>R36</f>
        <v>#DIV/0!</v>
      </c>
      <c r="F36" s="2598"/>
      <c r="G36" s="2596" t="e">
        <f>T36</f>
        <v>#DIV/0!</v>
      </c>
      <c r="H36" s="2597"/>
      <c r="I36" s="2598" t="e">
        <f>V36</f>
        <v>#DIV/0!</v>
      </c>
      <c r="J36" s="2597"/>
      <c r="K36" s="1596"/>
      <c r="L36" s="2128"/>
      <c r="M36" s="2129"/>
      <c r="N36" s="2118"/>
      <c r="O36" s="2129"/>
      <c r="P36" s="3441" t="str">
        <f>A36</f>
        <v>比较价格（元/平方米）</v>
      </c>
      <c r="Q36" s="3441"/>
      <c r="R36" s="3523" t="e">
        <f>IF(F1="售价",ROUND(PRODUCT(R35,AA7:AA34),0),ROUND(PRODUCT(R35,AA7:AA34),1))</f>
        <v>#DIV/0!</v>
      </c>
      <c r="S36" s="3523"/>
      <c r="T36" s="3523" t="e">
        <f>IF(F1="售价",ROUND(PRODUCT(T35,AB7:AB34),0),ROUND(PRODUCT(T35,AB7:AB34),1))</f>
        <v>#DIV/0!</v>
      </c>
      <c r="U36" s="3523"/>
      <c r="V36" s="3523" t="e">
        <f>IF(F1="售价",ROUND(PRODUCT(V35,AC7:AC34),0),ROUND(PRODUCT(V35,AC7:AC34),1))</f>
        <v>#DIV/0!</v>
      </c>
      <c r="W36" s="3523"/>
      <c r="X36" s="1544"/>
      <c r="Y36" s="1544"/>
      <c r="Z36" s="1544"/>
      <c r="AA36" s="1544"/>
      <c r="AB36" s="1544"/>
      <c r="AC36" s="1544"/>
    </row>
    <row r="37" spans="1:29" ht="15.75" thickBot="1">
      <c r="A37" s="621" t="s">
        <v>2929</v>
      </c>
      <c r="B37" s="622"/>
      <c r="C37" s="2599" t="e">
        <f>R37</f>
        <v>#DIV/0!</v>
      </c>
      <c r="D37" s="2599"/>
      <c r="E37" s="2599"/>
      <c r="F37" s="2599"/>
      <c r="G37" s="2599"/>
      <c r="H37" s="2599"/>
      <c r="I37" s="2599"/>
      <c r="J37" s="2599"/>
      <c r="K37" s="1597"/>
      <c r="L37" s="2128"/>
      <c r="M37" s="2129"/>
      <c r="N37" s="2129"/>
      <c r="O37" s="2129"/>
      <c r="P37" s="3438" t="str">
        <f>A37</f>
        <v>估价对象XX用房的比较价格（楼面单价，元/平方米）</v>
      </c>
      <c r="Q37" s="3439"/>
      <c r="R37" s="3522" t="e">
        <f>IF(F1="售价",ROUND(AVERAGE(R36:V36),0),ROUND(AVERAGE(R36:V36),1))</f>
        <v>#DIV/0!</v>
      </c>
      <c r="S37" s="3522"/>
      <c r="T37" s="3522"/>
      <c r="U37" s="3522"/>
      <c r="V37" s="3522"/>
      <c r="W37" s="3522"/>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5" t="s">
        <v>529</v>
      </c>
      <c r="B46" s="646"/>
      <c r="C46" s="2756" t="str">
        <f>YEAR(C7)&amp;"-"&amp;MONTH(C7)</f>
        <v>2020-6</v>
      </c>
      <c r="D46" s="2758">
        <f>EDATE(C46,-1)</f>
        <v>43952</v>
      </c>
      <c r="E46" s="2758">
        <f t="shared" ref="E46:O46" si="16">EDATE(D46,-1)</f>
        <v>43922</v>
      </c>
      <c r="F46" s="2758">
        <f t="shared" si="16"/>
        <v>43891</v>
      </c>
      <c r="G46" s="2758">
        <f t="shared" si="16"/>
        <v>43862</v>
      </c>
      <c r="H46" s="2758">
        <f t="shared" si="16"/>
        <v>43831</v>
      </c>
      <c r="I46" s="2758">
        <f t="shared" si="16"/>
        <v>43800</v>
      </c>
      <c r="J46" s="2758">
        <f t="shared" si="16"/>
        <v>43770</v>
      </c>
      <c r="K46" s="2758">
        <f t="shared" si="16"/>
        <v>43739</v>
      </c>
      <c r="L46" s="2758">
        <f t="shared" si="16"/>
        <v>43709</v>
      </c>
      <c r="M46" s="2758">
        <f t="shared" si="16"/>
        <v>43678</v>
      </c>
      <c r="N46" s="2758">
        <f t="shared" si="16"/>
        <v>43647</v>
      </c>
      <c r="O46" s="2758">
        <f t="shared" si="16"/>
        <v>43617</v>
      </c>
      <c r="P46" s="2144"/>
      <c r="Q46" s="2145"/>
      <c r="R46" s="2145"/>
      <c r="S46" s="2145"/>
      <c r="T46" s="2145"/>
      <c r="U46" s="2145"/>
      <c r="V46" s="2145"/>
      <c r="W46" s="2145"/>
      <c r="X46" s="2145"/>
      <c r="Y46" s="2145"/>
      <c r="Z46" s="2145"/>
      <c r="AA46" s="2145"/>
      <c r="AB46" s="2145"/>
      <c r="AC46" s="2145"/>
    </row>
    <row r="47" spans="1:29" s="1214"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4"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4"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2552</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2553</v>
      </c>
      <c r="C65" s="2561" t="s">
        <v>2554</v>
      </c>
      <c r="D65" s="2561" t="s">
        <v>2555</v>
      </c>
      <c r="E65" s="2561" t="s">
        <v>2556</v>
      </c>
      <c r="F65" s="2561" t="s">
        <v>2557</v>
      </c>
      <c r="G65" s="2561" t="s">
        <v>2558</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9" priority="14" stopIfTrue="1" operator="containsText" text="超过">
      <formula>NOT(ISERROR(SEARCH("超过",F40)))</formula>
    </cfRule>
  </conditionalFormatting>
  <conditionalFormatting sqref="J42">
    <cfRule type="containsText" dxfId="18" priority="13" stopIfTrue="1" operator="containsText" text="超过">
      <formula>NOT(ISERROR(SEARCH("超过",J42)))</formula>
    </cfRule>
  </conditionalFormatting>
  <conditionalFormatting sqref="H42">
    <cfRule type="containsText" dxfId="17" priority="12" stopIfTrue="1" operator="containsText" text="超过">
      <formula>NOT(ISERROR(SEARCH("超过",H42)))</formula>
    </cfRule>
  </conditionalFormatting>
  <conditionalFormatting sqref="F42">
    <cfRule type="containsText" dxfId="16" priority="11" stopIfTrue="1" operator="containsText" text="超过">
      <formula>NOT(ISERROR(SEARCH("超过",F42)))</formula>
    </cfRule>
  </conditionalFormatting>
  <conditionalFormatting sqref="F41 H41 J41">
    <cfRule type="containsText" dxfId="15" priority="10" stopIfTrue="1" operator="containsText" text="超过">
      <formula>NOT(ISERROR(SEARCH("超过",F41)))</formula>
    </cfRule>
  </conditionalFormatting>
  <conditionalFormatting sqref="E40">
    <cfRule type="expression" dxfId="14" priority="9" stopIfTrue="1">
      <formula>$F$40="超过30%"</formula>
    </cfRule>
  </conditionalFormatting>
  <conditionalFormatting sqref="G42">
    <cfRule type="expression" dxfId="13" priority="8" stopIfTrue="1">
      <formula>$H$54+$H$42="超过30%"</formula>
    </cfRule>
  </conditionalFormatting>
  <conditionalFormatting sqref="E41">
    <cfRule type="expression" dxfId="12" priority="7" stopIfTrue="1">
      <formula>$F$41="超过20%"</formula>
    </cfRule>
  </conditionalFormatting>
  <conditionalFormatting sqref="E42">
    <cfRule type="expression" dxfId="11" priority="6" stopIfTrue="1">
      <formula>$F$42="超过30%"</formula>
    </cfRule>
  </conditionalFormatting>
  <conditionalFormatting sqref="G40">
    <cfRule type="expression" dxfId="10" priority="5" stopIfTrue="1">
      <formula>$H$52+$H$40="超过30%"</formula>
    </cfRule>
  </conditionalFormatting>
  <conditionalFormatting sqref="G41">
    <cfRule type="expression" dxfId="9" priority="4" stopIfTrue="1">
      <formula>$H$53+$H$41="超过20%"</formula>
    </cfRule>
  </conditionalFormatting>
  <conditionalFormatting sqref="I40">
    <cfRule type="expression" dxfId="8" priority="3" stopIfTrue="1">
      <formula>$J$40="超过30%"</formula>
    </cfRule>
  </conditionalFormatting>
  <conditionalFormatting sqref="I41">
    <cfRule type="expression" dxfId="7" priority="2" stopIfTrue="1">
      <formula>$J$41="超过20%"</formula>
    </cfRule>
  </conditionalFormatting>
  <conditionalFormatting sqref="I42">
    <cfRule type="expression" dxfId="6"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14" sqref="V14"/>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7"/>
    <col min="36" max="16384" width="9" style="1244"/>
  </cols>
  <sheetData>
    <row r="1" spans="1:45" s="257" customFormat="1" ht="14.25" customHeight="1" thickBot="1">
      <c r="A1" s="365"/>
      <c r="B1" s="2218" t="s">
        <v>2298</v>
      </c>
      <c r="C1" s="3532" t="s">
        <v>2299</v>
      </c>
      <c r="D1" s="3533"/>
      <c r="E1" s="3533"/>
      <c r="F1" s="3533"/>
      <c r="G1" s="3533"/>
      <c r="H1" s="3533"/>
      <c r="I1" s="3533"/>
      <c r="J1" s="3533"/>
      <c r="K1" s="3533"/>
      <c r="L1" s="3533"/>
      <c r="M1" s="3533"/>
      <c r="N1" s="3533"/>
      <c r="O1" s="3533"/>
      <c r="P1" s="3533"/>
      <c r="Q1" s="3533"/>
      <c r="R1" s="3533"/>
      <c r="S1" s="3534"/>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3186" t="s">
        <v>2301</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4" t="s">
        <v>2922</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6" t="s">
        <v>2921</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6" t="s">
        <v>2920</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5"/>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4" t="s">
        <v>2933</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4" t="s">
        <v>2919</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4" t="s">
        <v>2918</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75">
      <c r="A20" s="958"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8" t="str">
        <f>IF(B23="土地面积","地面单价","楼面单价")</f>
        <v>楼面单价</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829</v>
      </c>
      <c r="B22" s="53">
        <f>SUM(B24:B10000)</f>
        <v>0</v>
      </c>
      <c r="C22" s="3529" t="s">
        <v>20</v>
      </c>
      <c r="D22" s="3530"/>
      <c r="E22" s="3530"/>
      <c r="F22" s="3530"/>
      <c r="G22" s="3530"/>
      <c r="H22" s="3530"/>
      <c r="I22" s="3530"/>
      <c r="J22" s="3530"/>
      <c r="K22" s="3530"/>
      <c r="L22" s="3530"/>
      <c r="M22" s="3530"/>
      <c r="N22" s="3530"/>
      <c r="O22" s="3530"/>
      <c r="P22" s="3530"/>
      <c r="Q22" s="3531"/>
      <c r="R22" s="490" t="e">
        <f>ROUND(S22*10000/B22,0)</f>
        <v>#DIV/0!</v>
      </c>
      <c r="S22" s="53">
        <f>SUM(S24:S10000)</f>
        <v>0</v>
      </c>
    </row>
    <row r="23" spans="1:45" s="1598" customFormat="1" ht="24">
      <c r="A23" s="17" t="s">
        <v>830</v>
      </c>
      <c r="B23" s="3187" t="s">
        <v>2941</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9"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受贵公司委托，我公司对北京市出让国有建设用地使用权市场价格进行了预评估。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96343.56平方米。根据《建设工程规划许可证》[]、《出让合同》[]，估价对象规划建筑面积为96343.56平方米。</v>
      </c>
    </row>
    <row r="7" spans="1:4" ht="93.75">
      <c r="A7" s="2827" t="s">
        <v>2742</v>
      </c>
    </row>
    <row r="8" spans="1:4" ht="18.75">
      <c r="A8" s="1778" t="s">
        <v>1904</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2022</v>
      </c>
    </row>
    <row r="11" spans="1:4" ht="18.75">
      <c r="A11" s="1764" t="str">
        <f>TEXT(项目基本情况!D3,"yyyy年m月d日;;")&amp;IF(项目基本情况!B3=项目基本情况!D3,"（评估专业人员勘察现场之日）","")</f>
        <v>2020年6月19日（评估专业人员勘察现场之日）</v>
      </c>
    </row>
    <row r="12" spans="1:4" ht="18.75">
      <c r="A12" s="1781" t="s">
        <v>2021</v>
      </c>
    </row>
    <row r="13" spans="1:4" ht="18.75">
      <c r="A13" s="1775" t="s">
        <v>2067</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根据《国有土地使用证》[]，估价对象（分摊）出让国有建设用地使用权面积为96343.56平方米。根据《建设工程规划许可证》[]、《出让合同》[]，估价对象规划建筑面积为96343.56平方米。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2070</v>
      </c>
    </row>
    <row r="23" spans="1:1" ht="18.75">
      <c r="A23" s="2829" t="s">
        <v>2743</v>
      </c>
    </row>
    <row r="24" spans="1:1" ht="18.75">
      <c r="A24" s="1775" t="s">
        <v>2071</v>
      </c>
    </row>
    <row r="25" spans="1:1" ht="75">
      <c r="A25" s="1775" t="str">
        <f>定义!C53</f>
        <v>本次估价的“出让国有建设用地使用权价格”是指在估价对象土地所有权为国家所有，使用权性质为出让，在公开市场条件下、于估价期日2020年6月19日，在规划利用条件下、设定土地开发程度为红线外“七通”、宗地内场地，设定用途为，剩余土地使用年限为的出让国有建设用地使用权价格。</v>
      </c>
    </row>
    <row r="26" spans="1:1" ht="9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2781</v>
      </c>
      <c r="C1" s="2958">
        <f>项目基本情况!D3</f>
        <v>44001</v>
      </c>
      <c r="H1" s="2892">
        <f>IF(C1&gt;C13,0,MATCH(C1,C$13:C$100,-1))+IF(SUMIF(C13:C100,C1,D13:D100)=0,13,12)</f>
        <v>13</v>
      </c>
      <c r="I1" s="2892">
        <f>MATCH(C2,H3:H7,1)+IF(SUMIF(H3:H7,C2,I3:I7)=0,2,1)</f>
        <v>5</v>
      </c>
      <c r="J1" s="2951">
        <f ca="1">MATCH(C3,H3:H7,1)+IF(SUMIF(H3:H7,C3,J3:J7)=0,2,1)</f>
        <v>4</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2812</v>
      </c>
      <c r="C2" s="2959">
        <f>'数据-取费表'!B22</f>
        <v>2</v>
      </c>
      <c r="D2" s="2954" t="s">
        <v>2782</v>
      </c>
      <c r="E2" s="2957">
        <f ca="1">INDIRECT("I"&amp;$I$1)/100</f>
        <v>4.7500000000000001E-2</v>
      </c>
      <c r="G2" s="2894"/>
      <c r="H2" s="2894"/>
      <c r="I2" s="2894" t="s">
        <v>2783</v>
      </c>
      <c r="K2" s="2894"/>
      <c r="L2" s="2894"/>
      <c r="M2" s="2894"/>
      <c r="N2" s="2894" t="s">
        <v>2784</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2814</v>
      </c>
      <c r="C3" s="2956">
        <f>'数据-取费表'!B19</f>
        <v>1</v>
      </c>
      <c r="D3" s="2954" t="s">
        <v>2782</v>
      </c>
      <c r="E3" s="2957">
        <f ca="1">INDIRECT("J"&amp;$J$1)/100</f>
        <v>4.3499999999999997E-2</v>
      </c>
      <c r="G3" s="2896" t="s">
        <v>2785</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2813</v>
      </c>
      <c r="C4" s="2957">
        <f ca="1">N4/100</f>
        <v>1.4999999999999999E-2</v>
      </c>
      <c r="G4" s="2902" t="s">
        <v>2786</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2787</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2788</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2789</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2790</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2791</v>
      </c>
      <c r="C10" s="2921"/>
      <c r="D10" s="2921"/>
      <c r="E10" s="2921"/>
      <c r="F10" s="2921"/>
      <c r="G10" s="2921"/>
      <c r="H10" s="2921"/>
      <c r="I10" s="2895"/>
      <c r="J10" s="2895"/>
      <c r="K10" s="2921"/>
      <c r="L10" s="2922" t="s">
        <v>2792</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2793</v>
      </c>
      <c r="C11" s="2926" t="s">
        <v>2794</v>
      </c>
      <c r="D11" s="2927" t="s">
        <v>2795</v>
      </c>
      <c r="E11" s="2928"/>
      <c r="F11" s="2927" t="s">
        <v>2796</v>
      </c>
      <c r="G11" s="2929"/>
      <c r="H11" s="2928"/>
      <c r="I11" s="2927" t="s">
        <v>2797</v>
      </c>
      <c r="J11" s="2928"/>
      <c r="K11" s="2924"/>
      <c r="L11" s="2925" t="s">
        <v>2793</v>
      </c>
      <c r="M11" s="2926" t="s">
        <v>2794</v>
      </c>
      <c r="N11" s="2925" t="s">
        <v>2798</v>
      </c>
      <c r="O11" s="2927" t="s">
        <v>2799</v>
      </c>
      <c r="P11" s="2929"/>
      <c r="Q11" s="2929"/>
      <c r="R11" s="2929"/>
      <c r="S11" s="2929"/>
      <c r="T11" s="2928"/>
      <c r="U11" s="2927" t="s">
        <v>2800</v>
      </c>
      <c r="V11" s="2929"/>
      <c r="W11" s="2928"/>
      <c r="X11" s="2925" t="s">
        <v>2801</v>
      </c>
      <c r="Y11" s="2925" t="s">
        <v>2802</v>
      </c>
      <c r="Z11" s="2925" t="s">
        <v>2803</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2804</v>
      </c>
      <c r="E12" s="2934" t="s">
        <v>2805</v>
      </c>
      <c r="F12" s="2934" t="s">
        <v>2806</v>
      </c>
      <c r="G12" s="2934" t="s">
        <v>2807</v>
      </c>
      <c r="H12" s="2934" t="s">
        <v>2789</v>
      </c>
      <c r="I12" s="2935" t="s">
        <v>2808</v>
      </c>
      <c r="J12" s="2935" t="s">
        <v>2808</v>
      </c>
      <c r="K12" s="2931"/>
      <c r="L12" s="2932"/>
      <c r="M12" s="2933"/>
      <c r="N12" s="2932"/>
      <c r="O12" s="2935" t="s">
        <v>2809</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2810</v>
      </c>
      <c r="C13" s="2939">
        <v>42301</v>
      </c>
      <c r="D13" s="2940">
        <v>4.3499999999999996</v>
      </c>
      <c r="E13" s="2940">
        <v>4.3499999999999996</v>
      </c>
      <c r="F13" s="2940">
        <v>4.75</v>
      </c>
      <c r="G13" s="2940">
        <v>4.75</v>
      </c>
      <c r="H13" s="2940">
        <v>4.9000000000000004</v>
      </c>
      <c r="I13" s="2940">
        <v>2.75</v>
      </c>
      <c r="J13" s="2940">
        <v>3.25</v>
      </c>
      <c r="K13" s="2937"/>
      <c r="L13" s="2938" t="s">
        <v>2810</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2811</v>
      </c>
      <c r="Y42" s="2944" t="s">
        <v>2811</v>
      </c>
      <c r="Z42" s="2944" t="s">
        <v>2811</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2811</v>
      </c>
      <c r="Y43" s="2944" t="s">
        <v>2811</v>
      </c>
      <c r="Z43" s="2944" t="s">
        <v>2811</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2811</v>
      </c>
      <c r="Y44" s="2944" t="s">
        <v>2811</v>
      </c>
      <c r="Z44" s="2944" t="s">
        <v>2811</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2811</v>
      </c>
      <c r="Y45" s="2944" t="s">
        <v>2811</v>
      </c>
      <c r="Z45" s="2944" t="s">
        <v>2811</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2811</v>
      </c>
      <c r="Y46" s="2944" t="s">
        <v>2811</v>
      </c>
      <c r="Z46" s="2944" t="s">
        <v>2811</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2811</v>
      </c>
      <c r="Y47" s="2944" t="s">
        <v>2811</v>
      </c>
      <c r="Z47" s="2944" t="s">
        <v>2811</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2811</v>
      </c>
      <c r="Y48" s="2944" t="s">
        <v>2811</v>
      </c>
      <c r="Z48" s="2944" t="s">
        <v>2811</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2811</v>
      </c>
      <c r="Y49" s="2944" t="s">
        <v>2811</v>
      </c>
      <c r="Z49" s="2944" t="s">
        <v>2811</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2811</v>
      </c>
      <c r="Y50" s="2944" t="s">
        <v>2811</v>
      </c>
      <c r="Z50" s="2944" t="s">
        <v>2811</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2811</v>
      </c>
      <c r="V51" s="2944" t="s">
        <v>2811</v>
      </c>
      <c r="W51" s="2944" t="s">
        <v>2811</v>
      </c>
      <c r="X51" s="2944" t="s">
        <v>2811</v>
      </c>
      <c r="Y51" s="2944" t="s">
        <v>2811</v>
      </c>
      <c r="Z51" s="2944" t="s">
        <v>2811</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2811</v>
      </c>
      <c r="J55" s="2944" t="s">
        <v>2811</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80" zoomScaleNormal="80" workbookViewId="0">
      <selection activeCell="B3" sqref="B3"/>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8"/>
      <c r="C1" s="772" t="s">
        <v>979</v>
      </c>
      <c r="D1" s="2034"/>
      <c r="E1" s="2350" t="s">
        <v>2369</v>
      </c>
      <c r="F1" s="2351">
        <f ca="1">J54</f>
        <v>0</v>
      </c>
      <c r="G1" s="773">
        <f>MATCH(C1,'数据-取费表'!A6:A16,0)+5</f>
        <v>6</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13980</v>
      </c>
      <c r="C2" s="1345"/>
      <c r="D2" s="2039"/>
      <c r="E2" s="2040"/>
      <c r="F2" s="2040"/>
      <c r="G2" s="1575"/>
      <c r="H2" s="1357"/>
      <c r="I2" s="2041"/>
      <c r="J2" s="2041"/>
      <c r="K2" s="2042"/>
      <c r="L2" s="2041"/>
      <c r="M2" s="2041"/>
    </row>
    <row r="3" spans="1:25" ht="18" customHeight="1">
      <c r="A3" s="1629" t="s">
        <v>1684</v>
      </c>
      <c r="B3" s="1386">
        <f ca="1">ROUND(B2*10000/'数据-汇总表'!E3,0)</f>
        <v>1451</v>
      </c>
      <c r="C3" s="1345"/>
      <c r="D3" s="2039"/>
      <c r="E3" s="2040"/>
      <c r="F3" s="2040"/>
      <c r="G3" s="1575"/>
      <c r="H3" s="775" t="s">
        <v>695</v>
      </c>
      <c r="I3" s="2041"/>
      <c r="J3" s="2041"/>
      <c r="K3" s="2042"/>
      <c r="L3" s="2041"/>
      <c r="M3" s="2041"/>
    </row>
    <row r="4" spans="1:25" ht="18" customHeight="1">
      <c r="A4" s="1630" t="s">
        <v>696</v>
      </c>
      <c r="B4" s="1346">
        <f ca="1">ROUND(B2*10000/'数据-汇总表'!D3,0)</f>
        <v>1451</v>
      </c>
      <c r="C4" s="428"/>
      <c r="D4" s="2039"/>
      <c r="E4" s="2040"/>
      <c r="F4" s="2040"/>
      <c r="G4" s="1575"/>
      <c r="H4" s="775"/>
      <c r="I4" s="2041"/>
      <c r="J4" s="2041"/>
      <c r="K4" s="2042"/>
      <c r="L4" s="2041"/>
      <c r="M4" s="2041"/>
    </row>
    <row r="5" spans="1:25" ht="18" customHeight="1" thickBot="1">
      <c r="A5" s="1631"/>
      <c r="B5" s="430">
        <f ca="1">ROUND(B2/('数据-汇总表'!D3/666.67),0)</f>
        <v>97</v>
      </c>
      <c r="C5" s="431"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2453</v>
      </c>
      <c r="C7" s="53">
        <f ca="1">C8+C12+C14</f>
        <v>3169</v>
      </c>
      <c r="D7" s="2459" t="s">
        <v>2456</v>
      </c>
      <c r="E7" s="2453"/>
      <c r="F7" s="2454"/>
      <c r="G7" s="1577"/>
      <c r="H7" s="780">
        <v>1</v>
      </c>
      <c r="I7" s="781" t="s">
        <v>2453</v>
      </c>
      <c r="J7" s="53">
        <f ca="1">J8+J12+J14</f>
        <v>0</v>
      </c>
      <c r="K7" s="2459" t="s">
        <v>2456</v>
      </c>
      <c r="L7" s="2453"/>
      <c r="M7" s="2454"/>
    </row>
    <row r="8" spans="1:25" ht="18" customHeight="1">
      <c r="A8" s="1814" t="s">
        <v>1822</v>
      </c>
      <c r="B8" s="3497" t="s">
        <v>2458</v>
      </c>
      <c r="C8" s="1809">
        <f ca="1">ROUND(F8*F10*F9*(1-F11)/10000,0)</f>
        <v>3165</v>
      </c>
      <c r="D8" s="1806" t="s">
        <v>2529</v>
      </c>
      <c r="E8" s="61" t="s">
        <v>637</v>
      </c>
      <c r="F8" s="784">
        <f ca="1">INDIRECT("'数据-取费表'!u"&amp;$G$1)</f>
        <v>1</v>
      </c>
      <c r="G8" s="1577"/>
      <c r="H8" s="2467" t="s">
        <v>1822</v>
      </c>
      <c r="I8" s="3497" t="s">
        <v>2458</v>
      </c>
      <c r="J8" s="782">
        <f ca="1">ROUND(M8*M10*M9*(1-M11)/10000,0)</f>
        <v>0</v>
      </c>
      <c r="K8" s="341" t="s">
        <v>2529</v>
      </c>
      <c r="L8" s="783" t="s">
        <v>1736</v>
      </c>
      <c r="M8" s="784">
        <f ca="1">INDIRECT("'数据-取费表'!z"&amp;$G$1)</f>
        <v>0</v>
      </c>
    </row>
    <row r="9" spans="1:25" ht="18" customHeight="1">
      <c r="A9" s="2463"/>
      <c r="B9" s="3498"/>
      <c r="C9" s="1810"/>
      <c r="D9" s="1807"/>
      <c r="E9" s="61" t="s">
        <v>638</v>
      </c>
      <c r="F9" s="784">
        <f ca="1">IF(INDIRECT("'数据-取费表'!ah"&amp;$G$1)="",INDIRECT("'数据-取费表'!k"&amp;$G$1),INDIRECT("'数据-取费表'!ah"&amp;$G$1))</f>
        <v>96343.56</v>
      </c>
      <c r="G9" s="1577"/>
      <c r="H9" s="2452"/>
      <c r="I9" s="3498"/>
      <c r="J9" s="787"/>
      <c r="K9" s="788"/>
      <c r="L9" s="783" t="s">
        <v>1737</v>
      </c>
      <c r="M9" s="784">
        <f ca="1">F9</f>
        <v>96343.56</v>
      </c>
    </row>
    <row r="10" spans="1:25" ht="18" customHeight="1">
      <c r="A10" s="2456"/>
      <c r="B10" s="3499"/>
      <c r="C10" s="1810"/>
      <c r="D10" s="1807"/>
      <c r="E10" s="61" t="s">
        <v>639</v>
      </c>
      <c r="F10" s="784">
        <f ca="1">INDIRECT("'数据-取费表'!ai"&amp;$G$1)</f>
        <v>365</v>
      </c>
      <c r="G10" s="1577"/>
      <c r="H10" s="2452"/>
      <c r="I10" s="3499"/>
      <c r="J10" s="787"/>
      <c r="K10" s="788"/>
      <c r="L10" s="783" t="s">
        <v>1738</v>
      </c>
      <c r="M10" s="784">
        <f ca="1">INDIRECT("'数据-取费表'!ai"&amp;$G$1)</f>
        <v>365</v>
      </c>
    </row>
    <row r="11" spans="1:25" ht="18" customHeight="1">
      <c r="A11" s="785"/>
      <c r="B11" s="3500"/>
      <c r="C11" s="1810"/>
      <c r="D11" s="1807"/>
      <c r="E11" s="61" t="s">
        <v>640</v>
      </c>
      <c r="F11" s="793">
        <f ca="1">INDIRECT("'数据-取费表'!w"&amp;$G$1)</f>
        <v>0.1</v>
      </c>
      <c r="G11" s="1577"/>
      <c r="H11" s="2468"/>
      <c r="I11" s="3499"/>
      <c r="J11" s="787"/>
      <c r="K11" s="788"/>
      <c r="L11" s="794" t="s">
        <v>1739</v>
      </c>
      <c r="M11" s="795">
        <f ca="1">INDIRECT("'数据-取费表'!ab"&amp;$G$1)</f>
        <v>0</v>
      </c>
    </row>
    <row r="12" spans="1:25" ht="18" customHeight="1">
      <c r="A12" s="1814" t="s">
        <v>1823</v>
      </c>
      <c r="B12" s="2457" t="s">
        <v>2454</v>
      </c>
      <c r="C12" s="798">
        <f ca="1">ROUND(IF(F12="押一",C8/12*F13,IF(F12="押二",C8/12*2*F13,IF(F12="押三",C8/12*3*F13,C13*F13))),0)</f>
        <v>4</v>
      </c>
      <c r="D12" s="2464" t="s">
        <v>2967</v>
      </c>
      <c r="E12" s="2461" t="s">
        <v>2459</v>
      </c>
      <c r="F12" s="2584" t="s">
        <v>3172</v>
      </c>
      <c r="G12" s="1577"/>
      <c r="H12" s="2524" t="s">
        <v>1823</v>
      </c>
      <c r="I12" s="2529" t="s">
        <v>2454</v>
      </c>
      <c r="J12" s="782">
        <f ca="1">ROUND(IF(M12="押一",J8/12*M13,IF(M12="押二",J8/12*2*M13,IF(M12="押三",J8/12*3*M13,J13*M13))),0)</f>
        <v>0</v>
      </c>
      <c r="K12" s="2464" t="s">
        <v>2967</v>
      </c>
      <c r="L12" s="2461" t="s">
        <v>2459</v>
      </c>
      <c r="M12" s="2584"/>
    </row>
    <row r="13" spans="1:25" ht="18" customHeight="1">
      <c r="A13" s="789"/>
      <c r="B13" s="2458" t="s">
        <v>2568</v>
      </c>
      <c r="C13" s="2462"/>
      <c r="D13" s="788"/>
      <c r="E13" s="2461" t="s">
        <v>2451</v>
      </c>
      <c r="F13" s="795">
        <f ca="1">'数据-取费表'!B39</f>
        <v>1.4999999999999999E-2</v>
      </c>
      <c r="G13" s="1577"/>
      <c r="H13" s="2525"/>
      <c r="I13" s="2458" t="s">
        <v>2568</v>
      </c>
      <c r="J13" s="2462"/>
      <c r="K13" s="2526"/>
      <c r="L13" s="2461" t="s">
        <v>2451</v>
      </c>
      <c r="M13" s="2455">
        <f ca="1">'数据-取费表'!B39</f>
        <v>1.4999999999999999E-2</v>
      </c>
    </row>
    <row r="14" spans="1:25" ht="18" customHeight="1" thickBot="1">
      <c r="A14" s="2500" t="s">
        <v>2462</v>
      </c>
      <c r="B14" s="2501" t="s">
        <v>2455</v>
      </c>
      <c r="C14" s="2502"/>
      <c r="D14" s="2503"/>
      <c r="E14" s="2504"/>
      <c r="F14" s="2505"/>
      <c r="G14" s="1577"/>
      <c r="H14" s="2514" t="s">
        <v>2462</v>
      </c>
      <c r="I14" s="2527" t="s">
        <v>2455</v>
      </c>
      <c r="J14" s="2528"/>
      <c r="K14" s="2503"/>
      <c r="L14" s="2504"/>
      <c r="M14" s="2517"/>
    </row>
    <row r="15" spans="1:25" ht="18" customHeight="1" thickTop="1">
      <c r="A15" s="1813" t="s">
        <v>1872</v>
      </c>
      <c r="B15" s="1811" t="s">
        <v>641</v>
      </c>
      <c r="C15" s="791">
        <f ca="1">ROUND(C31*F15,0)</f>
        <v>21096</v>
      </c>
      <c r="D15" s="1818" t="s">
        <v>642</v>
      </c>
      <c r="E15" s="794" t="s">
        <v>643</v>
      </c>
      <c r="F15" s="799">
        <f ca="1">INDIRECT("'数据-取费表'!y"&amp;$G$1)</f>
        <v>1</v>
      </c>
      <c r="G15" s="1577"/>
      <c r="H15" s="1813" t="s">
        <v>1824</v>
      </c>
      <c r="I15" s="1811" t="s">
        <v>644</v>
      </c>
      <c r="J15" s="1803">
        <f ca="1">ROUND(J16*J17,0)</f>
        <v>0</v>
      </c>
      <c r="K15" s="1805" t="s">
        <v>642</v>
      </c>
      <c r="L15" s="800"/>
      <c r="M15" s="801"/>
    </row>
    <row r="16" spans="1:25" ht="18" customHeight="1">
      <c r="A16" s="802" t="s">
        <v>1873</v>
      </c>
      <c r="B16" s="783" t="s">
        <v>645</v>
      </c>
      <c r="C16" s="803">
        <f ca="1">INDIRECT("'数据-取费表'!m"&amp;$G$1)+INDIRECT("'数据-取费表'!t"&amp;$G$1)</f>
        <v>14452</v>
      </c>
      <c r="D16" s="1963" t="s">
        <v>646</v>
      </c>
      <c r="E16" s="1964"/>
      <c r="F16" s="804"/>
      <c r="G16" s="1577"/>
      <c r="H16" s="802" t="s">
        <v>2065</v>
      </c>
      <c r="I16" s="2215" t="s">
        <v>2818</v>
      </c>
      <c r="J16" s="53">
        <f ca="1">C31</f>
        <v>21096</v>
      </c>
      <c r="K16" s="26"/>
      <c r="L16" s="800"/>
      <c r="M16" s="801"/>
    </row>
    <row r="17" spans="1:25" s="2048" customFormat="1" ht="18" customHeight="1">
      <c r="A17" s="802" t="s">
        <v>1847</v>
      </c>
      <c r="B17" s="783" t="s">
        <v>647</v>
      </c>
      <c r="C17" s="53">
        <f ca="1">ROUND(C16*F17,0)</f>
        <v>434</v>
      </c>
      <c r="D17" s="805" t="s">
        <v>648</v>
      </c>
      <c r="E17" s="805" t="s">
        <v>649</v>
      </c>
      <c r="F17" s="806">
        <f>'数据-取费表'!B33</f>
        <v>0.03</v>
      </c>
      <c r="G17" s="1578"/>
      <c r="H17" s="802" t="s">
        <v>2066</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1848</v>
      </c>
      <c r="B18" s="783" t="s">
        <v>650</v>
      </c>
      <c r="C18" s="53">
        <f ca="1">ROUND(INDIRECT("'数据-取费表'!m"&amp;$G$1)*F18,0)</f>
        <v>0</v>
      </c>
      <c r="D18" s="783" t="s">
        <v>648</v>
      </c>
      <c r="E18" s="783" t="s">
        <v>649</v>
      </c>
      <c r="F18" s="808">
        <f ca="1">IF(INDIRECT("'数据-取费表'!c"&amp;$G$1)="住宅",'数据-取费表'!B34,0)</f>
        <v>0</v>
      </c>
      <c r="G18" s="1577"/>
      <c r="H18" s="796" t="s">
        <v>1825</v>
      </c>
      <c r="I18" s="797" t="s">
        <v>651</v>
      </c>
      <c r="J18" s="798">
        <f ca="1">ROUND(J19+J24+J25+J26,0)</f>
        <v>613</v>
      </c>
      <c r="K18" s="26" t="s">
        <v>652</v>
      </c>
      <c r="L18" s="1966"/>
      <c r="M18" s="56"/>
    </row>
    <row r="19" spans="1:25" s="2048" customFormat="1" ht="18" customHeight="1">
      <c r="A19" s="802" t="s">
        <v>1849</v>
      </c>
      <c r="B19" s="783" t="s">
        <v>653</v>
      </c>
      <c r="C19" s="53">
        <f ca="1">ROUND(F19*(INDIRECT("'数据-取费表'!k"&amp;$G$1)+INDIRECT("'数据-取费表'!S"&amp;$G$1))/10000,0)</f>
        <v>1927</v>
      </c>
      <c r="D19" s="783" t="s">
        <v>654</v>
      </c>
      <c r="E19" s="783" t="s">
        <v>655</v>
      </c>
      <c r="F19" s="56">
        <f>'数据-取费表'!B35</f>
        <v>200</v>
      </c>
      <c r="G19" s="1578"/>
      <c r="H19" s="802" t="s">
        <v>2065</v>
      </c>
      <c r="I19" s="783" t="s">
        <v>656</v>
      </c>
      <c r="J19" s="53">
        <f ca="1">ROUND(IF(项目基本情况!B11="自然人",J8*M19/(1+'数据-取费表'!C42),J20+J21+J22),0)</f>
        <v>191</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1850</v>
      </c>
      <c r="B20" s="783" t="s">
        <v>659</v>
      </c>
      <c r="C20" s="53">
        <f ca="1">ROUND(C16*F20,0)</f>
        <v>217</v>
      </c>
      <c r="D20" s="783" t="s">
        <v>648</v>
      </c>
      <c r="E20" s="783" t="s">
        <v>649</v>
      </c>
      <c r="F20" s="808">
        <f>'数据-取费表'!B36</f>
        <v>1.4999999999999999E-2</v>
      </c>
      <c r="G20" s="1578"/>
      <c r="H20" s="802" t="s">
        <v>1829</v>
      </c>
      <c r="I20" s="783" t="s">
        <v>660</v>
      </c>
      <c r="J20" s="53">
        <f ca="1">ROUND(J8*M20/(1+'数据-取费表'!C42),1)</f>
        <v>0</v>
      </c>
      <c r="K20" s="1961" t="s">
        <v>661</v>
      </c>
      <c r="L20" s="783" t="s">
        <v>649</v>
      </c>
      <c r="M20" s="808">
        <f>'数据-取费表'!B41</f>
        <v>5.5000000000000007E-2</v>
      </c>
      <c r="N20" s="2047"/>
      <c r="O20" s="2047"/>
      <c r="P20" s="2047"/>
      <c r="Q20" s="2047"/>
      <c r="R20" s="2047"/>
      <c r="S20" s="2047"/>
      <c r="T20" s="2047"/>
      <c r="U20" s="2047"/>
      <c r="V20" s="2047"/>
      <c r="W20" s="2047"/>
      <c r="X20" s="2047"/>
      <c r="Y20" s="2047"/>
    </row>
    <row r="21" spans="1:25" ht="18" customHeight="1">
      <c r="A21" s="802" t="s">
        <v>1874</v>
      </c>
      <c r="B21" s="783" t="s">
        <v>662</v>
      </c>
      <c r="C21" s="53">
        <f ca="1">SUM(C16:C20)</f>
        <v>17030</v>
      </c>
      <c r="D21" s="261" t="s">
        <v>663</v>
      </c>
      <c r="E21" s="1966"/>
      <c r="F21" s="56"/>
      <c r="G21" s="1577"/>
      <c r="H21" s="1814" t="s">
        <v>1847</v>
      </c>
      <c r="I21" s="783" t="s">
        <v>664</v>
      </c>
      <c r="J21" s="53">
        <f ca="1">IF(K21="按租金收入计税",ROUND(J8*M21/(1+'数据-取费表'!C42),1),ROUND(C31*F35*0.7,1))</f>
        <v>177.2</v>
      </c>
      <c r="K21" s="810" t="s">
        <v>665</v>
      </c>
      <c r="L21" s="783" t="s">
        <v>649</v>
      </c>
      <c r="M21" s="808">
        <f>IF(K21="按租金收入计税",'数据-取费表'!B51,'数据-取费表'!B50)</f>
        <v>1.2E-2</v>
      </c>
    </row>
    <row r="22" spans="1:25" s="2048" customFormat="1" ht="18" customHeight="1">
      <c r="A22" s="802" t="s">
        <v>1875</v>
      </c>
      <c r="B22" s="783" t="s">
        <v>666</v>
      </c>
      <c r="C22" s="53">
        <f ca="1">ROUND(C21*F22,0)</f>
        <v>341</v>
      </c>
      <c r="D22" s="811" t="s">
        <v>667</v>
      </c>
      <c r="E22" s="783" t="s">
        <v>649</v>
      </c>
      <c r="F22" s="808">
        <f>'数据-取费表'!B37</f>
        <v>0.02</v>
      </c>
      <c r="G22" s="1578"/>
      <c r="H22" s="1816" t="s">
        <v>1848</v>
      </c>
      <c r="I22" s="1806" t="s">
        <v>668</v>
      </c>
      <c r="J22" s="54">
        <f ca="1">ROUND(M22*M23/10000,0)</f>
        <v>14</v>
      </c>
      <c r="K22" s="813" t="s">
        <v>669</v>
      </c>
      <c r="L22" s="783" t="s">
        <v>670</v>
      </c>
      <c r="M22" s="640">
        <f>'数据-取费表'!B52</f>
        <v>1.5</v>
      </c>
      <c r="N22" s="2047"/>
      <c r="O22" s="2047"/>
      <c r="P22" s="2047"/>
      <c r="Q22" s="2047"/>
      <c r="R22" s="2047"/>
      <c r="S22" s="2047"/>
      <c r="T22" s="2047"/>
      <c r="U22" s="2047"/>
      <c r="V22" s="2047"/>
      <c r="W22" s="2047"/>
      <c r="X22" s="2047"/>
      <c r="Y22" s="2047"/>
    </row>
    <row r="23" spans="1:25" s="2048" customFormat="1" ht="18" customHeight="1">
      <c r="A23" s="802" t="s">
        <v>1876</v>
      </c>
      <c r="B23" s="783" t="s">
        <v>671</v>
      </c>
      <c r="C23" s="53" t="s">
        <v>1</v>
      </c>
      <c r="D23" s="811" t="s">
        <v>672</v>
      </c>
      <c r="E23" s="783" t="s">
        <v>673</v>
      </c>
      <c r="F23" s="808">
        <f>'数据-取费表'!B38</f>
        <v>0.02</v>
      </c>
      <c r="G23" s="1578"/>
      <c r="H23" s="1817"/>
      <c r="I23" s="1808"/>
      <c r="J23" s="69"/>
      <c r="K23" s="815"/>
      <c r="L23" s="783" t="s">
        <v>674</v>
      </c>
      <c r="M23" s="784">
        <f ca="1">INDIRECT("'数据-取费表'!r"&amp;$G$1)</f>
        <v>96343.56</v>
      </c>
      <c r="N23" s="2047"/>
      <c r="O23" s="2047"/>
      <c r="P23" s="2047"/>
      <c r="Q23" s="2047"/>
      <c r="R23" s="2047"/>
      <c r="S23" s="2047"/>
      <c r="T23" s="2047"/>
      <c r="U23" s="2047"/>
      <c r="V23" s="2047"/>
      <c r="W23" s="2047"/>
      <c r="X23" s="2047"/>
      <c r="Y23" s="2047"/>
    </row>
    <row r="24" spans="1:25" ht="18" customHeight="1">
      <c r="A24" s="802" t="s">
        <v>1877</v>
      </c>
      <c r="B24" s="783" t="s">
        <v>675</v>
      </c>
      <c r="C24" s="53"/>
      <c r="D24" s="2535" t="str">
        <f>IF(F25&lt;=1,"单利计息。","复利计息。")&amp;"建造成本、管理费用、销售费用产生的利息。"</f>
        <v>单利计息。建造成本、管理费用、销售费用产生的利息。</v>
      </c>
      <c r="E24" s="1966"/>
      <c r="F24" s="56"/>
      <c r="G24" s="1577"/>
      <c r="H24" s="1815" t="s">
        <v>2066</v>
      </c>
      <c r="I24" s="783" t="s">
        <v>676</v>
      </c>
      <c r="J24" s="53">
        <f ca="1">ROUND(J16*M24,0)</f>
        <v>422</v>
      </c>
      <c r="K24" s="1961" t="s">
        <v>677</v>
      </c>
      <c r="L24" s="783" t="s">
        <v>649</v>
      </c>
      <c r="M24" s="816">
        <f ca="1">INDIRECT("'数据-取费表'!Ak"&amp;$G$1)</f>
        <v>0.02</v>
      </c>
    </row>
    <row r="25" spans="1:25" s="2048" customFormat="1" ht="18" customHeight="1">
      <c r="A25" s="802" t="s">
        <v>1873</v>
      </c>
      <c r="B25" s="783" t="s">
        <v>2432</v>
      </c>
      <c r="C25" s="53">
        <f ca="1">ROUND(IF('数据-取费表'!B22&lt;=1,(C21+C22)*F26*F25/2,(C21+C22)*(POWER((1+F26),F25/2)-1)),0)</f>
        <v>408</v>
      </c>
      <c r="D25" s="2534" t="str">
        <f>IF(F25&lt;=1,"(建造成本+管理费用)×利率×(建设周期÷2)","(建造成本+管理费用)×((1+利率)^(建设周期÷2)-1)")</f>
        <v>(建造成本+管理费用)×利率×(建设周期÷2)</v>
      </c>
      <c r="E25" s="783" t="s">
        <v>678</v>
      </c>
      <c r="F25" s="640">
        <f>'数据-取费表'!B20</f>
        <v>1</v>
      </c>
      <c r="G25" s="1578"/>
      <c r="H25" s="802" t="s">
        <v>1876</v>
      </c>
      <c r="I25" s="783" t="s">
        <v>679</v>
      </c>
      <c r="J25" s="53">
        <f ca="1">ROUND(J15*M25,0)</f>
        <v>0</v>
      </c>
      <c r="K25" s="1961" t="s">
        <v>680</v>
      </c>
      <c r="L25" s="783" t="s">
        <v>649</v>
      </c>
      <c r="M25" s="817">
        <f ca="1">INDIRECT("'数据-取费表'!Al"&amp;$G$1)</f>
        <v>2E-3</v>
      </c>
      <c r="N25" s="2047"/>
      <c r="O25" s="2047"/>
      <c r="P25" s="2047"/>
      <c r="Q25" s="2047"/>
      <c r="R25" s="2047"/>
      <c r="S25" s="2047"/>
      <c r="T25" s="2047"/>
      <c r="U25" s="2047"/>
      <c r="V25" s="2047"/>
      <c r="W25" s="2047"/>
      <c r="X25" s="2047"/>
      <c r="Y25" s="2047"/>
    </row>
    <row r="26" spans="1:25" s="2048" customFormat="1" ht="18" customHeight="1">
      <c r="A26" s="802" t="s">
        <v>1847</v>
      </c>
      <c r="B26" s="783" t="s">
        <v>681</v>
      </c>
      <c r="C26" s="53">
        <f ca="1">ROUND(IF('数据-取费表'!B22&lt;=1,F23*F26*F25/2,F23*(POWER((1+F26),F25/2)-1)),4)</f>
        <v>5.0000000000000001E-4</v>
      </c>
      <c r="D26" s="2534" t="str">
        <f>IF(F25&lt;=1,"销售费用×利率×(建设周期÷2)","销售费用×((1+利率)^(建设周期÷2)-1)")</f>
        <v>销售费用×利率×(建设周期÷2)</v>
      </c>
      <c r="E26" s="783" t="s">
        <v>682</v>
      </c>
      <c r="F26" s="818">
        <f ca="1">'数据-取费表'!B40</f>
        <v>4.7500000000000001E-2</v>
      </c>
      <c r="G26" s="1578"/>
      <c r="H26" s="802" t="s">
        <v>1877</v>
      </c>
      <c r="I26" s="783" t="s">
        <v>666</v>
      </c>
      <c r="J26" s="53">
        <f ca="1">ROUND(J7*M26,0)</f>
        <v>0</v>
      </c>
      <c r="K26" s="1961" t="s">
        <v>683</v>
      </c>
      <c r="L26" s="783" t="s">
        <v>649</v>
      </c>
      <c r="M26" s="793">
        <f ca="1">INDIRECT("'数据-取费表'!Am"&amp;$G$1)</f>
        <v>0.02</v>
      </c>
      <c r="N26" s="2047"/>
      <c r="O26" s="2047"/>
      <c r="P26" s="2047"/>
      <c r="Q26" s="2047"/>
      <c r="R26" s="2047"/>
      <c r="S26" s="2047"/>
      <c r="T26" s="2047"/>
      <c r="U26" s="2047"/>
      <c r="V26" s="2047"/>
      <c r="W26" s="2047"/>
      <c r="X26" s="2047"/>
      <c r="Y26" s="2047"/>
    </row>
    <row r="27" spans="1:25" ht="18" customHeight="1">
      <c r="A27" s="802" t="s">
        <v>1879</v>
      </c>
      <c r="B27" s="783" t="s">
        <v>684</v>
      </c>
      <c r="C27" s="53"/>
      <c r="D27" s="261" t="s">
        <v>685</v>
      </c>
      <c r="E27" s="1966"/>
      <c r="F27" s="56"/>
      <c r="G27" s="1577"/>
      <c r="H27" s="796" t="s">
        <v>1826</v>
      </c>
      <c r="I27" s="2962" t="s">
        <v>2815</v>
      </c>
      <c r="J27" s="798">
        <f ca="1">J7-J18</f>
        <v>-613</v>
      </c>
      <c r="K27" s="1963" t="s">
        <v>700</v>
      </c>
      <c r="L27" s="1965"/>
      <c r="M27" s="819"/>
    </row>
    <row r="28" spans="1:25" ht="18" customHeight="1">
      <c r="A28" s="802" t="s">
        <v>1873</v>
      </c>
      <c r="B28" s="783" t="s">
        <v>2433</v>
      </c>
      <c r="C28" s="53">
        <f ca="1">ROUND((C21+C22)*F28,0)</f>
        <v>1737</v>
      </c>
      <c r="D28" s="811" t="s">
        <v>701</v>
      </c>
      <c r="E28" s="794" t="s">
        <v>702</v>
      </c>
      <c r="F28" s="793">
        <f ca="1">INDIRECT("'数据-取费表'!q"&amp;$G$1)</f>
        <v>0.1</v>
      </c>
      <c r="G28" s="1577"/>
      <c r="H28" s="780" t="s">
        <v>1835</v>
      </c>
      <c r="I28" s="781" t="s">
        <v>703</v>
      </c>
      <c r="J28" s="782">
        <f ca="1">IF(J7&lt;&gt;0,ROUND(J27*(1-((1+M30)/(1+M28))^M29)/(M28-M30),0),0)</f>
        <v>0</v>
      </c>
      <c r="K28" s="813" t="s">
        <v>704</v>
      </c>
      <c r="L28" s="783" t="s">
        <v>705</v>
      </c>
      <c r="M28" s="793">
        <f ca="1">INDIRECT("'数据-取费表'!I"&amp;$G$1)</f>
        <v>0.04</v>
      </c>
    </row>
    <row r="29" spans="1:25" ht="18" customHeight="1">
      <c r="A29" s="802" t="s">
        <v>1847</v>
      </c>
      <c r="B29" s="783" t="s">
        <v>686</v>
      </c>
      <c r="C29" s="53">
        <f ca="1">ROUND(F23*F28,4)</f>
        <v>2E-3</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1880</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2816</v>
      </c>
      <c r="C31" s="2507">
        <f ca="1">ROUND((C21+C22+C25+C28)/(1-F23-C26-C29-C30),0)</f>
        <v>21096</v>
      </c>
      <c r="D31" s="2508"/>
      <c r="E31" s="2509"/>
      <c r="F31" s="2510"/>
      <c r="G31" s="1578"/>
      <c r="H31" s="822" t="s">
        <v>1870</v>
      </c>
      <c r="I31" s="2963" t="s">
        <v>2817</v>
      </c>
      <c r="J31" s="824">
        <f ca="1">ROUND(J28/(1+F45)^F46,0)</f>
        <v>0</v>
      </c>
      <c r="K31" s="825" t="s">
        <v>688</v>
      </c>
      <c r="L31" s="826"/>
      <c r="M31" s="827">
        <f ca="1">INDIRECT("'数据-取费表'!k"&amp;$G$1)</f>
        <v>96343.56</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885</v>
      </c>
      <c r="D32" s="1805" t="s">
        <v>652</v>
      </c>
      <c r="E32" s="2450"/>
      <c r="F32" s="2454"/>
      <c r="G32" s="2046"/>
      <c r="H32" s="2049"/>
      <c r="I32" s="2050"/>
      <c r="J32" s="2051"/>
      <c r="K32" s="2052"/>
      <c r="L32" s="2053"/>
      <c r="M32" s="2054"/>
    </row>
    <row r="33" spans="1:18" ht="18" customHeight="1">
      <c r="A33" s="802" t="s">
        <v>1874</v>
      </c>
      <c r="B33" s="783" t="s">
        <v>656</v>
      </c>
      <c r="C33" s="53">
        <f ca="1">ROUND(IF(项目基本情况!B11="自然人",C8*F33/(1+'数据-取费表'!C42),C34+C35+C36),1)</f>
        <v>357.5</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1873</v>
      </c>
      <c r="B34" s="783" t="s">
        <v>660</v>
      </c>
      <c r="C34" s="53">
        <f ca="1">ROUND(C8*F34/(1+'数据-取费表'!C42),1)</f>
        <v>165.8</v>
      </c>
      <c r="D34" s="1961" t="s">
        <v>661</v>
      </c>
      <c r="E34" s="783" t="s">
        <v>649</v>
      </c>
      <c r="F34" s="808">
        <f>'数据-取费表'!B41</f>
        <v>5.5000000000000007E-2</v>
      </c>
      <c r="G34" s="2046"/>
      <c r="H34" s="2055"/>
      <c r="I34" s="2056"/>
      <c r="J34" s="2057"/>
      <c r="K34" s="2058"/>
      <c r="L34" s="2059"/>
      <c r="M34" s="2060"/>
    </row>
    <row r="35" spans="1:18" ht="18" customHeight="1">
      <c r="A35" s="802" t="s">
        <v>1847</v>
      </c>
      <c r="B35" s="783" t="s">
        <v>664</v>
      </c>
      <c r="C35" s="53">
        <f ca="1">IF(D35="按租金收入计税",ROUND(C8*F35/(1+'数据-取费表'!C42),1),IF(D35="按房产原值计税",ROUND(C31*F35*0.7,1),INDIRECT("'数据-取费表'!Aj"&amp;$G$1)))</f>
        <v>177.2</v>
      </c>
      <c r="D35" s="810" t="s">
        <v>1678</v>
      </c>
      <c r="E35" s="783" t="s">
        <v>649</v>
      </c>
      <c r="F35" s="808">
        <f>IF(D35="按租金收入计税",'数据-取费表'!B51,'数据-取费表'!B50)</f>
        <v>1.2E-2</v>
      </c>
      <c r="G35" s="2046"/>
      <c r="H35" s="2061"/>
      <c r="I35" s="2061"/>
      <c r="J35" s="2061"/>
      <c r="K35" s="2062"/>
      <c r="L35" s="2061"/>
      <c r="M35" s="2061"/>
    </row>
    <row r="36" spans="1:18" ht="18" customHeight="1">
      <c r="A36" s="812" t="s">
        <v>1878</v>
      </c>
      <c r="B36" s="341" t="s">
        <v>668</v>
      </c>
      <c r="C36" s="54">
        <f ca="1">ROUND(F36*F37/10000,1)</f>
        <v>14.5</v>
      </c>
      <c r="D36" s="813" t="s">
        <v>669</v>
      </c>
      <c r="E36" s="783" t="s">
        <v>670</v>
      </c>
      <c r="F36" s="640">
        <f>'数据-取费表'!B52</f>
        <v>1.5</v>
      </c>
      <c r="G36" s="2046"/>
      <c r="H36" s="2049"/>
      <c r="I36" s="3535"/>
      <c r="J36" s="2063"/>
      <c r="K36" s="2064"/>
      <c r="L36" s="2063"/>
      <c r="M36" s="2063"/>
    </row>
    <row r="37" spans="1:18" ht="18" customHeight="1">
      <c r="A37" s="814"/>
      <c r="B37" s="792"/>
      <c r="C37" s="69"/>
      <c r="D37" s="815"/>
      <c r="E37" s="783" t="s">
        <v>674</v>
      </c>
      <c r="F37" s="784">
        <f ca="1">INDIRECT("'数据-取费表'!r"&amp;$G$1)</f>
        <v>96343.56</v>
      </c>
      <c r="G37" s="2046"/>
      <c r="H37" s="2049"/>
      <c r="I37" s="3535"/>
      <c r="J37" s="2061"/>
      <c r="K37" s="2062"/>
      <c r="L37" s="2061"/>
      <c r="M37" s="2061"/>
    </row>
    <row r="38" spans="1:18" ht="18" customHeight="1">
      <c r="A38" s="802" t="s">
        <v>1875</v>
      </c>
      <c r="B38" s="783" t="s">
        <v>676</v>
      </c>
      <c r="C38" s="53">
        <f ca="1">ROUND(C31*F38,1)</f>
        <v>421.9</v>
      </c>
      <c r="D38" s="1961" t="s">
        <v>691</v>
      </c>
      <c r="E38" s="783" t="s">
        <v>649</v>
      </c>
      <c r="F38" s="816">
        <f ca="1">INDIRECT("'数据-取费表'!Ak"&amp;$G$1)</f>
        <v>0.02</v>
      </c>
      <c r="G38" s="2046"/>
      <c r="H38" s="2061"/>
      <c r="I38" s="2065"/>
      <c r="J38" s="1972"/>
      <c r="K38" s="2066"/>
      <c r="L38" s="2061"/>
      <c r="M38" s="2061"/>
    </row>
    <row r="39" spans="1:18" ht="18" customHeight="1">
      <c r="A39" s="802" t="s">
        <v>1876</v>
      </c>
      <c r="B39" s="783" t="s">
        <v>679</v>
      </c>
      <c r="C39" s="53">
        <f ca="1">ROUND(C15*F39,1)</f>
        <v>42.2</v>
      </c>
      <c r="D39" s="1961" t="s">
        <v>680</v>
      </c>
      <c r="E39" s="783" t="s">
        <v>649</v>
      </c>
      <c r="F39" s="817">
        <f ca="1">INDIRECT("'数据-取费表'!Al"&amp;$G$1)</f>
        <v>2E-3</v>
      </c>
      <c r="G39" s="2046"/>
      <c r="H39" s="2061"/>
      <c r="I39" s="2065"/>
      <c r="J39" s="1972"/>
      <c r="K39" s="2066"/>
      <c r="L39" s="2061"/>
      <c r="M39" s="2061"/>
    </row>
    <row r="40" spans="1:18" ht="18" customHeight="1" thickBot="1">
      <c r="A40" s="2523" t="s">
        <v>1877</v>
      </c>
      <c r="B40" s="2509" t="s">
        <v>666</v>
      </c>
      <c r="C40" s="2507">
        <f ca="1">ROUND(C7*F40,1)</f>
        <v>63.4</v>
      </c>
      <c r="D40" s="2508" t="s">
        <v>683</v>
      </c>
      <c r="E40" s="2509" t="s">
        <v>649</v>
      </c>
      <c r="F40" s="2505">
        <f ca="1">INDIRECT("'数据-取费表'!Am"&amp;$G$1)</f>
        <v>0.02</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2" t="s">
        <v>1874</v>
      </c>
      <c r="B42" s="834" t="s">
        <v>693</v>
      </c>
      <c r="C42" s="828">
        <f ca="1">C7-C32</f>
        <v>2284</v>
      </c>
      <c r="D42" s="1963" t="s">
        <v>694</v>
      </c>
      <c r="E42" s="1965"/>
      <c r="F42" s="819"/>
      <c r="G42" s="2046"/>
      <c r="H42" s="2046"/>
      <c r="I42" s="2046"/>
      <c r="J42" s="2046"/>
      <c r="K42" s="2067"/>
      <c r="L42" s="2046"/>
      <c r="M42" s="2046"/>
    </row>
    <row r="43" spans="1:18" ht="18" customHeight="1">
      <c r="A43" s="802" t="s">
        <v>1875</v>
      </c>
      <c r="B43" s="834" t="s">
        <v>711</v>
      </c>
      <c r="C43" s="835">
        <f ca="1">ROUND(C15*F43,0)</f>
        <v>1688</v>
      </c>
      <c r="D43" s="1350" t="s">
        <v>712</v>
      </c>
      <c r="E43" s="3067" t="s">
        <v>2955</v>
      </c>
      <c r="F43" s="3068">
        <f ca="1">INDIRECT("'数据-取费表'!j"&amp;$G$1)</f>
        <v>0.08</v>
      </c>
      <c r="G43" s="2046"/>
      <c r="H43" s="2046"/>
      <c r="I43" s="2046"/>
      <c r="J43" s="2046"/>
      <c r="K43" s="2067"/>
      <c r="L43" s="2046"/>
      <c r="M43" s="2046"/>
    </row>
    <row r="44" spans="1:18" ht="18" customHeight="1">
      <c r="A44" s="802" t="s">
        <v>1876</v>
      </c>
      <c r="B44" s="834" t="s">
        <v>713</v>
      </c>
      <c r="C44" s="1351">
        <f ca="1">C42-C43</f>
        <v>596</v>
      </c>
      <c r="D44" s="463" t="s">
        <v>714</v>
      </c>
      <c r="E44" s="464"/>
      <c r="F44" s="465"/>
      <c r="G44" s="2046"/>
      <c r="H44" s="2046"/>
      <c r="I44" s="2046"/>
      <c r="J44" s="2046"/>
      <c r="K44" s="2067"/>
      <c r="L44" s="2046"/>
      <c r="M44" s="2046"/>
    </row>
    <row r="45" spans="1:18" ht="18" customHeight="1">
      <c r="A45" s="802" t="s">
        <v>1877</v>
      </c>
      <c r="B45" s="1350" t="s">
        <v>715</v>
      </c>
      <c r="C45" s="2989">
        <f ca="1">ROUND(-PV(F45,F46,C44,0),0)</f>
        <v>13980</v>
      </c>
      <c r="D45" s="1352" t="s">
        <v>716</v>
      </c>
      <c r="E45" s="805" t="s">
        <v>717</v>
      </c>
      <c r="F45" s="829">
        <f ca="1">INDIRECT("'数据-取费表'!h"&amp;$G$1)</f>
        <v>3.5000000000000003E-2</v>
      </c>
      <c r="G45" s="2046"/>
      <c r="H45" s="2046"/>
      <c r="I45" s="2046"/>
      <c r="J45" s="2046"/>
      <c r="K45" s="2067"/>
      <c r="L45" s="2046"/>
      <c r="M45" s="2046"/>
    </row>
    <row r="46" spans="1:18" ht="18" customHeight="1" thickBot="1">
      <c r="A46" s="830"/>
      <c r="B46" s="1353"/>
      <c r="C46" s="1354"/>
      <c r="D46" s="1355"/>
      <c r="E46" s="3069" t="s">
        <v>2958</v>
      </c>
      <c r="F46" s="827">
        <f ca="1">IF(INDIRECT("'数据-取费表'!af"&amp;$G$1)=0,INDIRECT("'数据-取费表'!ae"&amp;$G$1),INDIRECT("'数据-取费表'!af"&amp;$G$1))</f>
        <v>50</v>
      </c>
      <c r="G46" s="2046"/>
      <c r="H46" s="2046"/>
      <c r="I46" s="2046"/>
      <c r="J46" s="2046"/>
      <c r="K46" s="2067"/>
      <c r="L46" s="2046"/>
      <c r="M46" s="2046"/>
    </row>
    <row r="47" spans="1:18" s="2043" customFormat="1" ht="18" customHeight="1" thickBot="1">
      <c r="A47" s="2068"/>
      <c r="D47" s="2069"/>
      <c r="E47" s="2069"/>
      <c r="F47" s="2069"/>
      <c r="I47" s="2341" t="s">
        <v>2338</v>
      </c>
      <c r="J47" s="2342"/>
      <c r="K47" s="2343"/>
      <c r="L47" s="3101" t="e">
        <f ca="1">IF(M48="住宅",0,IF(L49&gt;J52,L61,J61))</f>
        <v>#DIV/0!</v>
      </c>
      <c r="O47" s="2357" t="s">
        <v>2405</v>
      </c>
      <c r="P47" s="1577"/>
      <c r="Q47" s="1588"/>
      <c r="R47" s="1577"/>
    </row>
    <row r="48" spans="1:18" s="2043" customFormat="1" ht="18" customHeight="1" thickBot="1">
      <c r="A48" s="2068"/>
      <c r="C48" s="2071"/>
      <c r="D48" s="2072"/>
      <c r="E48" s="2072"/>
      <c r="F48" s="2073"/>
      <c r="G48" s="2074"/>
      <c r="I48" s="3092" t="s">
        <v>2339</v>
      </c>
      <c r="J48" s="2344"/>
      <c r="K48" s="3098" t="s">
        <v>2344</v>
      </c>
      <c r="L48" s="3102">
        <f ca="1">INDIRECT("'数据-取费表'!d"&amp;$G$1)</f>
        <v>50</v>
      </c>
      <c r="M48" s="3066" t="str">
        <f>IF(ISNUMBER(FIND("住宅",C1)),"住宅","非住宅")</f>
        <v>非住宅</v>
      </c>
      <c r="O48" s="2358" t="s">
        <v>2370</v>
      </c>
      <c r="P48" s="2359" t="s">
        <v>2371</v>
      </c>
      <c r="Q48" s="2360" t="s">
        <v>2372</v>
      </c>
      <c r="R48" s="2359" t="s">
        <v>2373</v>
      </c>
    </row>
    <row r="49" spans="1:18" s="2043" customFormat="1" ht="18" customHeight="1" thickBot="1">
      <c r="A49" s="2068"/>
      <c r="D49" s="2075"/>
      <c r="E49" s="2076"/>
      <c r="F49" s="2073"/>
      <c r="G49" s="2074"/>
      <c r="H49" s="2077"/>
      <c r="I49" s="3071" t="s">
        <v>2340</v>
      </c>
      <c r="J49" s="2345"/>
      <c r="K49" s="3099" t="s">
        <v>2346</v>
      </c>
      <c r="L49" s="1892">
        <f ca="1">INDIRECT("'数据-取费表'!f"&amp;$G$1)</f>
        <v>50</v>
      </c>
      <c r="O49" s="2361" t="s">
        <v>2374</v>
      </c>
      <c r="P49" s="2362" t="s">
        <v>2400</v>
      </c>
      <c r="Q49" s="2363">
        <f ca="1">C41+J31</f>
        <v>0</v>
      </c>
      <c r="R49" s="2362" t="s">
        <v>2375</v>
      </c>
    </row>
    <row r="50" spans="1:18" s="2043" customFormat="1" ht="18" customHeight="1" thickBot="1">
      <c r="A50" s="2068"/>
      <c r="D50" s="2078"/>
      <c r="E50" s="2078"/>
      <c r="F50" s="2072"/>
      <c r="G50" s="2079"/>
      <c r="H50" s="2077"/>
      <c r="I50" s="3071" t="s">
        <v>2341</v>
      </c>
      <c r="J50" s="2346"/>
      <c r="K50" s="3100" t="s">
        <v>2347</v>
      </c>
      <c r="L50" s="2347"/>
      <c r="O50" s="2361" t="s">
        <v>2376</v>
      </c>
      <c r="P50" s="2362" t="s">
        <v>2401</v>
      </c>
      <c r="Q50" s="2363" t="str">
        <f ca="1">J61</f>
        <v>0</v>
      </c>
      <c r="R50" s="2362" t="s">
        <v>2377</v>
      </c>
    </row>
    <row r="51" spans="1:18" s="2043" customFormat="1" ht="18" customHeight="1" thickBot="1">
      <c r="A51" s="2080"/>
      <c r="D51" s="2078"/>
      <c r="E51" s="2078"/>
      <c r="F51" s="2069"/>
      <c r="H51" s="2077"/>
      <c r="I51" s="3071" t="s">
        <v>2342</v>
      </c>
      <c r="J51" s="3096">
        <f>SUMPRODUCT((I64:I66=J48)*(J63:L63=J49)*(J64:L66))</f>
        <v>0</v>
      </c>
      <c r="K51" s="3100" t="s">
        <v>2348</v>
      </c>
      <c r="L51" s="2347"/>
      <c r="O51" s="2364" t="s">
        <v>2378</v>
      </c>
      <c r="P51" s="2362" t="s">
        <v>2402</v>
      </c>
      <c r="Q51" s="2363">
        <f ca="1">C31</f>
        <v>21096</v>
      </c>
      <c r="R51" s="2362" t="s">
        <v>2375</v>
      </c>
    </row>
    <row r="52" spans="1:18" s="2043" customFormat="1" ht="18" customHeight="1" thickBot="1">
      <c r="A52" s="2080"/>
      <c r="F52" s="2069"/>
      <c r="I52" s="3093" t="s">
        <v>2343</v>
      </c>
      <c r="J52" s="3097">
        <f>IF(J50="",J51,J50+J51-YEAR('数据-取费表'!B3))</f>
        <v>0</v>
      </c>
      <c r="K52" s="3071" t="s">
        <v>2349</v>
      </c>
      <c r="L52" s="3103">
        <f ca="1">C45</f>
        <v>13980</v>
      </c>
      <c r="O52" s="2364" t="s">
        <v>2379</v>
      </c>
      <c r="P52" s="2362" t="s">
        <v>2380</v>
      </c>
      <c r="Q52" s="2365" t="e">
        <f ca="1">J59</f>
        <v>#VALUE!</v>
      </c>
      <c r="R52" s="2366"/>
    </row>
    <row r="53" spans="1:18" s="2043" customFormat="1" ht="18" customHeight="1" thickBot="1">
      <c r="A53" s="2080"/>
      <c r="F53" s="2069"/>
      <c r="I53" s="3094" t="s">
        <v>2416</v>
      </c>
      <c r="J53" s="2348"/>
      <c r="K53" s="3094" t="s">
        <v>2415</v>
      </c>
      <c r="L53" s="2348"/>
      <c r="O53" s="2364" t="s">
        <v>2381</v>
      </c>
      <c r="P53" s="2362" t="s">
        <v>2382</v>
      </c>
      <c r="Q53" s="2365">
        <f>J53</f>
        <v>0</v>
      </c>
      <c r="R53" s="2366"/>
    </row>
    <row r="54" spans="1:18" s="2043" customFormat="1" ht="29.25" thickBot="1">
      <c r="A54" s="2080"/>
      <c r="I54" s="3095" t="s">
        <v>2971</v>
      </c>
      <c r="J54" s="3174">
        <f ca="1">IF(M48="住宅",MAX(J52,L49-'数据-取费表'!B20),MIN(J52,L49-'数据-取费表'!B20))</f>
        <v>0</v>
      </c>
      <c r="K54" s="3536"/>
      <c r="L54" s="3537"/>
      <c r="O54" s="2364" t="s">
        <v>2383</v>
      </c>
      <c r="P54" s="2362" t="s">
        <v>2384</v>
      </c>
      <c r="Q54" s="2363">
        <f ca="1">J54</f>
        <v>0</v>
      </c>
      <c r="R54" s="2362" t="s">
        <v>2385</v>
      </c>
    </row>
    <row r="55" spans="1:18" s="2043" customFormat="1" ht="18" customHeight="1" thickBot="1">
      <c r="A55" s="2080"/>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61" t="s">
        <v>2386</v>
      </c>
      <c r="P55" s="2362" t="s">
        <v>2403</v>
      </c>
      <c r="Q55" s="2363">
        <f ca="1">Q49+Q50</f>
        <v>0</v>
      </c>
      <c r="R55" s="2366" t="s">
        <v>2387</v>
      </c>
    </row>
    <row r="56" spans="1:18" s="2043" customFormat="1" ht="16.5" thickBot="1">
      <c r="A56" s="2080"/>
      <c r="B56" s="2081"/>
      <c r="C56" s="2081"/>
      <c r="I56" s="3106" t="s">
        <v>2350</v>
      </c>
      <c r="J56" s="3046" t="e">
        <f ca="1">ROUND(IF(J48="钢混",J58/J51,1-(1-2%)*(J51-J58)/J51),3)</f>
        <v>#VALUE!</v>
      </c>
      <c r="K56" s="3107" t="s">
        <v>2351</v>
      </c>
      <c r="L56" s="2349"/>
      <c r="O56" s="2367" t="s">
        <v>2406</v>
      </c>
      <c r="P56" s="1577"/>
      <c r="Q56" s="1588"/>
      <c r="R56" s="1577"/>
    </row>
    <row r="57" spans="1:18" s="2043" customFormat="1" ht="43.5" thickBot="1">
      <c r="A57" s="2080"/>
      <c r="B57" s="2081"/>
      <c r="C57" s="2081"/>
      <c r="I57" s="3108" t="s">
        <v>2352</v>
      </c>
      <c r="J57" s="3118" t="s">
        <v>1676</v>
      </c>
      <c r="K57" s="3071" t="s">
        <v>2357</v>
      </c>
      <c r="L57" s="1892">
        <f ca="1">IF(L49&lt;J52,"——",L49-J52)</f>
        <v>50</v>
      </c>
      <c r="O57" s="2358" t="s">
        <v>2370</v>
      </c>
      <c r="P57" s="2359" t="s">
        <v>2371</v>
      </c>
      <c r="Q57" s="2360" t="s">
        <v>2372</v>
      </c>
      <c r="R57" s="2359" t="s">
        <v>2373</v>
      </c>
    </row>
    <row r="58" spans="1:18" s="2043" customFormat="1" ht="29.25" thickBot="1">
      <c r="A58" s="2080"/>
      <c r="B58" s="2081"/>
      <c r="C58" s="2081"/>
      <c r="I58" s="3109" t="s">
        <v>2353</v>
      </c>
      <c r="J58" s="3110" t="str">
        <f ca="1">IF(OR(M48="住宅",J52&lt;L49,J57="是"),"——",J52-L49)</f>
        <v>——</v>
      </c>
      <c r="K58" s="3071" t="s">
        <v>2358</v>
      </c>
      <c r="L58" s="1892">
        <f ca="1">IF(L49&lt;J52,"——",IF(L56="比较法",L50,IF(L56="基准地价",L51,L52)))</f>
        <v>13980</v>
      </c>
      <c r="O58" s="2361" t="s">
        <v>2374</v>
      </c>
      <c r="P58" s="2362" t="s">
        <v>2400</v>
      </c>
      <c r="Q58" s="2363">
        <f ca="1">C41+J31</f>
        <v>0</v>
      </c>
      <c r="R58" s="2362" t="s">
        <v>2375</v>
      </c>
    </row>
    <row r="59" spans="1:18" s="2043" customFormat="1" ht="29.25" thickBot="1">
      <c r="A59" s="2080"/>
      <c r="B59" s="2081"/>
      <c r="C59" s="2081"/>
      <c r="I59" s="3109" t="s">
        <v>2354</v>
      </c>
      <c r="J59" s="3047" t="e">
        <f ca="1">IF(J56&lt;0.4,0.4,J56)</f>
        <v>#VALUE!</v>
      </c>
      <c r="K59" s="3071" t="s">
        <v>2359</v>
      </c>
      <c r="L59" s="1892">
        <f ca="1">IF(ISERROR(POWER(1+L53,L48-L49)*(POWER(1+L53,L49)-1)/(POWER(1+L53,L48)-1)),0,POWER(1+L53,L48-L49)*(POWER(1+L53,L49)-1)/(POWER(1+L53,L48)-1))</f>
        <v>0</v>
      </c>
      <c r="O59" s="2361" t="s">
        <v>2376</v>
      </c>
      <c r="P59" s="2362" t="s">
        <v>2407</v>
      </c>
      <c r="Q59" s="2363" t="e">
        <f ca="1">L61</f>
        <v>#DIV/0!</v>
      </c>
      <c r="R59" s="2366" t="s">
        <v>2409</v>
      </c>
    </row>
    <row r="60" spans="1:18" s="2043" customFormat="1" ht="29.25" thickBot="1">
      <c r="A60" s="2080"/>
      <c r="B60" s="2081"/>
      <c r="C60" s="2081"/>
      <c r="I60" s="3109" t="s">
        <v>2355</v>
      </c>
      <c r="J60" s="3110" t="str">
        <f ca="1">IF(OR(M48="住宅",J52&lt;L49,J57="是"),"——",ROUND(C30*J59,0))</f>
        <v>——</v>
      </c>
      <c r="K60" s="3071" t="s">
        <v>2360</v>
      </c>
      <c r="L60" s="1892">
        <f ca="1">IF(ISERROR(POWER(1+L53,L48-J52)*(POWER(1+L53,J52)-1)/(POWER(1+L53,L48)-1)),0,POWER(1+L53,L48-J52)*(POWER(1+L53,J52)-1)/(POWER(1+L53,L48)-1))</f>
        <v>0</v>
      </c>
      <c r="O60" s="2364" t="s">
        <v>2378</v>
      </c>
      <c r="P60" s="2362" t="s">
        <v>2408</v>
      </c>
      <c r="Q60" s="2363">
        <f>IF(L56="比较法",L50,IF(L56="基准地价",L51,0))</f>
        <v>0</v>
      </c>
      <c r="R60" s="2362" t="s">
        <v>2375</v>
      </c>
    </row>
    <row r="61" spans="1:18" s="2043" customFormat="1" ht="15.75" thickBot="1">
      <c r="A61" s="2080"/>
      <c r="B61" s="2081"/>
      <c r="C61" s="2081"/>
      <c r="I61" s="3111" t="s">
        <v>2356</v>
      </c>
      <c r="J61" s="3112" t="str">
        <f ca="1">IF(OR(M48="住宅",J52&lt;L49,J57="是"),"0",ROUND(J60/(1+J53)^J54,0))</f>
        <v>0</v>
      </c>
      <c r="K61" s="3113" t="s">
        <v>2361</v>
      </c>
      <c r="L61" s="3112" t="e">
        <f ca="1">IF(OR(M48="住宅",L49&lt;J52),0,ROUND(L58*(L59/L60-1),0))</f>
        <v>#DIV/0!</v>
      </c>
      <c r="O61" s="2364" t="s">
        <v>2379</v>
      </c>
      <c r="P61" s="2362" t="s">
        <v>2388</v>
      </c>
      <c r="Q61" s="2365">
        <f>L53</f>
        <v>0</v>
      </c>
      <c r="R61" s="2366"/>
    </row>
    <row r="62" spans="1:18" s="2043" customFormat="1" ht="20.25" thickBot="1">
      <c r="A62" s="2080"/>
      <c r="B62" s="2081"/>
      <c r="C62" s="2081"/>
      <c r="K62" s="2070"/>
      <c r="O62" s="2364" t="s">
        <v>2381</v>
      </c>
      <c r="P62" s="2362" t="s">
        <v>2389</v>
      </c>
      <c r="Q62" s="2363">
        <f ca="1">L59</f>
        <v>0</v>
      </c>
      <c r="R62" s="2366" t="s">
        <v>2390</v>
      </c>
    </row>
    <row r="63" spans="1:18" s="2043" customFormat="1" ht="20.25" thickBot="1">
      <c r="A63" s="2080"/>
      <c r="B63" s="2081"/>
      <c r="C63" s="2081"/>
      <c r="I63" s="3114" t="s">
        <v>2362</v>
      </c>
      <c r="J63" s="3115" t="s">
        <v>2363</v>
      </c>
      <c r="K63" s="3115" t="s">
        <v>2364</v>
      </c>
      <c r="L63" s="3115" t="s">
        <v>2345</v>
      </c>
      <c r="M63" s="3116" t="s">
        <v>2936</v>
      </c>
      <c r="O63" s="2364" t="s">
        <v>2383</v>
      </c>
      <c r="P63" s="2362" t="s">
        <v>2391</v>
      </c>
      <c r="Q63" s="2363">
        <f ca="1">L60</f>
        <v>0</v>
      </c>
      <c r="R63" s="2366" t="s">
        <v>2392</v>
      </c>
    </row>
    <row r="64" spans="1:18" s="2043" customFormat="1" ht="15.75" thickBot="1">
      <c r="A64" s="2080"/>
      <c r="B64" s="2081"/>
      <c r="C64" s="2081"/>
      <c r="I64" s="3114" t="s">
        <v>2365</v>
      </c>
      <c r="J64" s="3115">
        <v>70</v>
      </c>
      <c r="K64" s="3115">
        <v>50</v>
      </c>
      <c r="L64" s="3115">
        <v>80</v>
      </c>
      <c r="M64" s="3117">
        <v>0.02</v>
      </c>
      <c r="O64" s="2361" t="s">
        <v>2386</v>
      </c>
      <c r="P64" s="2362" t="s">
        <v>2403</v>
      </c>
      <c r="Q64" s="2363" t="e">
        <f ca="1">Q58+Q59</f>
        <v>#DIV/0!</v>
      </c>
      <c r="R64" s="2366" t="s">
        <v>2387</v>
      </c>
    </row>
    <row r="65" spans="1:18" s="2043" customFormat="1" ht="16.5" thickBot="1">
      <c r="A65" s="2080"/>
      <c r="B65" s="2081"/>
      <c r="C65" s="2081"/>
      <c r="I65" s="3114" t="s">
        <v>2366</v>
      </c>
      <c r="J65" s="3115">
        <v>50</v>
      </c>
      <c r="K65" s="3115">
        <v>35</v>
      </c>
      <c r="L65" s="3115">
        <v>60</v>
      </c>
      <c r="M65" s="845">
        <v>0</v>
      </c>
      <c r="O65" s="2367" t="s">
        <v>2410</v>
      </c>
      <c r="P65" s="1577"/>
      <c r="Q65" s="1588"/>
      <c r="R65" s="1577"/>
    </row>
    <row r="66" spans="1:18" s="2043" customFormat="1" ht="15.75" thickBot="1">
      <c r="A66" s="2080"/>
      <c r="B66" s="2081"/>
      <c r="C66" s="2081"/>
      <c r="I66" s="3114" t="s">
        <v>2367</v>
      </c>
      <c r="J66" s="3115">
        <v>40</v>
      </c>
      <c r="K66" s="3115">
        <v>30</v>
      </c>
      <c r="L66" s="3115">
        <v>50</v>
      </c>
      <c r="M66" s="3117">
        <v>0.02</v>
      </c>
      <c r="O66" s="2358" t="s">
        <v>2370</v>
      </c>
      <c r="P66" s="2359" t="s">
        <v>2371</v>
      </c>
      <c r="Q66" s="2360" t="s">
        <v>2372</v>
      </c>
      <c r="R66" s="2359" t="s">
        <v>2373</v>
      </c>
    </row>
    <row r="67" spans="1:18" s="2043" customFormat="1" ht="15.75" thickBot="1">
      <c r="A67" s="2080"/>
      <c r="B67" s="2081"/>
      <c r="C67" s="2081"/>
      <c r="K67" s="2070"/>
      <c r="O67" s="2361" t="s">
        <v>2374</v>
      </c>
      <c r="P67" s="2362" t="s">
        <v>2400</v>
      </c>
      <c r="Q67" s="2363">
        <f ca="1">C41+J31</f>
        <v>0</v>
      </c>
      <c r="R67" s="2362" t="s">
        <v>2375</v>
      </c>
    </row>
    <row r="68" spans="1:18" s="2043" customFormat="1" ht="20.25" thickBot="1">
      <c r="A68" s="2080"/>
      <c r="B68" s="2081"/>
      <c r="C68" s="2081"/>
      <c r="K68" s="2070"/>
      <c r="O68" s="2361" t="s">
        <v>2376</v>
      </c>
      <c r="P68" s="2362" t="s">
        <v>2407</v>
      </c>
      <c r="Q68" s="2363" t="e">
        <f ca="1">L61</f>
        <v>#DIV/0!</v>
      </c>
      <c r="R68" s="2366" t="s">
        <v>2409</v>
      </c>
    </row>
    <row r="69" spans="1:18" s="2043" customFormat="1" ht="21.75" thickBot="1">
      <c r="A69" s="2080"/>
      <c r="B69" s="2081"/>
      <c r="C69" s="2081"/>
      <c r="K69" s="2070"/>
      <c r="O69" s="2364" t="s">
        <v>2378</v>
      </c>
      <c r="P69" s="2362" t="s">
        <v>2408</v>
      </c>
      <c r="Q69" s="2368">
        <f ca="1">L52</f>
        <v>13980</v>
      </c>
      <c r="R69" s="2369" t="s">
        <v>2411</v>
      </c>
    </row>
    <row r="70" spans="1:18" s="2043" customFormat="1" ht="20.25" thickBot="1">
      <c r="A70" s="2080"/>
      <c r="B70" s="2081"/>
      <c r="C70" s="2081"/>
      <c r="K70" s="2070"/>
      <c r="O70" s="2364" t="s">
        <v>2379</v>
      </c>
      <c r="P70" s="2370" t="s">
        <v>2393</v>
      </c>
      <c r="Q70" s="2363">
        <f ca="1">ROUND(Q71-Q72*Q73,0)</f>
        <v>596</v>
      </c>
      <c r="R70" s="2366"/>
    </row>
    <row r="71" spans="1:18" s="2043" customFormat="1" ht="15.75" thickBot="1">
      <c r="A71" s="2080"/>
      <c r="B71" s="2081"/>
      <c r="C71" s="2081"/>
      <c r="K71" s="2070"/>
      <c r="O71" s="2364" t="s">
        <v>2394</v>
      </c>
      <c r="P71" s="2370" t="s">
        <v>2395</v>
      </c>
      <c r="Q71" s="2363">
        <f ca="1">C42</f>
        <v>2284</v>
      </c>
      <c r="R71" s="2362" t="s">
        <v>2375</v>
      </c>
    </row>
    <row r="72" spans="1:18" s="2043" customFormat="1" ht="15.75" thickBot="1">
      <c r="A72" s="2080"/>
      <c r="B72" s="2081"/>
      <c r="C72" s="2081"/>
      <c r="K72" s="2070"/>
      <c r="O72" s="2364" t="s">
        <v>2396</v>
      </c>
      <c r="P72" s="2370" t="s">
        <v>2397</v>
      </c>
      <c r="Q72" s="2363">
        <f ca="1">C15</f>
        <v>21096</v>
      </c>
      <c r="R72" s="2362" t="s">
        <v>2375</v>
      </c>
    </row>
    <row r="73" spans="1:18" s="2043" customFormat="1" ht="15.75" thickBot="1">
      <c r="A73" s="2080"/>
      <c r="B73" s="2081"/>
      <c r="C73" s="2081"/>
      <c r="K73" s="2070"/>
      <c r="O73" s="2364" t="s">
        <v>2398</v>
      </c>
      <c r="P73" s="2370" t="s">
        <v>2399</v>
      </c>
      <c r="Q73" s="2365">
        <f ca="1">F43</f>
        <v>0.08</v>
      </c>
      <c r="R73" s="2366"/>
    </row>
    <row r="74" spans="1:18" s="2043" customFormat="1" ht="15.75" thickBot="1">
      <c r="A74" s="2080"/>
      <c r="B74" s="2081"/>
      <c r="C74" s="2081"/>
      <c r="K74" s="2070"/>
      <c r="O74" s="2364" t="s">
        <v>2381</v>
      </c>
      <c r="P74" s="2362" t="s">
        <v>2388</v>
      </c>
      <c r="Q74" s="2365">
        <f>L53</f>
        <v>0</v>
      </c>
      <c r="R74" s="2366"/>
    </row>
    <row r="75" spans="1:18" s="2043" customFormat="1" ht="20.25" thickBot="1">
      <c r="A75" s="2080"/>
      <c r="B75" s="2081"/>
      <c r="C75" s="2081"/>
      <c r="K75" s="2070"/>
      <c r="O75" s="2364" t="s">
        <v>2383</v>
      </c>
      <c r="P75" s="2362" t="s">
        <v>2389</v>
      </c>
      <c r="Q75" s="2363">
        <f ca="1">L59</f>
        <v>0</v>
      </c>
      <c r="R75" s="2366" t="s">
        <v>2390</v>
      </c>
    </row>
    <row r="76" spans="1:18" s="2043" customFormat="1" ht="20.25" thickBot="1">
      <c r="A76" s="2080"/>
      <c r="B76" s="2081"/>
      <c r="C76" s="2081"/>
      <c r="K76" s="2070"/>
      <c r="O76" s="2364" t="s">
        <v>2412</v>
      </c>
      <c r="P76" s="2362" t="s">
        <v>2391</v>
      </c>
      <c r="Q76" s="2363">
        <f ca="1">L60</f>
        <v>0</v>
      </c>
      <c r="R76" s="2366" t="s">
        <v>2392</v>
      </c>
    </row>
    <row r="77" spans="1:18" s="2043" customFormat="1" ht="15.75" thickBot="1">
      <c r="A77" s="2080"/>
      <c r="B77" s="2081"/>
      <c r="C77" s="2081"/>
      <c r="K77" s="2070"/>
      <c r="O77" s="2361" t="s">
        <v>2386</v>
      </c>
      <c r="P77" s="2362" t="s">
        <v>2403</v>
      </c>
      <c r="Q77" s="2363" t="e">
        <f ca="1">Q67+Q68</f>
        <v>#DIV/0!</v>
      </c>
      <c r="R77" s="2366" t="s">
        <v>2387</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5" priority="6">
      <formula>$F$12="自定义"</formula>
    </cfRule>
  </conditionalFormatting>
  <conditionalFormatting sqref="J13">
    <cfRule type="expression" dxfId="4" priority="5">
      <formula>$M$10="自定义"</formula>
    </cfRule>
  </conditionalFormatting>
  <conditionalFormatting sqref="K56">
    <cfRule type="expression" dxfId="3" priority="3">
      <formula>$L$48&gt;$J$51</formula>
    </cfRule>
  </conditionalFormatting>
  <conditionalFormatting sqref="I56">
    <cfRule type="expression" dxfId="2" priority="4">
      <formula>$J$51&gt;$L$48</formula>
    </cfRule>
  </conditionalFormatting>
  <conditionalFormatting sqref="I61">
    <cfRule type="expression" dxfId="1" priority="2">
      <formula>$J$51&gt;$L$48</formula>
    </cfRule>
  </conditionalFormatting>
  <conditionalFormatting sqref="K61">
    <cfRule type="expression" dxfId="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545" t="s">
        <v>2570</v>
      </c>
      <c r="C1" s="3545"/>
      <c r="D1" s="3545"/>
      <c r="E1" s="3545"/>
      <c r="F1" s="3545"/>
      <c r="G1" s="3544" t="s">
        <v>2571</v>
      </c>
      <c r="H1" s="3544"/>
      <c r="I1" s="3544"/>
      <c r="J1" s="3544"/>
      <c r="K1" s="3544"/>
      <c r="L1" s="3544"/>
      <c r="N1" s="3544" t="s">
        <v>2572</v>
      </c>
      <c r="O1" s="3544"/>
      <c r="P1" s="3544"/>
      <c r="Q1" s="3544"/>
      <c r="R1" s="2617"/>
      <c r="S1" s="3544" t="s">
        <v>2573</v>
      </c>
      <c r="T1" s="3544"/>
      <c r="U1" s="3544"/>
      <c r="V1" s="3544"/>
      <c r="X1" s="3543" t="s">
        <v>2633</v>
      </c>
      <c r="Y1" s="3544"/>
      <c r="Z1" s="3544"/>
      <c r="AA1" s="3544"/>
      <c r="AB1" s="3544"/>
      <c r="AD1" s="3543" t="s">
        <v>2637</v>
      </c>
      <c r="AE1" s="3544"/>
      <c r="AF1" s="3544"/>
      <c r="AG1" s="3544"/>
      <c r="AH1" s="3544"/>
    </row>
    <row r="2" spans="1:34" s="2718" customFormat="1" ht="14.25" thickBot="1">
      <c r="B2" s="2726" t="s">
        <v>2574</v>
      </c>
      <c r="C2" s="2726" t="s">
        <v>2635</v>
      </c>
      <c r="D2" s="2719" t="s">
        <v>1642</v>
      </c>
      <c r="E2" s="2719" t="s">
        <v>1945</v>
      </c>
      <c r="F2" s="2726" t="s">
        <v>2636</v>
      </c>
      <c r="G2" s="2722"/>
      <c r="H2" s="2721"/>
      <c r="I2" s="2726" t="s">
        <v>2949</v>
      </c>
      <c r="J2" s="2719" t="s">
        <v>2951</v>
      </c>
      <c r="K2" s="2719" t="s">
        <v>2952</v>
      </c>
      <c r="L2" s="2726" t="s">
        <v>2953</v>
      </c>
      <c r="N2" s="2726" t="s">
        <v>2574</v>
      </c>
      <c r="O2" s="2719" t="s">
        <v>2950</v>
      </c>
      <c r="P2" s="2719" t="s">
        <v>1945</v>
      </c>
      <c r="Q2" s="2726" t="s">
        <v>2636</v>
      </c>
      <c r="R2" s="2720"/>
      <c r="S2" s="2726" t="s">
        <v>2574</v>
      </c>
      <c r="T2" s="2719" t="s">
        <v>2950</v>
      </c>
      <c r="U2" s="2719" t="s">
        <v>1945</v>
      </c>
      <c r="V2" s="2726" t="s">
        <v>2636</v>
      </c>
      <c r="X2" s="2726" t="s">
        <v>2574</v>
      </c>
      <c r="Y2" s="2726" t="s">
        <v>2635</v>
      </c>
      <c r="Z2" s="2719" t="s">
        <v>1642</v>
      </c>
      <c r="AA2" s="2719" t="s">
        <v>1945</v>
      </c>
      <c r="AB2" s="2726" t="s">
        <v>2636</v>
      </c>
      <c r="AD2" s="2726" t="s">
        <v>2574</v>
      </c>
      <c r="AE2" s="2726" t="s">
        <v>2635</v>
      </c>
      <c r="AF2" s="2719" t="s">
        <v>1642</v>
      </c>
      <c r="AG2" s="2719" t="s">
        <v>1945</v>
      </c>
      <c r="AH2" s="2726" t="s">
        <v>2636</v>
      </c>
    </row>
    <row r="3" spans="1:34" s="3076" customFormat="1" ht="14.25">
      <c r="A3" s="3088" t="s">
        <v>2962</v>
      </c>
      <c r="B3" s="3077"/>
      <c r="C3" s="3077"/>
      <c r="D3" s="3078"/>
      <c r="E3" s="3078"/>
      <c r="F3" s="3077"/>
      <c r="G3" s="3079"/>
      <c r="H3" s="3080"/>
      <c r="I3" s="3087">
        <f>ROUND(AVERAGE($I4:$I30),2)</f>
        <v>1.85</v>
      </c>
      <c r="J3" s="3087">
        <f>ROUND(AVERAGE($J4:$J30),2)</f>
        <v>1.28</v>
      </c>
      <c r="K3" s="3087">
        <f>ROUND(AVERAGE($K4:$K30),2)</f>
        <v>2.0299999999999998</v>
      </c>
      <c r="L3" s="3087">
        <f>ROUND(AVERAGE($L4:$L30),2)</f>
        <v>1.31</v>
      </c>
      <c r="N3" s="3079"/>
      <c r="O3" s="3081"/>
      <c r="P3" s="3081"/>
      <c r="Q3" s="3081"/>
      <c r="R3" s="3081"/>
      <c r="S3" s="3079"/>
      <c r="T3" s="3081"/>
      <c r="U3" s="3081"/>
      <c r="V3" s="3081"/>
      <c r="W3" s="3084"/>
      <c r="X3" s="3082">
        <f>ROUND(SUMPRODUCT(PRODUCT(1+N3:N$29)),4)</f>
        <v>1.5605</v>
      </c>
      <c r="Y3" s="3082">
        <f>ROUND(SUMPRODUCT(PRODUCT(1+O3:O$29)),4)</f>
        <v>1.3577999999999999</v>
      </c>
      <c r="Z3" s="3082">
        <f t="shared" ref="Z3:Z27" si="0">Y3</f>
        <v>1.3577999999999999</v>
      </c>
      <c r="AA3" s="3082">
        <f>ROUND(SUMPRODUCT(PRODUCT(1+P3:P$29)),4)</f>
        <v>1.6254999999999999</v>
      </c>
      <c r="AB3" s="3082">
        <f>ROUND(SUMPRODUCT(PRODUCT(1+Q3:Q$29)),4)</f>
        <v>1.3815999999999999</v>
      </c>
      <c r="AD3" s="3083">
        <f>ROUND(AVERAGE(I3:I$30)/100,4)</f>
        <v>1.8499999999999999E-2</v>
      </c>
      <c r="AE3" s="3083">
        <f>ROUND(AVERAGE(J3:J$30)/100,4)</f>
        <v>1.2800000000000001E-2</v>
      </c>
      <c r="AF3" s="3083">
        <f t="shared" ref="AF3:AF28" si="1">AE3</f>
        <v>1.2800000000000001E-2</v>
      </c>
      <c r="AG3" s="3083">
        <f>ROUND(AVERAGE(K3:K$30)/100,4)</f>
        <v>2.0299999999999999E-2</v>
      </c>
      <c r="AH3" s="3083">
        <f>ROUND(AVERAGE(L3:L$30)/100,4)</f>
        <v>1.3100000000000001E-2</v>
      </c>
    </row>
    <row r="4" spans="1:34" s="2711" customFormat="1" ht="14.25">
      <c r="B4" s="2712"/>
      <c r="C4" s="2712"/>
      <c r="D4" s="2713"/>
      <c r="E4" s="2713"/>
      <c r="F4" s="2712"/>
      <c r="G4" s="2717"/>
      <c r="H4" s="2714"/>
      <c r="I4" s="3072"/>
      <c r="J4" s="3072"/>
      <c r="K4" s="3072"/>
      <c r="L4" s="3072"/>
      <c r="N4" s="2717"/>
      <c r="O4" s="2715"/>
      <c r="P4" s="2715"/>
      <c r="Q4" s="2715"/>
      <c r="R4" s="2715"/>
      <c r="S4" s="2717"/>
      <c r="T4" s="2715"/>
      <c r="U4" s="2715"/>
      <c r="V4" s="2715"/>
      <c r="W4" s="3085"/>
      <c r="X4" s="2716"/>
      <c r="Y4" s="2716"/>
      <c r="Z4" s="2716"/>
      <c r="AA4" s="2716"/>
      <c r="AB4" s="2716"/>
      <c r="AD4" s="2636"/>
      <c r="AE4" s="2636"/>
      <c r="AF4" s="2636"/>
      <c r="AG4" s="2636"/>
      <c r="AH4" s="2636"/>
    </row>
    <row r="5" spans="1:34" s="3060" customFormat="1">
      <c r="A5" s="3058" t="s">
        <v>2991</v>
      </c>
      <c r="B5" s="2750">
        <f t="shared" ref="B5" si="2">B6*(1+N5)</f>
        <v>479.92259063878413</v>
      </c>
      <c r="C5" s="2750">
        <f t="shared" ref="C5" si="3">C6*(1+O5)</f>
        <v>350.02082268341775</v>
      </c>
      <c r="D5" s="2750">
        <f t="shared" ref="D5" si="4">C5</f>
        <v>350.02082268341775</v>
      </c>
      <c r="E5" s="2750">
        <f t="shared" ref="E5" si="5">E6*(1+P5)</f>
        <v>687.42265944181099</v>
      </c>
      <c r="F5" s="2750">
        <f t="shared" ref="F5" si="6">F6*(1+Q5)</f>
        <v>317.63846657708956</v>
      </c>
      <c r="G5" s="2717">
        <v>2020</v>
      </c>
      <c r="H5" s="3059">
        <v>2</v>
      </c>
      <c r="I5" s="3073">
        <v>0</v>
      </c>
      <c r="J5" s="3073">
        <v>0</v>
      </c>
      <c r="K5" s="3073">
        <v>0</v>
      </c>
      <c r="L5" s="3073">
        <v>0</v>
      </c>
      <c r="N5" s="2724">
        <f t="shared" ref="N5" si="7">I5/100</f>
        <v>0</v>
      </c>
      <c r="O5" s="2724">
        <f t="shared" ref="O5" si="8">J5/100</f>
        <v>0</v>
      </c>
      <c r="P5" s="2724">
        <f t="shared" ref="P5" si="9">K5/100</f>
        <v>0</v>
      </c>
      <c r="Q5" s="2724">
        <f t="shared" ref="Q5" si="10">L5/100</f>
        <v>0</v>
      </c>
      <c r="R5" s="3061"/>
      <c r="S5" s="3062"/>
      <c r="T5" s="3061"/>
      <c r="U5" s="3061"/>
      <c r="V5" s="3061"/>
      <c r="W5" s="3086" t="s">
        <v>2963</v>
      </c>
      <c r="X5" s="3063">
        <f>ROUND(IF(项目基本情况!B8="出让",SUMPRODUCT(PRODUCT(1+N5:N$30)),SUMPRODUCT(PRODUCT(1+N5:N$29))),4)</f>
        <v>1.5605</v>
      </c>
      <c r="Y5" s="3063">
        <f>ROUND(IF(项目基本情况!B8="出让",SUMPRODUCT(PRODUCT(1+O5:O$30)),SUMPRODUCT(PRODUCT(1+O5:O$29))),4)</f>
        <v>1.3577999999999999</v>
      </c>
      <c r="Z5" s="3063">
        <f t="shared" ref="Z5" si="11">Y5</f>
        <v>1.3577999999999999</v>
      </c>
      <c r="AA5" s="3063">
        <f>ROUND(IF(项目基本情况!B8="出让",SUMPRODUCT(PRODUCT(1+P5:P$30)),SUMPRODUCT(PRODUCT(1+P5:P$29))),4)</f>
        <v>1.6254999999999999</v>
      </c>
      <c r="AB5" s="3063">
        <f>ROUND(IF(项目基本情况!B8="出让",SUMPRODUCT(PRODUCT(1+Q5:Q$30)),SUMPRODUCT(PRODUCT(1+Q5:Q$29))),4)</f>
        <v>1.3815999999999999</v>
      </c>
      <c r="AD5" s="3064">
        <f>ROUND(AVERAGE(I5:I$30)/100,4)</f>
        <v>1.8499999999999999E-2</v>
      </c>
      <c r="AE5" s="3064">
        <f>ROUND(AVERAGE(J5:J$30)/100,4)</f>
        <v>1.2800000000000001E-2</v>
      </c>
      <c r="AF5" s="3064">
        <f t="shared" ref="AF5" si="12">AE5</f>
        <v>1.2800000000000001E-2</v>
      </c>
      <c r="AG5" s="3064">
        <f>ROUND(AVERAGE(K5:K$30)/100,4)</f>
        <v>2.0299999999999999E-2</v>
      </c>
      <c r="AH5" s="3064">
        <f>ROUND(AVERAGE(L5:L$30)/100,4)</f>
        <v>1.3100000000000001E-2</v>
      </c>
    </row>
    <row r="6" spans="1:34" s="2723" customFormat="1">
      <c r="A6" s="2618" t="s">
        <v>2990</v>
      </c>
      <c r="B6" s="2631">
        <f t="shared" ref="B6" si="13">B7*(1+N6)</f>
        <v>479.92259063878413</v>
      </c>
      <c r="C6" s="2631">
        <f t="shared" ref="C6" si="14">C7*(1+O6)</f>
        <v>350.02082268341775</v>
      </c>
      <c r="D6" s="2631">
        <f t="shared" ref="D6" si="15">C6</f>
        <v>350.02082268341775</v>
      </c>
      <c r="E6" s="2631">
        <f t="shared" ref="E6" si="16">E7*(1+P6)</f>
        <v>687.42265944181099</v>
      </c>
      <c r="F6" s="2631">
        <f t="shared" ref="F6" si="17">F7*(1+Q6)</f>
        <v>317.63846657708956</v>
      </c>
      <c r="G6" s="2717">
        <v>2020</v>
      </c>
      <c r="H6" s="2621">
        <v>1</v>
      </c>
      <c r="I6" s="3175">
        <v>0.12</v>
      </c>
      <c r="J6" s="3175">
        <v>-0.4</v>
      </c>
      <c r="K6" s="3175">
        <v>0.21</v>
      </c>
      <c r="L6" s="3176">
        <v>0.27</v>
      </c>
      <c r="M6" s="2625"/>
      <c r="N6" s="2626">
        <f t="shared" ref="N6" si="18">I6/100</f>
        <v>1.1999999999999999E-3</v>
      </c>
      <c r="O6" s="2627">
        <f t="shared" ref="O6" si="19">J6/100</f>
        <v>-4.0000000000000001E-3</v>
      </c>
      <c r="P6" s="2627">
        <f t="shared" ref="P6" si="20">K6/100</f>
        <v>2.0999999999999999E-3</v>
      </c>
      <c r="Q6" s="2627">
        <f t="shared" ref="Q6" si="21">L6/100</f>
        <v>2.7000000000000001E-3</v>
      </c>
      <c r="R6" s="2628"/>
      <c r="S6" s="2634">
        <f>B6/B7-1</f>
        <v>1.2000000000000899E-3</v>
      </c>
      <c r="T6" s="2635">
        <f>C6/C7-1</f>
        <v>-4.0000000000000036E-3</v>
      </c>
      <c r="U6" s="2635">
        <f>E6/E7-1</f>
        <v>2.0999999999999908E-3</v>
      </c>
      <c r="V6" s="2635">
        <f>F6/F7-1</f>
        <v>2.6999999999999247E-3</v>
      </c>
      <c r="W6" s="2625"/>
      <c r="X6" s="2716">
        <f>ROUND(IF(项目基本情况!B8="出让",SUMPRODUCT(PRODUCT(1+N6:N$30)),SUMPRODUCT(PRODUCT(1+N6:N$29))),4)</f>
        <v>1.5605</v>
      </c>
      <c r="Y6" s="2716">
        <f>ROUND(IF(项目基本情况!B8="出让",SUMPRODUCT(PRODUCT(1+O6:O$30)),SUMPRODUCT(PRODUCT(1+O6:O$29))),4)</f>
        <v>1.3577999999999999</v>
      </c>
      <c r="Z6" s="2716">
        <f t="shared" ref="Z6" si="22">Y6</f>
        <v>1.3577999999999999</v>
      </c>
      <c r="AA6" s="2716">
        <f>ROUND(IF(项目基本情况!B8="出让",SUMPRODUCT(PRODUCT(1+P6:P$30)),SUMPRODUCT(PRODUCT(1+P6:P$29))),4)</f>
        <v>1.6254999999999999</v>
      </c>
      <c r="AB6" s="2716">
        <f>ROUND(IF(项目基本情况!B8="出让",SUMPRODUCT(PRODUCT(1+Q6:Q$30)),SUMPRODUCT(PRODUCT(1+Q6:Q$29))),4)</f>
        <v>1.3815999999999999</v>
      </c>
      <c r="AC6" s="2625"/>
      <c r="AD6" s="2636">
        <f>ROUND(AVERAGE(I6:I$30)/100,4)</f>
        <v>1.9199999999999998E-2</v>
      </c>
      <c r="AE6" s="2636">
        <f>ROUND(AVERAGE(J6:J$30)/100,4)</f>
        <v>1.3299999999999999E-2</v>
      </c>
      <c r="AF6" s="2636">
        <f t="shared" ref="AF6" si="23">AE6</f>
        <v>1.3299999999999999E-2</v>
      </c>
      <c r="AG6" s="2636">
        <f>ROUND(AVERAGE(K6:K$30)/100,4)</f>
        <v>2.1100000000000001E-2</v>
      </c>
      <c r="AH6" s="2636">
        <f>ROUND(AVERAGE(L6:L$30)/100,4)</f>
        <v>1.3599999999999999E-2</v>
      </c>
    </row>
    <row r="7" spans="1:34" s="2723" customFormat="1">
      <c r="A7" s="2618" t="s">
        <v>2986</v>
      </c>
      <c r="B7" s="2631">
        <f t="shared" ref="B7" si="24">B8*(1+N7)</f>
        <v>479.34737379023579</v>
      </c>
      <c r="C7" s="2631">
        <f t="shared" ref="C7" si="25">C8*(1+O7)</f>
        <v>351.4265287986122</v>
      </c>
      <c r="D7" s="2631">
        <f t="shared" ref="D7" si="26">C7</f>
        <v>351.4265287986122</v>
      </c>
      <c r="E7" s="2631">
        <f t="shared" ref="E7" si="27">E8*(1+P7)</f>
        <v>685.98209703803116</v>
      </c>
      <c r="F7" s="2631">
        <f t="shared" ref="F7" si="28">F8*(1+Q7)</f>
        <v>316.78315206651001</v>
      </c>
      <c r="G7" s="2717">
        <v>2019</v>
      </c>
      <c r="H7" s="2621">
        <v>4</v>
      </c>
      <c r="I7" s="2621">
        <v>0.45</v>
      </c>
      <c r="J7" s="2621">
        <v>-0.12</v>
      </c>
      <c r="K7" s="2621">
        <v>0.54</v>
      </c>
      <c r="L7" s="2632">
        <v>0.48</v>
      </c>
      <c r="M7" s="2625"/>
      <c r="N7" s="2626">
        <f t="shared" ref="N7" si="29">I7/100</f>
        <v>4.5000000000000005E-3</v>
      </c>
      <c r="O7" s="2627">
        <f t="shared" ref="O7" si="30">J7/100</f>
        <v>-1.1999999999999999E-3</v>
      </c>
      <c r="P7" s="2627">
        <f t="shared" ref="P7" si="31">K7/100</f>
        <v>5.4000000000000003E-3</v>
      </c>
      <c r="Q7" s="2627">
        <f t="shared" ref="Q7" si="32">L7/100</f>
        <v>4.7999999999999996E-3</v>
      </c>
      <c r="R7" s="2628"/>
      <c r="S7" s="2634"/>
      <c r="T7" s="2635"/>
      <c r="U7" s="2635"/>
      <c r="V7" s="2635"/>
      <c r="W7" s="2625"/>
      <c r="X7" s="2716">
        <f>ROUND(IF(项目基本情况!B8="出让",SUMPRODUCT(PRODUCT(1+N7:N$30)),SUMPRODUCT(PRODUCT(1+N7:N$29))),4)</f>
        <v>1.5586</v>
      </c>
      <c r="Y7" s="2716">
        <f>ROUND(IF(项目基本情况!B8="出让",SUMPRODUCT(PRODUCT(1+O7:O$30)),SUMPRODUCT(PRODUCT(1+O7:O$29))),4)</f>
        <v>1.3633</v>
      </c>
      <c r="Z7" s="2716">
        <f t="shared" ref="Z7" si="33">Y7</f>
        <v>1.3633</v>
      </c>
      <c r="AA7" s="2716">
        <f>ROUND(IF(项目基本情况!B8="出让",SUMPRODUCT(PRODUCT(1+P7:P$30)),SUMPRODUCT(PRODUCT(1+P7:P$29))),4)</f>
        <v>1.6221000000000001</v>
      </c>
      <c r="AB7" s="2716">
        <f>ROUND(IF(项目基本情况!B8="出让",SUMPRODUCT(PRODUCT(1+Q7:Q$30)),SUMPRODUCT(PRODUCT(1+Q7:Q$29))),4)</f>
        <v>1.3777999999999999</v>
      </c>
      <c r="AC7" s="2625"/>
      <c r="AD7" s="2636">
        <f>ROUND(AVERAGE(I7:I$30)/100,4)</f>
        <v>0.02</v>
      </c>
      <c r="AE7" s="2636">
        <f>ROUND(AVERAGE(J7:J$30)/100,4)</f>
        <v>1.4E-2</v>
      </c>
      <c r="AF7" s="2636">
        <f t="shared" ref="AF7" si="34">AE7</f>
        <v>1.4E-2</v>
      </c>
      <c r="AG7" s="2636">
        <f>ROUND(AVERAGE(K7:K$30)/100,4)</f>
        <v>2.1899999999999999E-2</v>
      </c>
      <c r="AH7" s="2636">
        <f>ROUND(AVERAGE(L7:L$30)/100,4)</f>
        <v>1.4E-2</v>
      </c>
    </row>
    <row r="8" spans="1:34" s="2723" customFormat="1" ht="13.5" thickBot="1">
      <c r="A8" s="2618" t="s">
        <v>2985</v>
      </c>
      <c r="B8" s="2631">
        <f t="shared" ref="B8" si="35">B9*(1+N8)</f>
        <v>477.19997390765138</v>
      </c>
      <c r="C8" s="2631">
        <f t="shared" ref="C8" si="36">C9*(1+O8)</f>
        <v>351.84874729536665</v>
      </c>
      <c r="D8" s="2631">
        <f t="shared" ref="D8" si="37">C8</f>
        <v>351.84874729536665</v>
      </c>
      <c r="E8" s="2631">
        <f t="shared" ref="E8" si="38">E9*(1+P8)</f>
        <v>682.29768951465201</v>
      </c>
      <c r="F8" s="2631">
        <f t="shared" ref="F8" si="39">F9*(1+Q8)</f>
        <v>315.26985675409043</v>
      </c>
      <c r="G8" s="2717">
        <v>2019</v>
      </c>
      <c r="H8" s="2621">
        <v>3</v>
      </c>
      <c r="I8" s="2621">
        <v>0.61</v>
      </c>
      <c r="J8" s="2621">
        <v>0.67</v>
      </c>
      <c r="K8" s="2621">
        <v>0.6</v>
      </c>
      <c r="L8" s="2632">
        <v>1.03</v>
      </c>
      <c r="M8" s="2625"/>
      <c r="N8" s="2626">
        <f t="shared" ref="N8" si="40">I8/100</f>
        <v>6.0999999999999995E-3</v>
      </c>
      <c r="O8" s="2627">
        <f t="shared" ref="O8" si="41">J8/100</f>
        <v>6.7000000000000002E-3</v>
      </c>
      <c r="P8" s="2627">
        <f t="shared" ref="P8" si="42">K8/100</f>
        <v>6.0000000000000001E-3</v>
      </c>
      <c r="Q8" s="2627">
        <f t="shared" ref="Q8" si="43">L8/100</f>
        <v>1.03E-2</v>
      </c>
      <c r="R8" s="2628"/>
      <c r="S8" s="2634"/>
      <c r="T8" s="2635"/>
      <c r="U8" s="2635"/>
      <c r="V8" s="2635"/>
      <c r="W8" s="2625"/>
      <c r="X8" s="2716">
        <f>ROUND(IF(项目基本情况!B8="出让",SUMPRODUCT(PRODUCT(1+N8:N$30)),SUMPRODUCT(PRODUCT(1+N8:N$29))),4)</f>
        <v>1.5516000000000001</v>
      </c>
      <c r="Y8" s="2716">
        <f>ROUND(IF(项目基本情况!B8="出让",SUMPRODUCT(PRODUCT(1+O8:O$30)),SUMPRODUCT(PRODUCT(1+O8:O$29))),4)</f>
        <v>1.3649</v>
      </c>
      <c r="Z8" s="2716">
        <f t="shared" ref="Z8" si="44">Y8</f>
        <v>1.3649</v>
      </c>
      <c r="AA8" s="2716">
        <f>ROUND(IF(项目基本情况!B8="出让",SUMPRODUCT(PRODUCT(1+P8:P$30)),SUMPRODUCT(PRODUCT(1+P8:P$29))),4)</f>
        <v>1.6133999999999999</v>
      </c>
      <c r="AB8" s="2716">
        <f>ROUND(IF(项目基本情况!B8="出让",SUMPRODUCT(PRODUCT(1+Q8:Q$30)),SUMPRODUCT(PRODUCT(1+Q8:Q$29))),4)</f>
        <v>1.3713</v>
      </c>
      <c r="AC8" s="2625"/>
      <c r="AD8" s="2636">
        <f>ROUND(AVERAGE(I8:I$30)/100,4)</f>
        <v>2.07E-2</v>
      </c>
      <c r="AE8" s="2636">
        <f>ROUND(AVERAGE(J8:J$30)/100,4)</f>
        <v>1.47E-2</v>
      </c>
      <c r="AF8" s="2636">
        <f t="shared" ref="AF8" si="45">AE8</f>
        <v>1.47E-2</v>
      </c>
      <c r="AG8" s="2636">
        <f>ROUND(AVERAGE(K8:K$30)/100,4)</f>
        <v>2.2599999999999999E-2</v>
      </c>
      <c r="AH8" s="2636">
        <f>ROUND(AVERAGE(L8:L$30)/100,4)</f>
        <v>1.44E-2</v>
      </c>
    </row>
    <row r="9" spans="1:34" s="2723" customFormat="1">
      <c r="A9" s="2618" t="s">
        <v>2983</v>
      </c>
      <c r="B9" s="2631">
        <f t="shared" ref="B9:B14" si="46">B10*(1+N9)</f>
        <v>474.30670301923408</v>
      </c>
      <c r="C9" s="2631">
        <f t="shared" ref="C9" si="47">C10*(1+O9)</f>
        <v>349.50705005996491</v>
      </c>
      <c r="D9" s="2631">
        <f t="shared" ref="D9" si="48">C9</f>
        <v>349.50705005996491</v>
      </c>
      <c r="E9" s="2631">
        <f t="shared" ref="E9" si="49">E10*(1+P9)</f>
        <v>678.22831959706957</v>
      </c>
      <c r="F9" s="2631">
        <f t="shared" ref="F9" si="50">F10*(1+Q9)</f>
        <v>312.0556832169558</v>
      </c>
      <c r="G9" s="2717">
        <v>2019</v>
      </c>
      <c r="H9" s="2619">
        <v>2</v>
      </c>
      <c r="I9" s="2619">
        <v>1.53</v>
      </c>
      <c r="J9" s="2619">
        <v>1.01</v>
      </c>
      <c r="K9" s="2619">
        <v>1.62</v>
      </c>
      <c r="L9" s="2620">
        <v>1.25</v>
      </c>
      <c r="M9" s="2625"/>
      <c r="N9" s="2626">
        <f t="shared" ref="N9" si="51">I9/100</f>
        <v>1.5300000000000001E-2</v>
      </c>
      <c r="O9" s="2627">
        <f t="shared" ref="O9" si="52">J9/100</f>
        <v>1.01E-2</v>
      </c>
      <c r="P9" s="2627">
        <f t="shared" ref="P9" si="53">K9/100</f>
        <v>1.6200000000000003E-2</v>
      </c>
      <c r="Q9" s="2627">
        <f t="shared" ref="Q9" si="54">L9/100</f>
        <v>1.2500000000000001E-2</v>
      </c>
      <c r="R9" s="2628"/>
      <c r="S9" s="2634"/>
      <c r="T9" s="2635"/>
      <c r="U9" s="2635"/>
      <c r="V9" s="2635"/>
      <c r="W9" s="2625"/>
      <c r="X9" s="2716">
        <f>ROUND(IF(项目基本情况!B8="出让",SUMPRODUCT(PRODUCT(1+N9:N$30)),SUMPRODUCT(PRODUCT(1+N9:N$29))),4)</f>
        <v>1.5422</v>
      </c>
      <c r="Y9" s="2716">
        <f>ROUND(IF(项目基本情况!B8="出让",SUMPRODUCT(PRODUCT(1+O9:O$30)),SUMPRODUCT(PRODUCT(1+O9:O$29))),4)</f>
        <v>1.3557999999999999</v>
      </c>
      <c r="Z9" s="2716">
        <f t="shared" ref="Z9" si="55">Y9</f>
        <v>1.3557999999999999</v>
      </c>
      <c r="AA9" s="2716">
        <f>ROUND(IF(项目基本情况!B8="出让",SUMPRODUCT(PRODUCT(1+P9:P$30)),SUMPRODUCT(PRODUCT(1+P9:P$29))),4)</f>
        <v>1.6036999999999999</v>
      </c>
      <c r="AB9" s="2716">
        <f>ROUND(IF(项目基本情况!B8="出让",SUMPRODUCT(PRODUCT(1+Q9:Q$30)),SUMPRODUCT(PRODUCT(1+Q9:Q$29))),4)</f>
        <v>1.3573</v>
      </c>
      <c r="AC9" s="2625"/>
      <c r="AD9" s="2636">
        <f>ROUND(AVERAGE(I9:I$30)/100,4)</f>
        <v>2.1299999999999999E-2</v>
      </c>
      <c r="AE9" s="2636">
        <f>ROUND(AVERAGE(J9:J$30)/100,4)</f>
        <v>1.4999999999999999E-2</v>
      </c>
      <c r="AF9" s="2636">
        <f t="shared" ref="AF9" si="56">AE9</f>
        <v>1.4999999999999999E-2</v>
      </c>
      <c r="AG9" s="2636">
        <f>ROUND(AVERAGE(K9:K$30)/100,4)</f>
        <v>2.3300000000000001E-2</v>
      </c>
      <c r="AH9" s="2636">
        <f>ROUND(AVERAGE(L9:L$30)/100,4)</f>
        <v>1.46E-2</v>
      </c>
    </row>
    <row r="10" spans="1:34" s="2723" customFormat="1" ht="13.5" thickBot="1">
      <c r="A10" s="2618" t="s">
        <v>2982</v>
      </c>
      <c r="B10" s="2631">
        <f t="shared" si="46"/>
        <v>467.15916775261894</v>
      </c>
      <c r="C10" s="2631">
        <f t="shared" ref="C10" si="57">C11*(1+O10)</f>
        <v>346.01232557169084</v>
      </c>
      <c r="D10" s="2631">
        <f t="shared" ref="D10" si="58">C10</f>
        <v>346.01232557169084</v>
      </c>
      <c r="E10" s="2631">
        <f t="shared" ref="E10" si="59">E11*(1+P10)</f>
        <v>667.41617752122568</v>
      </c>
      <c r="F10" s="2631">
        <f t="shared" ref="F10" si="60">F11*(1+Q10)</f>
        <v>308.20314391798104</v>
      </c>
      <c r="G10" s="2717">
        <v>2019</v>
      </c>
      <c r="H10" s="2621">
        <v>1</v>
      </c>
      <c r="I10" s="2621">
        <v>0.6</v>
      </c>
      <c r="J10" s="2621">
        <v>0.37</v>
      </c>
      <c r="K10" s="2621">
        <v>0.63</v>
      </c>
      <c r="L10" s="2632">
        <v>1.1299999999999999</v>
      </c>
      <c r="M10" s="2625"/>
      <c r="N10" s="2626">
        <f t="shared" ref="N10" si="61">I10/100</f>
        <v>6.0000000000000001E-3</v>
      </c>
      <c r="O10" s="2627">
        <f t="shared" ref="O10" si="62">J10/100</f>
        <v>3.7000000000000002E-3</v>
      </c>
      <c r="P10" s="2627">
        <f t="shared" ref="P10" si="63">K10/100</f>
        <v>6.3E-3</v>
      </c>
      <c r="Q10" s="2627">
        <f t="shared" ref="Q10" si="64">L10/100</f>
        <v>1.1299999999999999E-2</v>
      </c>
      <c r="R10" s="2628"/>
      <c r="S10" s="2634">
        <f>B10/B11-1</f>
        <v>6.0000000000000053E-3</v>
      </c>
      <c r="T10" s="2635">
        <f>C10/C11-1</f>
        <v>3.7000000000000366E-3</v>
      </c>
      <c r="U10" s="2635">
        <f>E10/E11-1</f>
        <v>6.2999999999999723E-3</v>
      </c>
      <c r="V10" s="2635">
        <f>F10/F11-1</f>
        <v>1.1300000000000088E-2</v>
      </c>
      <c r="W10" s="2625"/>
      <c r="X10" s="2716">
        <f>ROUND(IF(项目基本情况!B8="出让",SUMPRODUCT(PRODUCT(1+N10:N$30)),SUMPRODUCT(PRODUCT(1+N10:N$29))),4)</f>
        <v>1.5189999999999999</v>
      </c>
      <c r="Y10" s="2716">
        <f>ROUND(IF(项目基本情况!B8="出让",SUMPRODUCT(PRODUCT(1+O10:O$30)),SUMPRODUCT(PRODUCT(1+O10:O$29))),4)</f>
        <v>1.3423</v>
      </c>
      <c r="Z10" s="2716">
        <f t="shared" ref="Z10" si="65">Y10</f>
        <v>1.3423</v>
      </c>
      <c r="AA10" s="2716">
        <f>ROUND(IF(项目基本情况!B8="出让",SUMPRODUCT(PRODUCT(1+P10:P$30)),SUMPRODUCT(PRODUCT(1+P10:P$29))),4)</f>
        <v>1.5782</v>
      </c>
      <c r="AB10" s="2716">
        <f>ROUND(IF(项目基本情况!B8="出让",SUMPRODUCT(PRODUCT(1+Q10:Q$30)),SUMPRODUCT(PRODUCT(1+Q10:Q$29))),4)</f>
        <v>1.3405</v>
      </c>
      <c r="AC10" s="2625"/>
      <c r="AD10" s="2636">
        <f>ROUND(AVERAGE(I10:I$30)/100,4)</f>
        <v>2.1600000000000001E-2</v>
      </c>
      <c r="AE10" s="2636">
        <f>ROUND(AVERAGE(J10:J$30)/100,4)</f>
        <v>1.5299999999999999E-2</v>
      </c>
      <c r="AF10" s="2636">
        <f t="shared" ref="AF10" si="66">AE10</f>
        <v>1.5299999999999999E-2</v>
      </c>
      <c r="AG10" s="2636">
        <f>ROUND(AVERAGE(K10:K$30)/100,4)</f>
        <v>2.3699999999999999E-2</v>
      </c>
      <c r="AH10" s="2636">
        <f>ROUND(AVERAGE(L10:L$30)/100,4)</f>
        <v>1.47E-2</v>
      </c>
    </row>
    <row r="11" spans="1:34" s="2723" customFormat="1">
      <c r="A11" s="2618" t="s">
        <v>2979</v>
      </c>
      <c r="B11" s="3172">
        <f t="shared" si="46"/>
        <v>464.37293017158942</v>
      </c>
      <c r="C11" s="3172">
        <f t="shared" ref="C11" si="67">C12*(1+O11)</f>
        <v>344.73679941385956</v>
      </c>
      <c r="D11" s="3172">
        <f t="shared" ref="D11" si="68">C11</f>
        <v>344.73679941385956</v>
      </c>
      <c r="E11" s="3172">
        <f t="shared" ref="E11" si="69">E12*(1+P11)</f>
        <v>663.2377795103107</v>
      </c>
      <c r="F11" s="3173">
        <f t="shared" ref="F11" si="70">F12*(1+Q11)</f>
        <v>304.75936311478398</v>
      </c>
      <c r="G11" s="3539">
        <v>2018</v>
      </c>
      <c r="H11" s="2619">
        <v>4</v>
      </c>
      <c r="I11" s="2619">
        <v>0.96</v>
      </c>
      <c r="J11" s="2619">
        <v>1.03</v>
      </c>
      <c r="K11" s="2619">
        <v>0.92</v>
      </c>
      <c r="L11" s="2620">
        <v>1.29</v>
      </c>
      <c r="M11" s="2625"/>
      <c r="N11" s="2626">
        <f t="shared" ref="N11" si="71">I11/100</f>
        <v>9.5999999999999992E-3</v>
      </c>
      <c r="O11" s="2627">
        <f t="shared" ref="O11" si="72">J11/100</f>
        <v>1.03E-2</v>
      </c>
      <c r="P11" s="2627">
        <f t="shared" ref="P11" si="73">K11/100</f>
        <v>9.1999999999999998E-3</v>
      </c>
      <c r="Q11" s="2627">
        <f t="shared" ref="Q11" si="74">L11/100</f>
        <v>1.29E-2</v>
      </c>
      <c r="R11" s="2628"/>
      <c r="S11" s="2629"/>
      <c r="T11" s="2630"/>
      <c r="U11" s="2630"/>
      <c r="V11" s="2630"/>
      <c r="W11" s="2625"/>
      <c r="X11" s="2716">
        <f>ROUND(SUMPRODUCT(PRODUCT(1+N11:N$29)),4)</f>
        <v>1.5099</v>
      </c>
      <c r="Y11" s="2716">
        <f>ROUND(SUMPRODUCT(PRODUCT(1+O11:O$29)),4)</f>
        <v>1.3372999999999999</v>
      </c>
      <c r="Z11" s="2716">
        <f t="shared" ref="Z11" si="75">Y11</f>
        <v>1.3372999999999999</v>
      </c>
      <c r="AA11" s="2716">
        <f>ROUND(SUMPRODUCT(PRODUCT(1+P11:P$29)),4)</f>
        <v>1.5683</v>
      </c>
      <c r="AB11" s="2716">
        <f>ROUND(SUMPRODUCT(PRODUCT(1+Q11:Q$29)),4)</f>
        <v>1.3255999999999999</v>
      </c>
      <c r="AC11" s="2625"/>
      <c r="AD11" s="2636">
        <f>ROUND(AVERAGE(I11:I$30)/100,4)</f>
        <v>2.24E-2</v>
      </c>
      <c r="AE11" s="2636">
        <f>ROUND(AVERAGE(J11:J$30)/100,4)</f>
        <v>1.5800000000000002E-2</v>
      </c>
      <c r="AF11" s="2636">
        <f t="shared" ref="AF11" si="76">AE11</f>
        <v>1.5800000000000002E-2</v>
      </c>
      <c r="AG11" s="2636">
        <f>ROUND(AVERAGE(K11:K$30)/100,4)</f>
        <v>2.4500000000000001E-2</v>
      </c>
      <c r="AH11" s="2636">
        <f>ROUND(AVERAGE(L11:L$30)/100,4)</f>
        <v>1.49E-2</v>
      </c>
    </row>
    <row r="12" spans="1:34" s="2723" customFormat="1" ht="14.45" customHeight="1">
      <c r="A12" s="2618" t="s">
        <v>2972</v>
      </c>
      <c r="B12" s="2631">
        <f t="shared" si="46"/>
        <v>459.95733971036987</v>
      </c>
      <c r="C12" s="2631">
        <f t="shared" ref="C12" si="77">C13*(1+O12)</f>
        <v>341.22221064422405</v>
      </c>
      <c r="D12" s="2631">
        <f t="shared" ref="D12" si="78">C12</f>
        <v>341.22221064422405</v>
      </c>
      <c r="E12" s="2631">
        <f t="shared" ref="E12" si="79">E13*(1+P12)</f>
        <v>657.19161663724799</v>
      </c>
      <c r="F12" s="2631">
        <f t="shared" ref="F12" si="80">F13*(1+Q12)</f>
        <v>300.87803644464805</v>
      </c>
      <c r="G12" s="3539"/>
      <c r="H12" s="2621">
        <v>3</v>
      </c>
      <c r="I12" s="2621">
        <v>1.51</v>
      </c>
      <c r="J12" s="2621">
        <v>1.41</v>
      </c>
      <c r="K12" s="2621">
        <v>1.52</v>
      </c>
      <c r="L12" s="2632">
        <v>1.74</v>
      </c>
      <c r="M12" s="2625"/>
      <c r="N12" s="2626">
        <f t="shared" ref="N12" si="81">I12/100</f>
        <v>1.5100000000000001E-2</v>
      </c>
      <c r="O12" s="2627">
        <f t="shared" ref="O12" si="82">J12/100</f>
        <v>1.41E-2</v>
      </c>
      <c r="P12" s="2627">
        <f t="shared" ref="P12" si="83">K12/100</f>
        <v>1.52E-2</v>
      </c>
      <c r="Q12" s="2627">
        <f t="shared" ref="Q12" si="84">L12/100</f>
        <v>1.7399999999999999E-2</v>
      </c>
      <c r="R12" s="2628"/>
      <c r="S12" s="2626"/>
      <c r="T12" s="2627"/>
      <c r="U12" s="2627"/>
      <c r="V12" s="2627"/>
      <c r="W12" s="2625"/>
      <c r="X12" s="2716">
        <f>ROUND(SUMPRODUCT(PRODUCT(1+N12:N$29)),4)</f>
        <v>1.4956</v>
      </c>
      <c r="Y12" s="2716">
        <f>ROUND(SUMPRODUCT(PRODUCT(1+O12:O$29)),4)</f>
        <v>1.3237000000000001</v>
      </c>
      <c r="Z12" s="2716">
        <f t="shared" ref="Z12" si="85">Y12</f>
        <v>1.3237000000000001</v>
      </c>
      <c r="AA12" s="2716">
        <f>ROUND(SUMPRODUCT(PRODUCT(1+P12:P$29)),4)</f>
        <v>1.554</v>
      </c>
      <c r="AB12" s="2716">
        <f>ROUND(SUMPRODUCT(PRODUCT(1+Q12:Q$29)),4)</f>
        <v>1.3087</v>
      </c>
      <c r="AC12" s="2625"/>
      <c r="AD12" s="2636">
        <f>ROUND(AVERAGE(I12:I$30)/100,4)</f>
        <v>2.3099999999999999E-2</v>
      </c>
      <c r="AE12" s="2636">
        <f>ROUND(AVERAGE(J12:J$30)/100,4)</f>
        <v>1.61E-2</v>
      </c>
      <c r="AF12" s="2636">
        <f t="shared" ref="AF12" si="86">AE12</f>
        <v>1.61E-2</v>
      </c>
      <c r="AG12" s="2636">
        <f>ROUND(AVERAGE(K12:K$30)/100,4)</f>
        <v>2.53E-2</v>
      </c>
      <c r="AH12" s="2636">
        <f>ROUND(AVERAGE(L12:L$30)/100,4)</f>
        <v>1.4999999999999999E-2</v>
      </c>
    </row>
    <row r="13" spans="1:34" s="2723" customFormat="1" ht="14.45" customHeight="1">
      <c r="A13" s="2618" t="s">
        <v>2973</v>
      </c>
      <c r="B13" s="2631">
        <f t="shared" si="46"/>
        <v>453.11529869999993</v>
      </c>
      <c r="C13" s="2631">
        <f t="shared" ref="C13" si="87">C14*(1+O13)</f>
        <v>336.47787264000004</v>
      </c>
      <c r="D13" s="2631">
        <f t="shared" ref="D13" si="88">C13</f>
        <v>336.47787264000004</v>
      </c>
      <c r="E13" s="2631">
        <f t="shared" ref="E13" si="89">E14*(1+P13)</f>
        <v>647.35186823999993</v>
      </c>
      <c r="F13" s="2631">
        <f t="shared" ref="F13" si="90">F14*(1+Q13)</f>
        <v>295.73229452000004</v>
      </c>
      <c r="G13" s="3539"/>
      <c r="H13" s="2622">
        <v>2</v>
      </c>
      <c r="I13" s="2622">
        <v>1.49</v>
      </c>
      <c r="J13" s="2622">
        <v>0.96</v>
      </c>
      <c r="K13" s="2622">
        <v>1.58</v>
      </c>
      <c r="L13" s="2633">
        <v>2.44</v>
      </c>
      <c r="M13" s="2625"/>
      <c r="N13" s="2626">
        <f t="shared" ref="N13" si="91">I13/100</f>
        <v>1.49E-2</v>
      </c>
      <c r="O13" s="2627">
        <f t="shared" ref="O13" si="92">J13/100</f>
        <v>9.5999999999999992E-3</v>
      </c>
      <c r="P13" s="2627">
        <f t="shared" ref="P13" si="93">K13/100</f>
        <v>1.5800000000000002E-2</v>
      </c>
      <c r="Q13" s="2627">
        <f t="shared" ref="Q13" si="94">L13/100</f>
        <v>2.4399999999999998E-2</v>
      </c>
      <c r="R13" s="2628"/>
      <c r="S13" s="2626"/>
      <c r="T13" s="2627"/>
      <c r="U13" s="2627"/>
      <c r="V13" s="2627"/>
      <c r="W13" s="2625"/>
      <c r="X13" s="2716">
        <f>ROUND(SUMPRODUCT(PRODUCT(1+N13:N$29)),4)</f>
        <v>1.4733000000000001</v>
      </c>
      <c r="Y13" s="2716">
        <f>ROUND(SUMPRODUCT(PRODUCT(1+O13:O$29)),4)</f>
        <v>1.3052999999999999</v>
      </c>
      <c r="Z13" s="2716">
        <f t="shared" ref="Z13" si="95">Y13</f>
        <v>1.3052999999999999</v>
      </c>
      <c r="AA13" s="2716">
        <f>ROUND(SUMPRODUCT(PRODUCT(1+P13:P$29)),4)</f>
        <v>1.5306999999999999</v>
      </c>
      <c r="AB13" s="2716">
        <f>ROUND(SUMPRODUCT(PRODUCT(1+Q13:Q$29)),4)</f>
        <v>1.2863</v>
      </c>
      <c r="AC13" s="2625"/>
      <c r="AD13" s="2636">
        <f>ROUND(AVERAGE(I13:I$30)/100,4)</f>
        <v>2.35E-2</v>
      </c>
      <c r="AE13" s="2636">
        <f>ROUND(AVERAGE(J13:J$30)/100,4)</f>
        <v>1.6199999999999999E-2</v>
      </c>
      <c r="AF13" s="2636">
        <f t="shared" ref="AF13" si="96">AE13</f>
        <v>1.6199999999999999E-2</v>
      </c>
      <c r="AG13" s="2636">
        <f>ROUND(AVERAGE(K13:K$30)/100,4)</f>
        <v>2.5899999999999999E-2</v>
      </c>
      <c r="AH13" s="2636">
        <f>ROUND(AVERAGE(L13:L$30)/100,4)</f>
        <v>1.49E-2</v>
      </c>
    </row>
    <row r="14" spans="1:34" s="2723" customFormat="1" ht="15" customHeight="1" thickBot="1">
      <c r="A14" s="2618" t="s">
        <v>2969</v>
      </c>
      <c r="B14" s="2631">
        <f t="shared" si="46"/>
        <v>446.46299999999997</v>
      </c>
      <c r="C14" s="2631">
        <f t="shared" ref="C14" si="97">C15*(1+O14)</f>
        <v>333.27840000000003</v>
      </c>
      <c r="D14" s="2631">
        <f t="shared" ref="D14:D19" si="98">C14</f>
        <v>333.27840000000003</v>
      </c>
      <c r="E14" s="2631">
        <f t="shared" ref="E14" si="99">E15*(1+P14)</f>
        <v>637.28279999999995</v>
      </c>
      <c r="F14" s="2631">
        <f t="shared" ref="F14" si="100">F15*(1+Q14)</f>
        <v>288.68830000000003</v>
      </c>
      <c r="G14" s="3540"/>
      <c r="H14" s="2621">
        <v>1</v>
      </c>
      <c r="I14" s="2621">
        <v>1.7</v>
      </c>
      <c r="J14" s="2621">
        <v>1.92</v>
      </c>
      <c r="K14" s="2621">
        <v>1.64</v>
      </c>
      <c r="L14" s="2632">
        <v>2.0099999999999998</v>
      </c>
      <c r="M14" s="2625"/>
      <c r="N14" s="2626">
        <f t="shared" ref="N14:N19" si="101">I14/100</f>
        <v>1.7000000000000001E-2</v>
      </c>
      <c r="O14" s="2627">
        <f t="shared" ref="O14" si="102">J14/100</f>
        <v>1.9199999999999998E-2</v>
      </c>
      <c r="P14" s="2627">
        <f t="shared" ref="P14" si="103">K14/100</f>
        <v>1.6399999999999998E-2</v>
      </c>
      <c r="Q14" s="2627">
        <f t="shared" ref="Q14" si="104">L14/100</f>
        <v>2.0099999999999996E-2</v>
      </c>
      <c r="R14" s="2628"/>
      <c r="S14" s="2634">
        <f>B14/B15-1</f>
        <v>1.6999999999999904E-2</v>
      </c>
      <c r="T14" s="2635">
        <f>C14/C15-1</f>
        <v>1.9200000000000106E-2</v>
      </c>
      <c r="U14" s="2635">
        <f>E14/E15-1</f>
        <v>1.639999999999997E-2</v>
      </c>
      <c r="V14" s="2635">
        <f>F14/F15-1</f>
        <v>2.0100000000000007E-2</v>
      </c>
      <c r="W14" s="2625"/>
      <c r="X14" s="2716">
        <f>ROUND(SUMPRODUCT(PRODUCT(1+N14:N$29)),4)</f>
        <v>1.4517</v>
      </c>
      <c r="Y14" s="2716">
        <f>ROUND(SUMPRODUCT(PRODUCT(1+O14:O$29)),4)</f>
        <v>1.2928999999999999</v>
      </c>
      <c r="Z14" s="2716">
        <f t="shared" ref="Z14" si="105">Y14</f>
        <v>1.2928999999999999</v>
      </c>
      <c r="AA14" s="2716">
        <f>ROUND(SUMPRODUCT(PRODUCT(1+P14:P$29)),4)</f>
        <v>1.5068999999999999</v>
      </c>
      <c r="AB14" s="2716">
        <f>ROUND(SUMPRODUCT(PRODUCT(1+Q14:Q$29)),4)</f>
        <v>1.2557</v>
      </c>
      <c r="AC14" s="2625"/>
      <c r="AD14" s="2636">
        <f>ROUND(AVERAGE(I14:I$30)/100,4)</f>
        <v>2.4E-2</v>
      </c>
      <c r="AE14" s="2636">
        <f>ROUND(AVERAGE(J14:J$30)/100,4)</f>
        <v>1.66E-2</v>
      </c>
      <c r="AF14" s="2636">
        <f t="shared" ref="AF14" si="106">AE14</f>
        <v>1.66E-2</v>
      </c>
      <c r="AG14" s="2636">
        <f>ROUND(AVERAGE(K14:K$30)/100,4)</f>
        <v>2.6499999999999999E-2</v>
      </c>
      <c r="AH14" s="2636">
        <f>ROUND(AVERAGE(L14:L$30)/100,4)</f>
        <v>1.43E-2</v>
      </c>
    </row>
    <row r="15" spans="1:34">
      <c r="A15" s="2618" t="s">
        <v>2960</v>
      </c>
      <c r="B15" s="3090">
        <v>439</v>
      </c>
      <c r="C15" s="3090">
        <v>327</v>
      </c>
      <c r="D15" s="3090">
        <f t="shared" si="98"/>
        <v>327</v>
      </c>
      <c r="E15" s="3090">
        <v>627</v>
      </c>
      <c r="F15" s="3091">
        <v>283</v>
      </c>
      <c r="G15" s="3538">
        <v>2017</v>
      </c>
      <c r="H15" s="2619">
        <v>4</v>
      </c>
      <c r="I15" s="2619">
        <v>1.71</v>
      </c>
      <c r="J15" s="2619">
        <v>1.78</v>
      </c>
      <c r="K15" s="2619">
        <v>1.71</v>
      </c>
      <c r="L15" s="2620">
        <v>1.43</v>
      </c>
      <c r="N15" s="2639">
        <f t="shared" si="101"/>
        <v>1.7100000000000001E-2</v>
      </c>
      <c r="O15" s="2640">
        <f t="shared" ref="O15" si="107">J15/100</f>
        <v>1.78E-2</v>
      </c>
      <c r="P15" s="2640">
        <f t="shared" ref="P15" si="108">K15/100</f>
        <v>1.7100000000000001E-2</v>
      </c>
      <c r="Q15" s="2640">
        <f t="shared" ref="Q15" si="109">L15/100</f>
        <v>1.43E-2</v>
      </c>
      <c r="R15" s="2628"/>
      <c r="S15" s="2629"/>
      <c r="T15" s="2630"/>
      <c r="U15" s="2630"/>
      <c r="V15" s="2630"/>
      <c r="X15" s="2716">
        <f>ROUND(SUMPRODUCT(PRODUCT(1+N15:N$29)),4)</f>
        <v>1.4274</v>
      </c>
      <c r="Y15" s="2716">
        <f>ROUND(SUMPRODUCT(PRODUCT(1+O15:O$29)),4)</f>
        <v>1.2685</v>
      </c>
      <c r="Z15" s="2716">
        <f t="shared" si="0"/>
        <v>1.2685</v>
      </c>
      <c r="AA15" s="2716">
        <f>ROUND(SUMPRODUCT(PRODUCT(1+P15:P$29)),4)</f>
        <v>1.4825999999999999</v>
      </c>
      <c r="AB15" s="2716">
        <f>ROUND(SUMPRODUCT(PRODUCT(1+Q15:Q$29)),4)</f>
        <v>1.2309000000000001</v>
      </c>
      <c r="AD15" s="2636">
        <f>ROUND(AVERAGE(I15:I$30)/100,4)</f>
        <v>2.4500000000000001E-2</v>
      </c>
      <c r="AE15" s="2636">
        <f>ROUND(AVERAGE(J15:J$30)/100,4)</f>
        <v>1.6500000000000001E-2</v>
      </c>
      <c r="AF15" s="2636">
        <f t="shared" si="1"/>
        <v>1.6500000000000001E-2</v>
      </c>
      <c r="AG15" s="2636">
        <f>ROUND(AVERAGE(K15:K$30)/100,4)</f>
        <v>2.7099999999999999E-2</v>
      </c>
      <c r="AH15" s="2636">
        <f>ROUND(AVERAGE(L15:L$30)/100,4)</f>
        <v>1.3899999999999999E-2</v>
      </c>
    </row>
    <row r="16" spans="1:34" s="2723" customFormat="1" ht="14.45" customHeight="1">
      <c r="A16" s="2618" t="s">
        <v>2964</v>
      </c>
      <c r="B16" s="2631">
        <f t="shared" ref="B16:C18" si="110">B17*(1+N16)</f>
        <v>431.80730811680002</v>
      </c>
      <c r="C16" s="2631">
        <f t="shared" si="110"/>
        <v>320.57880516480003</v>
      </c>
      <c r="D16" s="2631">
        <f t="shared" si="98"/>
        <v>320.57880516480003</v>
      </c>
      <c r="E16" s="2631">
        <f t="shared" ref="E16:F18" si="111">E17*(1+P16)</f>
        <v>615.96110553196797</v>
      </c>
      <c r="F16" s="2631">
        <f t="shared" si="111"/>
        <v>279.46777300108801</v>
      </c>
      <c r="G16" s="3539"/>
      <c r="H16" s="2621">
        <v>3</v>
      </c>
      <c r="I16" s="2621">
        <v>2.98</v>
      </c>
      <c r="J16" s="2621">
        <v>2.11</v>
      </c>
      <c r="K16" s="2621">
        <v>3.24</v>
      </c>
      <c r="L16" s="2632">
        <v>1.72</v>
      </c>
      <c r="M16" s="2625"/>
      <c r="N16" s="2626">
        <f t="shared" si="101"/>
        <v>2.98E-2</v>
      </c>
      <c r="O16" s="2644">
        <f t="shared" ref="O16:O17" si="112">J16/100</f>
        <v>2.1099999999999997E-2</v>
      </c>
      <c r="P16" s="2644">
        <f t="shared" ref="P16:P17" si="113">K16/100</f>
        <v>3.2400000000000005E-2</v>
      </c>
      <c r="Q16" s="2644">
        <f t="shared" ref="Q16:Q17" si="114">L16/100</f>
        <v>1.72E-2</v>
      </c>
      <c r="R16" s="2628"/>
      <c r="S16" s="2626"/>
      <c r="T16" s="2627"/>
      <c r="U16" s="2627"/>
      <c r="V16" s="2627"/>
      <c r="W16" s="2625"/>
      <c r="X16" s="2716">
        <f>ROUND(SUMPRODUCT(PRODUCT(1+N16:N$29)),4)</f>
        <v>1.4034</v>
      </c>
      <c r="Y16" s="2716">
        <f>ROUND(SUMPRODUCT(PRODUCT(1+O16:O$29)),4)</f>
        <v>1.2463</v>
      </c>
      <c r="Z16" s="2716">
        <f t="shared" si="0"/>
        <v>1.2463</v>
      </c>
      <c r="AA16" s="2716">
        <f>ROUND(SUMPRODUCT(PRODUCT(1+P16:P$29)),4)</f>
        <v>1.4577</v>
      </c>
      <c r="AB16" s="2716">
        <f>ROUND(SUMPRODUCT(PRODUCT(1+Q16:Q$29)),4)</f>
        <v>1.2136</v>
      </c>
      <c r="AC16" s="2625"/>
      <c r="AD16" s="2636">
        <f>ROUND(AVERAGE(I16:I$30)/100,4)</f>
        <v>2.4899999999999999E-2</v>
      </c>
      <c r="AE16" s="2636">
        <f>ROUND(AVERAGE(J16:J$30)/100,4)</f>
        <v>1.6400000000000001E-2</v>
      </c>
      <c r="AF16" s="2636">
        <f t="shared" si="1"/>
        <v>1.6400000000000001E-2</v>
      </c>
      <c r="AG16" s="2636">
        <f>ROUND(AVERAGE(K16:K$30)/100,4)</f>
        <v>2.7799999999999998E-2</v>
      </c>
      <c r="AH16" s="2636">
        <f>ROUND(AVERAGE(L16:L$30)/100,4)</f>
        <v>1.3899999999999999E-2</v>
      </c>
    </row>
    <row r="17" spans="1:34" s="2616" customFormat="1" ht="14.45" customHeight="1">
      <c r="A17" s="2618" t="s">
        <v>2575</v>
      </c>
      <c r="B17" s="2631">
        <f t="shared" si="110"/>
        <v>419.31181600000002</v>
      </c>
      <c r="C17" s="2631">
        <f t="shared" si="110"/>
        <v>313.95436800000004</v>
      </c>
      <c r="D17" s="2631">
        <f t="shared" si="98"/>
        <v>313.95436800000004</v>
      </c>
      <c r="E17" s="2631">
        <f t="shared" si="111"/>
        <v>596.63028431999999</v>
      </c>
      <c r="F17" s="2631">
        <f t="shared" si="111"/>
        <v>274.74220703999998</v>
      </c>
      <c r="G17" s="3539"/>
      <c r="H17" s="2622">
        <v>2</v>
      </c>
      <c r="I17" s="2622">
        <v>3.4</v>
      </c>
      <c r="J17" s="2622">
        <v>2</v>
      </c>
      <c r="K17" s="2622">
        <v>3.82</v>
      </c>
      <c r="L17" s="2633">
        <v>1.68</v>
      </c>
      <c r="N17" s="2626">
        <f t="shared" si="101"/>
        <v>3.4000000000000002E-2</v>
      </c>
      <c r="O17" s="2644">
        <f t="shared" si="112"/>
        <v>0.02</v>
      </c>
      <c r="P17" s="2644">
        <f t="shared" si="113"/>
        <v>3.8199999999999998E-2</v>
      </c>
      <c r="Q17" s="2644">
        <f t="shared" si="114"/>
        <v>1.6799999999999999E-2</v>
      </c>
      <c r="R17" s="2617"/>
      <c r="S17" s="2626"/>
      <c r="T17" s="2627"/>
      <c r="U17" s="2627"/>
      <c r="V17" s="2627"/>
      <c r="X17" s="2716">
        <f>ROUND(SUMPRODUCT(PRODUCT(1+N17:N$29)),4)</f>
        <v>1.3628</v>
      </c>
      <c r="Y17" s="2716">
        <f>ROUND(SUMPRODUCT(PRODUCT(1+O17:O$29)),4)</f>
        <v>1.2205999999999999</v>
      </c>
      <c r="Z17" s="2716">
        <f t="shared" si="0"/>
        <v>1.2205999999999999</v>
      </c>
      <c r="AA17" s="2716">
        <f>ROUND(SUMPRODUCT(PRODUCT(1+P17:P$29)),4)</f>
        <v>1.4118999999999999</v>
      </c>
      <c r="AB17" s="2716">
        <f>ROUND(SUMPRODUCT(PRODUCT(1+Q17:Q$29)),4)</f>
        <v>1.1930000000000001</v>
      </c>
      <c r="AD17" s="2636">
        <f>ROUND(AVERAGE(I17:I$30)/100,4)</f>
        <v>2.46E-2</v>
      </c>
      <c r="AE17" s="2636">
        <f>ROUND(AVERAGE(J17:J$30)/100,4)</f>
        <v>1.6E-2</v>
      </c>
      <c r="AF17" s="2636">
        <f t="shared" si="1"/>
        <v>1.6E-2</v>
      </c>
      <c r="AG17" s="2636">
        <f>ROUND(AVERAGE(K17:K$30)/100,4)</f>
        <v>2.75E-2</v>
      </c>
      <c r="AH17" s="2636">
        <f>ROUND(AVERAGE(L17:L$30)/100,4)</f>
        <v>1.37E-2</v>
      </c>
    </row>
    <row r="18" spans="1:34" s="2723" customFormat="1" ht="15" customHeight="1" thickBot="1">
      <c r="A18" s="2618" t="s">
        <v>2576</v>
      </c>
      <c r="B18" s="2631">
        <f t="shared" si="110"/>
        <v>405.524</v>
      </c>
      <c r="C18" s="2631">
        <f t="shared" si="110"/>
        <v>307.79840000000002</v>
      </c>
      <c r="D18" s="2631">
        <f t="shared" si="98"/>
        <v>307.79840000000002</v>
      </c>
      <c r="E18" s="2631">
        <f t="shared" si="111"/>
        <v>574.67759999999998</v>
      </c>
      <c r="F18" s="2631">
        <f t="shared" si="111"/>
        <v>270.20280000000002</v>
      </c>
      <c r="G18" s="3540"/>
      <c r="H18" s="2621">
        <v>1</v>
      </c>
      <c r="I18" s="2621">
        <v>3.45</v>
      </c>
      <c r="J18" s="2621">
        <v>1.92</v>
      </c>
      <c r="K18" s="2621">
        <v>3.92</v>
      </c>
      <c r="L18" s="2632">
        <v>1.58</v>
      </c>
      <c r="M18" s="2625"/>
      <c r="N18" s="2634">
        <f t="shared" si="101"/>
        <v>3.4500000000000003E-2</v>
      </c>
      <c r="O18" s="2635">
        <f t="shared" ref="O18" si="115">J18/100</f>
        <v>1.9199999999999998E-2</v>
      </c>
      <c r="P18" s="2635">
        <f t="shared" ref="P18" si="116">K18/100</f>
        <v>3.9199999999999999E-2</v>
      </c>
      <c r="Q18" s="2635">
        <f t="shared" ref="Q18" si="117">L18/100</f>
        <v>1.5800000000000002E-2</v>
      </c>
      <c r="R18" s="2628"/>
      <c r="S18" s="2634">
        <f>B18/B19-1</f>
        <v>3.4499999999999975E-2</v>
      </c>
      <c r="T18" s="2635">
        <f>C18/C19-1</f>
        <v>1.9200000000000106E-2</v>
      </c>
      <c r="U18" s="2635">
        <f>E18/E19-1</f>
        <v>3.9199999999999902E-2</v>
      </c>
      <c r="V18" s="2635">
        <f>F18/F19-1</f>
        <v>1.5800000000000036E-2</v>
      </c>
      <c r="W18" s="2625"/>
      <c r="X18" s="2716">
        <f>ROUND(SUMPRODUCT(PRODUCT(1+N18:N$29)),4)</f>
        <v>1.3180000000000001</v>
      </c>
      <c r="Y18" s="2716">
        <f>ROUND(SUMPRODUCT(PRODUCT(1+O18:O$29)),4)</f>
        <v>1.1966000000000001</v>
      </c>
      <c r="Z18" s="2716">
        <f t="shared" si="0"/>
        <v>1.1966000000000001</v>
      </c>
      <c r="AA18" s="2716">
        <f>ROUND(SUMPRODUCT(PRODUCT(1+P18:P$29)),4)</f>
        <v>1.36</v>
      </c>
      <c r="AB18" s="2716">
        <f>ROUND(SUMPRODUCT(PRODUCT(1+Q18:Q$29)),4)</f>
        <v>1.1733</v>
      </c>
      <c r="AC18" s="2625"/>
      <c r="AD18" s="2636">
        <f>ROUND(AVERAGE(I18:I$30)/100,4)</f>
        <v>2.3900000000000001E-2</v>
      </c>
      <c r="AE18" s="2636">
        <f>ROUND(AVERAGE(J18:J$30)/100,4)</f>
        <v>1.5699999999999999E-2</v>
      </c>
      <c r="AF18" s="2636">
        <f t="shared" si="1"/>
        <v>1.5699999999999999E-2</v>
      </c>
      <c r="AG18" s="2636">
        <f>ROUND(AVERAGE(K18:K$30)/100,4)</f>
        <v>2.6599999999999999E-2</v>
      </c>
      <c r="AH18" s="2636">
        <f>ROUND(AVERAGE(L18:L$30)/100,4)</f>
        <v>1.34E-2</v>
      </c>
    </row>
    <row r="19" spans="1:34">
      <c r="A19" s="2618" t="s">
        <v>968</v>
      </c>
      <c r="B19" s="2623">
        <v>392</v>
      </c>
      <c r="C19" s="2623">
        <v>302</v>
      </c>
      <c r="D19" s="2623">
        <f t="shared" si="98"/>
        <v>302</v>
      </c>
      <c r="E19" s="2623">
        <v>553</v>
      </c>
      <c r="F19" s="2624">
        <v>266</v>
      </c>
      <c r="G19" s="3538">
        <v>2016</v>
      </c>
      <c r="H19" s="2619">
        <v>4</v>
      </c>
      <c r="I19" s="2619">
        <v>4.5599999999999996</v>
      </c>
      <c r="J19" s="2619">
        <v>2.15</v>
      </c>
      <c r="K19" s="2619">
        <v>5.32</v>
      </c>
      <c r="L19" s="2620">
        <v>1.57</v>
      </c>
      <c r="N19" s="2626">
        <f t="shared" si="101"/>
        <v>4.5599999999999995E-2</v>
      </c>
      <c r="O19" s="2627">
        <f t="shared" ref="O19:Q34" si="118">J19/100</f>
        <v>2.1499999999999998E-2</v>
      </c>
      <c r="P19" s="2627">
        <f t="shared" si="118"/>
        <v>5.3200000000000004E-2</v>
      </c>
      <c r="Q19" s="2627">
        <f t="shared" si="118"/>
        <v>1.5700000000000002E-2</v>
      </c>
      <c r="R19" s="2628"/>
      <c r="S19" s="2629"/>
      <c r="T19" s="2630"/>
      <c r="U19" s="2630"/>
      <c r="V19" s="2630"/>
      <c r="X19" s="2716">
        <f>ROUND(SUMPRODUCT(PRODUCT(1+N19:N$29)),4)</f>
        <v>1.274</v>
      </c>
      <c r="Y19" s="2716">
        <f>ROUND(SUMPRODUCT(PRODUCT(1+O19:O$29)),4)</f>
        <v>1.1740999999999999</v>
      </c>
      <c r="Z19" s="2716">
        <f t="shared" si="0"/>
        <v>1.1740999999999999</v>
      </c>
      <c r="AA19" s="2716">
        <f>ROUND(SUMPRODUCT(PRODUCT(1+P19:P$29)),4)</f>
        <v>1.3087</v>
      </c>
      <c r="AB19" s="2716">
        <f>ROUND(SUMPRODUCT(PRODUCT(1+Q19:Q$29)),4)</f>
        <v>1.1551</v>
      </c>
      <c r="AD19" s="2636">
        <f>ROUND(AVERAGE(I19:I$30)/100,4)</f>
        <v>2.3E-2</v>
      </c>
      <c r="AE19" s="2636">
        <f>ROUND(AVERAGE(J19:J$30)/100,4)</f>
        <v>1.55E-2</v>
      </c>
      <c r="AF19" s="2636">
        <f t="shared" si="1"/>
        <v>1.55E-2</v>
      </c>
      <c r="AG19" s="2636">
        <f>ROUND(AVERAGE(K19:K$30)/100,4)</f>
        <v>2.5600000000000001E-2</v>
      </c>
      <c r="AH19" s="2636">
        <f>ROUND(AVERAGE(L19:L$30)/100,4)</f>
        <v>1.32E-2</v>
      </c>
    </row>
    <row r="20" spans="1:34">
      <c r="A20" s="2618" t="s">
        <v>967</v>
      </c>
      <c r="B20" s="2631">
        <f t="shared" ref="B20:C22" si="119">B19/(1+N19)</f>
        <v>374.90436113236416</v>
      </c>
      <c r="C20" s="2631">
        <f t="shared" si="119"/>
        <v>295.64366128242779</v>
      </c>
      <c r="D20" s="2631">
        <f t="shared" ref="D20:D79" si="120">C20</f>
        <v>295.64366128242779</v>
      </c>
      <c r="E20" s="2631">
        <f t="shared" ref="E20:F22" si="121">E19/(1+P19)</f>
        <v>525.06646410938095</v>
      </c>
      <c r="F20" s="2631">
        <f t="shared" si="121"/>
        <v>261.88835286009646</v>
      </c>
      <c r="G20" s="3539"/>
      <c r="H20" s="2621">
        <v>3</v>
      </c>
      <c r="I20" s="2621">
        <v>4.12</v>
      </c>
      <c r="J20" s="2621">
        <v>2</v>
      </c>
      <c r="K20" s="2621">
        <v>4.79</v>
      </c>
      <c r="L20" s="2632">
        <v>1.97</v>
      </c>
      <c r="N20" s="2626">
        <f t="shared" ref="N20:Q54" si="122">I20/100</f>
        <v>4.1200000000000001E-2</v>
      </c>
      <c r="O20" s="2627">
        <f t="shared" si="118"/>
        <v>0.02</v>
      </c>
      <c r="P20" s="2627">
        <f t="shared" si="118"/>
        <v>4.7899999999999998E-2</v>
      </c>
      <c r="Q20" s="2627">
        <f t="shared" si="118"/>
        <v>1.9699999999999999E-2</v>
      </c>
      <c r="R20" s="2628"/>
      <c r="S20" s="2626"/>
      <c r="T20" s="2627"/>
      <c r="U20" s="2627"/>
      <c r="V20" s="2627"/>
      <c r="X20" s="2716">
        <f>ROUND(SUMPRODUCT(PRODUCT(1+N20:N$29)),4)</f>
        <v>1.2184999999999999</v>
      </c>
      <c r="Y20" s="2716">
        <f>ROUND(SUMPRODUCT(PRODUCT(1+O20:O$29)),4)</f>
        <v>1.1494</v>
      </c>
      <c r="Z20" s="2716">
        <f t="shared" si="0"/>
        <v>1.1494</v>
      </c>
      <c r="AA20" s="2716">
        <f>ROUND(SUMPRODUCT(PRODUCT(1+P20:P$29)),4)</f>
        <v>1.2425999999999999</v>
      </c>
      <c r="AB20" s="2716">
        <f>ROUND(SUMPRODUCT(PRODUCT(1+Q20:Q$29)),4)</f>
        <v>1.1372</v>
      </c>
      <c r="AD20" s="2636">
        <f>ROUND(AVERAGE(I20:I$30)/100,4)</f>
        <v>2.0899999999999998E-2</v>
      </c>
      <c r="AE20" s="2636">
        <f>ROUND(AVERAGE(J20:J$30)/100,4)</f>
        <v>1.49E-2</v>
      </c>
      <c r="AF20" s="2636">
        <f t="shared" si="1"/>
        <v>1.49E-2</v>
      </c>
      <c r="AG20" s="2636">
        <f>ROUND(AVERAGE(K20:K$30)/100,4)</f>
        <v>2.3099999999999999E-2</v>
      </c>
      <c r="AH20" s="2636">
        <f>ROUND(AVERAGE(L20:L$30)/100,4)</f>
        <v>1.2999999999999999E-2</v>
      </c>
    </row>
    <row r="21" spans="1:34">
      <c r="A21" s="2618" t="s">
        <v>957</v>
      </c>
      <c r="B21" s="2631">
        <f t="shared" si="119"/>
        <v>360.06949782209392</v>
      </c>
      <c r="C21" s="2631">
        <f t="shared" si="119"/>
        <v>289.84672674747821</v>
      </c>
      <c r="D21" s="2631">
        <f t="shared" si="120"/>
        <v>289.84672674747821</v>
      </c>
      <c r="E21" s="2631">
        <f t="shared" si="121"/>
        <v>501.06543001181495</v>
      </c>
      <c r="F21" s="2631">
        <f t="shared" si="121"/>
        <v>256.82882500744967</v>
      </c>
      <c r="G21" s="3539"/>
      <c r="H21" s="2622">
        <v>2</v>
      </c>
      <c r="I21" s="2622">
        <v>3.85</v>
      </c>
      <c r="J21" s="2622">
        <v>1.95</v>
      </c>
      <c r="K21" s="2622">
        <v>4.4800000000000004</v>
      </c>
      <c r="L21" s="2633">
        <v>1.41</v>
      </c>
      <c r="N21" s="2626">
        <f t="shared" si="122"/>
        <v>3.85E-2</v>
      </c>
      <c r="O21" s="2627">
        <f t="shared" si="118"/>
        <v>1.95E-2</v>
      </c>
      <c r="P21" s="2627">
        <f t="shared" si="118"/>
        <v>4.4800000000000006E-2</v>
      </c>
      <c r="Q21" s="2627">
        <f t="shared" si="118"/>
        <v>1.41E-2</v>
      </c>
      <c r="R21" s="2628"/>
      <c r="S21" s="2626"/>
      <c r="T21" s="2627"/>
      <c r="U21" s="2627"/>
      <c r="V21" s="2627"/>
      <c r="X21" s="2716">
        <f>ROUND(SUMPRODUCT(PRODUCT(1+N21:N$29)),4)</f>
        <v>1.1702999999999999</v>
      </c>
      <c r="Y21" s="2716">
        <f>ROUND(SUMPRODUCT(PRODUCT(1+O21:O$29)),4)</f>
        <v>1.1269</v>
      </c>
      <c r="Z21" s="2716">
        <f t="shared" si="0"/>
        <v>1.1269</v>
      </c>
      <c r="AA21" s="2716">
        <f>ROUND(SUMPRODUCT(PRODUCT(1+P21:P$29)),4)</f>
        <v>1.1858</v>
      </c>
      <c r="AB21" s="2716">
        <f>ROUND(SUMPRODUCT(PRODUCT(1+Q21:Q$29)),4)</f>
        <v>1.1152</v>
      </c>
      <c r="AD21" s="2636">
        <f>ROUND(AVERAGE(I21:I$30)/100,4)</f>
        <v>1.89E-2</v>
      </c>
      <c r="AE21" s="2636">
        <f>ROUND(AVERAGE(J21:J$30)/100,4)</f>
        <v>1.44E-2</v>
      </c>
      <c r="AF21" s="2636">
        <f t="shared" si="1"/>
        <v>1.44E-2</v>
      </c>
      <c r="AG21" s="2636">
        <f>ROUND(AVERAGE(K21:K$30)/100,4)</f>
        <v>2.06E-2</v>
      </c>
      <c r="AH21" s="2636">
        <f>ROUND(AVERAGE(L21:L$30)/100,4)</f>
        <v>1.23E-2</v>
      </c>
    </row>
    <row r="22" spans="1:34" ht="13.5" thickBot="1">
      <c r="A22" s="2618" t="s">
        <v>966</v>
      </c>
      <c r="B22" s="2631">
        <f t="shared" si="119"/>
        <v>346.720748986128</v>
      </c>
      <c r="C22" s="2631">
        <f t="shared" si="119"/>
        <v>284.30282172386285</v>
      </c>
      <c r="D22" s="2631">
        <f t="shared" si="120"/>
        <v>284.30282172386285</v>
      </c>
      <c r="E22" s="2631">
        <f t="shared" si="121"/>
        <v>479.58023546306947</v>
      </c>
      <c r="F22" s="2631">
        <f t="shared" si="121"/>
        <v>253.25788877571213</v>
      </c>
      <c r="G22" s="3542"/>
      <c r="H22" s="2621">
        <v>1</v>
      </c>
      <c r="I22" s="2621">
        <v>4.09</v>
      </c>
      <c r="J22" s="2621">
        <v>2.93</v>
      </c>
      <c r="K22" s="2621">
        <v>4.54</v>
      </c>
      <c r="L22" s="2632">
        <v>1.48</v>
      </c>
      <c r="N22" s="2626">
        <f t="shared" si="122"/>
        <v>4.0899999999999999E-2</v>
      </c>
      <c r="O22" s="2627">
        <f t="shared" si="118"/>
        <v>2.9300000000000003E-2</v>
      </c>
      <c r="P22" s="2627">
        <f t="shared" si="118"/>
        <v>4.5400000000000003E-2</v>
      </c>
      <c r="Q22" s="2627">
        <f t="shared" si="118"/>
        <v>1.4800000000000001E-2</v>
      </c>
      <c r="R22" s="2628"/>
      <c r="S22" s="2634">
        <f>B22/B23-1</f>
        <v>4.1203450408792808E-2</v>
      </c>
      <c r="T22" s="2635">
        <f>C22/C23-1</f>
        <v>2.6363977342465095E-2</v>
      </c>
      <c r="U22" s="2635">
        <f>E22/E23-1</f>
        <v>4.4837114298626357E-2</v>
      </c>
      <c r="V22" s="2635">
        <f>F22/F23-1</f>
        <v>1.7099954922538574E-2</v>
      </c>
      <c r="X22" s="2716">
        <f>ROUND(SUMPRODUCT(PRODUCT(1+N22:N$29)),4)</f>
        <v>1.1269</v>
      </c>
      <c r="Y22" s="2716">
        <f>ROUND(SUMPRODUCT(PRODUCT(1+O22:O$29)),4)</f>
        <v>1.1052999999999999</v>
      </c>
      <c r="Z22" s="2716">
        <f t="shared" si="0"/>
        <v>1.1052999999999999</v>
      </c>
      <c r="AA22" s="2716">
        <f>ROUND(SUMPRODUCT(PRODUCT(1+P22:P$29)),4)</f>
        <v>1.1349</v>
      </c>
      <c r="AB22" s="2716">
        <f>ROUND(SUMPRODUCT(PRODUCT(1+Q22:Q$29)),4)</f>
        <v>1.0996999999999999</v>
      </c>
      <c r="AD22" s="2636">
        <f>ROUND(AVERAGE(I22:I$30)/100,4)</f>
        <v>1.67E-2</v>
      </c>
      <c r="AE22" s="2636">
        <f>ROUND(AVERAGE(J22:J$30)/100,4)</f>
        <v>1.38E-2</v>
      </c>
      <c r="AF22" s="2636">
        <f t="shared" si="1"/>
        <v>1.38E-2</v>
      </c>
      <c r="AG22" s="2636">
        <f>ROUND(AVERAGE(K22:K$30)/100,4)</f>
        <v>1.7899999999999999E-2</v>
      </c>
      <c r="AH22" s="2636">
        <f>ROUND(AVERAGE(L22:L$30)/100,4)</f>
        <v>1.21E-2</v>
      </c>
    </row>
    <row r="23" spans="1:34" ht="13.5" thickBot="1">
      <c r="A23" s="2618" t="s">
        <v>965</v>
      </c>
      <c r="B23" s="2623">
        <v>333</v>
      </c>
      <c r="C23" s="2623">
        <v>277</v>
      </c>
      <c r="D23" s="2623">
        <f t="shared" si="120"/>
        <v>277</v>
      </c>
      <c r="E23" s="2623">
        <v>459</v>
      </c>
      <c r="F23" s="2624">
        <v>249</v>
      </c>
      <c r="G23" s="3541">
        <v>2015</v>
      </c>
      <c r="H23" s="2637">
        <v>4</v>
      </c>
      <c r="I23" s="2637">
        <v>1.63</v>
      </c>
      <c r="J23" s="2637">
        <v>1.1100000000000001</v>
      </c>
      <c r="K23" s="2637">
        <v>1.77</v>
      </c>
      <c r="L23" s="2638">
        <v>1.89</v>
      </c>
      <c r="N23" s="2639">
        <f t="shared" si="122"/>
        <v>1.6299999999999999E-2</v>
      </c>
      <c r="O23" s="2640">
        <f t="shared" si="118"/>
        <v>1.11E-2</v>
      </c>
      <c r="P23" s="2640">
        <f t="shared" si="118"/>
        <v>1.77E-2</v>
      </c>
      <c r="Q23" s="2640">
        <f t="shared" si="118"/>
        <v>1.89E-2</v>
      </c>
      <c r="R23" s="2628"/>
      <c r="X23" s="2716">
        <f>ROUND(SUMPRODUCT(PRODUCT(1+N23:N$29)),4)</f>
        <v>1.0826</v>
      </c>
      <c r="Y23" s="2716">
        <f>ROUND(SUMPRODUCT(PRODUCT(1+O23:O$29)),4)</f>
        <v>1.0738000000000001</v>
      </c>
      <c r="Z23" s="2716">
        <f t="shared" si="0"/>
        <v>1.0738000000000001</v>
      </c>
      <c r="AA23" s="2716">
        <f>ROUND(SUMPRODUCT(PRODUCT(1+P23:P$29)),4)</f>
        <v>1.0855999999999999</v>
      </c>
      <c r="AB23" s="2716">
        <f>ROUND(SUMPRODUCT(PRODUCT(1+Q23:Q$29)),4)</f>
        <v>1.0837000000000001</v>
      </c>
      <c r="AD23" s="2636">
        <f>ROUND(AVERAGE(I23:I$30)/100,4)</f>
        <v>1.37E-2</v>
      </c>
      <c r="AE23" s="2636">
        <f>ROUND(AVERAGE(J23:J$30)/100,4)</f>
        <v>1.1900000000000001E-2</v>
      </c>
      <c r="AF23" s="2636">
        <f t="shared" si="1"/>
        <v>1.1900000000000001E-2</v>
      </c>
      <c r="AG23" s="2636">
        <f>ROUND(AVERAGE(K23:K$30)/100,4)</f>
        <v>1.4500000000000001E-2</v>
      </c>
      <c r="AH23" s="2636">
        <f>ROUND(AVERAGE(L23:L$30)/100,4)</f>
        <v>1.18E-2</v>
      </c>
    </row>
    <row r="24" spans="1:34">
      <c r="A24" s="2618" t="s">
        <v>964</v>
      </c>
      <c r="B24" s="2631">
        <f t="shared" ref="B24:C26" si="123">B23/(1+N23)</f>
        <v>327.65915576109415</v>
      </c>
      <c r="C24" s="2631">
        <f t="shared" si="123"/>
        <v>273.95905449510434</v>
      </c>
      <c r="D24" s="2631">
        <f t="shared" si="120"/>
        <v>273.95905449510434</v>
      </c>
      <c r="E24" s="2631">
        <f t="shared" ref="E24:F26" si="124">E23/(1+P23)</f>
        <v>451.01699911565294</v>
      </c>
      <c r="F24" s="2631">
        <f t="shared" si="124"/>
        <v>244.38119540681129</v>
      </c>
      <c r="G24" s="3539"/>
      <c r="H24" s="2642">
        <v>3</v>
      </c>
      <c r="I24" s="2642">
        <v>1.65</v>
      </c>
      <c r="J24" s="2642">
        <v>0.92</v>
      </c>
      <c r="K24" s="2642">
        <v>1.88</v>
      </c>
      <c r="L24" s="2643">
        <v>1.26</v>
      </c>
      <c r="N24" s="2626">
        <f t="shared" si="122"/>
        <v>1.6500000000000001E-2</v>
      </c>
      <c r="O24" s="2644">
        <f t="shared" si="118"/>
        <v>9.1999999999999998E-3</v>
      </c>
      <c r="P24" s="2644">
        <f t="shared" si="118"/>
        <v>1.8799999999999997E-2</v>
      </c>
      <c r="Q24" s="2644">
        <f t="shared" si="118"/>
        <v>1.26E-2</v>
      </c>
      <c r="R24" s="2628"/>
      <c r="S24" s="2626"/>
      <c r="T24" s="2627"/>
      <c r="U24" s="2627"/>
      <c r="V24" s="2627"/>
      <c r="X24" s="2716">
        <f>ROUND(SUMPRODUCT(PRODUCT(1+N24:N$29)),4)</f>
        <v>1.0651999999999999</v>
      </c>
      <c r="Y24" s="2716">
        <f>ROUND(SUMPRODUCT(PRODUCT(1+O24:O$29)),4)</f>
        <v>1.0621</v>
      </c>
      <c r="Z24" s="2716">
        <f t="shared" si="0"/>
        <v>1.0621</v>
      </c>
      <c r="AA24" s="2716">
        <f>ROUND(SUMPRODUCT(PRODUCT(1+P24:P$29)),4)</f>
        <v>1.0668</v>
      </c>
      <c r="AB24" s="2716">
        <f>ROUND(SUMPRODUCT(PRODUCT(1+Q24:Q$29)),4)</f>
        <v>1.0636000000000001</v>
      </c>
      <c r="AD24" s="2636">
        <f>ROUND(AVERAGE(I24:I$30)/100,4)</f>
        <v>1.3299999999999999E-2</v>
      </c>
      <c r="AE24" s="2636">
        <f>ROUND(AVERAGE(J24:J$30)/100,4)</f>
        <v>1.2E-2</v>
      </c>
      <c r="AF24" s="2636">
        <f t="shared" si="1"/>
        <v>1.2E-2</v>
      </c>
      <c r="AG24" s="2636">
        <f>ROUND(AVERAGE(K24:K$30)/100,4)</f>
        <v>1.4E-2</v>
      </c>
      <c r="AH24" s="2636">
        <f>ROUND(AVERAGE(L24:L$30)/100,4)</f>
        <v>1.0800000000000001E-2</v>
      </c>
    </row>
    <row r="25" spans="1:34">
      <c r="A25" s="2618" t="s">
        <v>963</v>
      </c>
      <c r="B25" s="2631">
        <f t="shared" si="123"/>
        <v>322.34053690220776</v>
      </c>
      <c r="C25" s="2631">
        <f t="shared" si="123"/>
        <v>271.46160770422546</v>
      </c>
      <c r="D25" s="2631">
        <f t="shared" si="120"/>
        <v>271.46160770422546</v>
      </c>
      <c r="E25" s="2631">
        <f t="shared" si="124"/>
        <v>442.69434542172456</v>
      </c>
      <c r="F25" s="2631">
        <f t="shared" si="124"/>
        <v>241.34030753190925</v>
      </c>
      <c r="G25" s="3539"/>
      <c r="H25" s="2622">
        <v>2</v>
      </c>
      <c r="I25" s="2622">
        <v>0.77</v>
      </c>
      <c r="J25" s="2622">
        <v>0.69</v>
      </c>
      <c r="K25" s="2622">
        <v>0.8</v>
      </c>
      <c r="L25" s="2633">
        <v>0.88</v>
      </c>
      <c r="N25" s="2626">
        <f t="shared" si="122"/>
        <v>7.7000000000000002E-3</v>
      </c>
      <c r="O25" s="2644">
        <f t="shared" si="118"/>
        <v>6.8999999999999999E-3</v>
      </c>
      <c r="P25" s="2644">
        <f t="shared" si="118"/>
        <v>8.0000000000000002E-3</v>
      </c>
      <c r="Q25" s="2644">
        <f t="shared" si="118"/>
        <v>8.8000000000000005E-3</v>
      </c>
      <c r="R25" s="2628"/>
      <c r="S25" s="2626"/>
      <c r="T25" s="2627"/>
      <c r="U25" s="2627"/>
      <c r="V25" s="2627"/>
      <c r="X25" s="2716">
        <f>ROUND(SUMPRODUCT(PRODUCT(1+N25:N$29)),4)</f>
        <v>1.048</v>
      </c>
      <c r="Y25" s="2716">
        <f>ROUND(SUMPRODUCT(PRODUCT(1+O25:O$29)),4)</f>
        <v>1.0524</v>
      </c>
      <c r="Z25" s="2716">
        <f t="shared" si="0"/>
        <v>1.0524</v>
      </c>
      <c r="AA25" s="2716">
        <f>ROUND(SUMPRODUCT(PRODUCT(1+P25:P$29)),4)</f>
        <v>1.0470999999999999</v>
      </c>
      <c r="AB25" s="2716">
        <f>ROUND(SUMPRODUCT(PRODUCT(1+Q25:Q$29)),4)</f>
        <v>1.0504</v>
      </c>
      <c r="AD25" s="2636">
        <f>ROUND(AVERAGE(I25:I$30)/100,4)</f>
        <v>1.2800000000000001E-2</v>
      </c>
      <c r="AE25" s="2636">
        <f>ROUND(AVERAGE(J25:J$30)/100,4)</f>
        <v>1.2500000000000001E-2</v>
      </c>
      <c r="AF25" s="2636">
        <f t="shared" si="1"/>
        <v>1.2500000000000001E-2</v>
      </c>
      <c r="AG25" s="2636">
        <f>ROUND(AVERAGE(K25:K$30)/100,4)</f>
        <v>1.32E-2</v>
      </c>
      <c r="AH25" s="2636">
        <f>ROUND(AVERAGE(L25:L$30)/100,4)</f>
        <v>1.0500000000000001E-2</v>
      </c>
    </row>
    <row r="26" spans="1:34">
      <c r="A26" s="2618" t="s">
        <v>962</v>
      </c>
      <c r="B26" s="2631">
        <f t="shared" si="123"/>
        <v>319.87748030386797</v>
      </c>
      <c r="C26" s="2631">
        <f t="shared" si="123"/>
        <v>269.60135833173649</v>
      </c>
      <c r="D26" s="2631">
        <f t="shared" si="120"/>
        <v>269.60135833173649</v>
      </c>
      <c r="E26" s="2631">
        <f t="shared" si="124"/>
        <v>439.18089823583784</v>
      </c>
      <c r="F26" s="2631">
        <f t="shared" si="124"/>
        <v>239.23503918706311</v>
      </c>
      <c r="G26" s="3542"/>
      <c r="H26" s="2621">
        <v>1</v>
      </c>
      <c r="I26" s="2621">
        <v>0.51</v>
      </c>
      <c r="J26" s="2621">
        <v>0.54</v>
      </c>
      <c r="K26" s="2621">
        <v>0.48</v>
      </c>
      <c r="L26" s="2632">
        <v>0.93</v>
      </c>
      <c r="N26" s="2634">
        <f t="shared" si="122"/>
        <v>5.1000000000000004E-3</v>
      </c>
      <c r="O26" s="2635">
        <f t="shared" si="118"/>
        <v>5.4000000000000003E-3</v>
      </c>
      <c r="P26" s="2635">
        <f t="shared" si="118"/>
        <v>4.7999999999999996E-3</v>
      </c>
      <c r="Q26" s="2635">
        <f t="shared" si="118"/>
        <v>9.300000000000001E-3</v>
      </c>
      <c r="R26" s="2628"/>
      <c r="S26" s="2634">
        <f>B26/B27-1</f>
        <v>5.9040261127922822E-3</v>
      </c>
      <c r="T26" s="2635">
        <f>C26/C27-1</f>
        <v>5.9752176557332781E-3</v>
      </c>
      <c r="U26" s="2635">
        <f>E26/E27-1</f>
        <v>4.9906138119859556E-3</v>
      </c>
      <c r="V26" s="2635">
        <f>F26/F27-1</f>
        <v>9.4305450930933787E-3</v>
      </c>
      <c r="X26" s="2716">
        <f>ROUND(SUMPRODUCT(PRODUCT(1+N26:N$29)),4)</f>
        <v>1.0399</v>
      </c>
      <c r="Y26" s="2716">
        <f>ROUND(SUMPRODUCT(PRODUCT(1+O26:O$29)),4)</f>
        <v>1.0451999999999999</v>
      </c>
      <c r="Z26" s="2716">
        <f t="shared" si="0"/>
        <v>1.0451999999999999</v>
      </c>
      <c r="AA26" s="2716">
        <f>ROUND(SUMPRODUCT(PRODUCT(1+P26:P$29)),4)</f>
        <v>1.0387999999999999</v>
      </c>
      <c r="AB26" s="2716">
        <f>ROUND(SUMPRODUCT(PRODUCT(1+Q26:Q$29)),4)</f>
        <v>1.0411999999999999</v>
      </c>
      <c r="AD26" s="2636">
        <f>ROUND(AVERAGE(I26:I$30)/100,4)</f>
        <v>1.38E-2</v>
      </c>
      <c r="AE26" s="2636">
        <f>ROUND(AVERAGE(J26:J$30)/100,4)</f>
        <v>1.3599999999999999E-2</v>
      </c>
      <c r="AF26" s="2636">
        <f t="shared" si="1"/>
        <v>1.3599999999999999E-2</v>
      </c>
      <c r="AG26" s="2636">
        <f>ROUND(AVERAGE(K26:K$30)/100,4)</f>
        <v>1.4200000000000001E-2</v>
      </c>
      <c r="AH26" s="2636">
        <f>ROUND(AVERAGE(L26:L$30)/100,4)</f>
        <v>1.0800000000000001E-2</v>
      </c>
    </row>
    <row r="27" spans="1:34" ht="13.5" thickBot="1">
      <c r="A27" s="2618" t="s">
        <v>961</v>
      </c>
      <c r="B27" s="2645">
        <v>318</v>
      </c>
      <c r="C27" s="2645">
        <v>268</v>
      </c>
      <c r="D27" s="2645">
        <f t="shared" si="120"/>
        <v>268</v>
      </c>
      <c r="E27" s="2645">
        <v>437</v>
      </c>
      <c r="F27" s="2646">
        <v>237</v>
      </c>
      <c r="G27" s="3541">
        <v>2014</v>
      </c>
      <c r="H27" s="2637">
        <v>4</v>
      </c>
      <c r="I27" s="2637">
        <v>0.21</v>
      </c>
      <c r="J27" s="2637">
        <v>0.41</v>
      </c>
      <c r="K27" s="2637">
        <v>0.12</v>
      </c>
      <c r="L27" s="2638">
        <v>0.89</v>
      </c>
      <c r="N27" s="2626">
        <f t="shared" si="122"/>
        <v>2.0999999999999999E-3</v>
      </c>
      <c r="O27" s="2627">
        <f t="shared" si="118"/>
        <v>4.0999999999999995E-3</v>
      </c>
      <c r="P27" s="2627">
        <f t="shared" si="118"/>
        <v>1.1999999999999999E-3</v>
      </c>
      <c r="Q27" s="2627">
        <f t="shared" si="118"/>
        <v>8.8999999999999999E-3</v>
      </c>
      <c r="R27" s="2628"/>
      <c r="S27" s="2629"/>
      <c r="T27" s="2630"/>
      <c r="U27" s="2630"/>
      <c r="V27" s="2630"/>
      <c r="X27" s="2716">
        <f>ROUND(SUMPRODUCT(PRODUCT(1+N27:N$29)),4)</f>
        <v>1.0347</v>
      </c>
      <c r="Y27" s="2716">
        <f>ROUND(SUMPRODUCT(PRODUCT(1+O27:O$29)),4)</f>
        <v>1.0395000000000001</v>
      </c>
      <c r="Z27" s="2716">
        <f t="shared" si="0"/>
        <v>1.0395000000000001</v>
      </c>
      <c r="AA27" s="2716">
        <f>ROUND(SUMPRODUCT(PRODUCT(1+P27:P$29)),4)</f>
        <v>1.0338000000000001</v>
      </c>
      <c r="AB27" s="2716">
        <f>ROUND(SUMPRODUCT(PRODUCT(1+Q27:Q$29)),4)</f>
        <v>1.0316000000000001</v>
      </c>
      <c r="AD27" s="2636">
        <f>ROUND(AVERAGE(I27:I$30)/100,4)</f>
        <v>1.6E-2</v>
      </c>
      <c r="AE27" s="2636">
        <f>ROUND(AVERAGE(J27:J$30)/100,4)</f>
        <v>1.5599999999999999E-2</v>
      </c>
      <c r="AF27" s="2636">
        <f t="shared" si="1"/>
        <v>1.5599999999999999E-2</v>
      </c>
      <c r="AG27" s="2636">
        <f>ROUND(AVERAGE(K27:K$30)/100,4)</f>
        <v>1.66E-2</v>
      </c>
      <c r="AH27" s="2636">
        <f>ROUND(AVERAGE(L27:L$30)/100,4)</f>
        <v>1.12E-2</v>
      </c>
    </row>
    <row r="28" spans="1:34">
      <c r="A28" s="2618" t="s">
        <v>960</v>
      </c>
      <c r="B28" s="2631">
        <f t="shared" ref="B28:C30" si="125">B27/(1+N27)</f>
        <v>317.33359944117353</v>
      </c>
      <c r="C28" s="2631">
        <f t="shared" si="125"/>
        <v>266.90568668459315</v>
      </c>
      <c r="D28" s="2631">
        <f t="shared" si="120"/>
        <v>266.90568668459315</v>
      </c>
      <c r="E28" s="2631">
        <f t="shared" ref="E28:F30" si="126">E27/(1+P27)</f>
        <v>436.47622852576905</v>
      </c>
      <c r="F28" s="2631">
        <f t="shared" si="126"/>
        <v>234.90930716622066</v>
      </c>
      <c r="G28" s="3539"/>
      <c r="H28" s="2647">
        <v>3</v>
      </c>
      <c r="I28" s="2647">
        <v>0.83</v>
      </c>
      <c r="J28" s="2647">
        <v>1.47</v>
      </c>
      <c r="K28" s="2647">
        <v>0.65</v>
      </c>
      <c r="L28" s="2648">
        <v>0.72</v>
      </c>
      <c r="N28" s="2626">
        <f t="shared" si="122"/>
        <v>8.3000000000000001E-3</v>
      </c>
      <c r="O28" s="2627">
        <f t="shared" si="118"/>
        <v>1.47E-2</v>
      </c>
      <c r="P28" s="2627">
        <f t="shared" si="118"/>
        <v>6.5000000000000006E-3</v>
      </c>
      <c r="Q28" s="2627">
        <f t="shared" si="118"/>
        <v>7.1999999999999998E-3</v>
      </c>
      <c r="R28" s="2628"/>
      <c r="S28" s="2626"/>
      <c r="T28" s="2627"/>
      <c r="U28" s="2627"/>
      <c r="V28" s="2627"/>
      <c r="X28" s="2716">
        <f>ROUND(SUMPRODUCT(PRODUCT(1+N28:N$29)),4)</f>
        <v>1.0325</v>
      </c>
      <c r="Y28" s="2716">
        <f>ROUND(SUMPRODUCT(PRODUCT(1+O28:O$29)),4)</f>
        <v>1.0353000000000001</v>
      </c>
      <c r="Z28" s="2716">
        <f t="shared" ref="Z28:Z29" si="127">Y28</f>
        <v>1.0353000000000001</v>
      </c>
      <c r="AA28" s="2716">
        <f>ROUND(SUMPRODUCT(PRODUCT(1+P28:P$29)),4)</f>
        <v>1.0326</v>
      </c>
      <c r="AB28" s="2716">
        <f>ROUND(SUMPRODUCT(PRODUCT(1+Q28:Q$29)),4)</f>
        <v>1.0225</v>
      </c>
      <c r="AD28" s="2636">
        <f>ROUND(AVERAGE(I28:I$30)/100,4)</f>
        <v>2.07E-2</v>
      </c>
      <c r="AE28" s="2636">
        <f>ROUND(AVERAGE(J28:J$30)/100,4)</f>
        <v>1.95E-2</v>
      </c>
      <c r="AF28" s="2636">
        <f t="shared" si="1"/>
        <v>1.95E-2</v>
      </c>
      <c r="AG28" s="2636">
        <f>ROUND(AVERAGE(K28:K$30)/100,4)</f>
        <v>2.1700000000000001E-2</v>
      </c>
      <c r="AH28" s="2636">
        <f>ROUND(AVERAGE(L28:L$30)/100,4)</f>
        <v>1.2E-2</v>
      </c>
    </row>
    <row r="29" spans="1:34" ht="13.5" thickBot="1">
      <c r="A29" s="2618" t="s">
        <v>959</v>
      </c>
      <c r="B29" s="2631">
        <f t="shared" si="125"/>
        <v>314.72141172386546</v>
      </c>
      <c r="C29" s="2631">
        <f t="shared" si="125"/>
        <v>263.03901319069001</v>
      </c>
      <c r="D29" s="2631">
        <f t="shared" si="120"/>
        <v>263.03901319069001</v>
      </c>
      <c r="E29" s="2631">
        <f t="shared" si="126"/>
        <v>433.65745506782821</v>
      </c>
      <c r="F29" s="2631">
        <f t="shared" si="126"/>
        <v>233.23005080045735</v>
      </c>
      <c r="G29" s="3539"/>
      <c r="H29" s="2637">
        <v>2</v>
      </c>
      <c r="I29" s="2637">
        <v>2.4</v>
      </c>
      <c r="J29" s="2637">
        <v>2.0299999999999998</v>
      </c>
      <c r="K29" s="2637">
        <v>2.59</v>
      </c>
      <c r="L29" s="2638">
        <v>1.52</v>
      </c>
      <c r="N29" s="2626">
        <f t="shared" si="122"/>
        <v>2.4E-2</v>
      </c>
      <c r="O29" s="2627">
        <f t="shared" si="118"/>
        <v>2.0299999999999999E-2</v>
      </c>
      <c r="P29" s="2627">
        <f t="shared" si="118"/>
        <v>2.5899999999999999E-2</v>
      </c>
      <c r="Q29" s="2627">
        <f t="shared" si="118"/>
        <v>1.52E-2</v>
      </c>
      <c r="R29" s="2628"/>
      <c r="S29" s="2626"/>
      <c r="T29" s="2627"/>
      <c r="U29" s="2627"/>
      <c r="V29" s="2627"/>
      <c r="X29" s="2716">
        <f>1+N29</f>
        <v>1.024</v>
      </c>
      <c r="Y29" s="2716">
        <f>1+O29</f>
        <v>1.0203</v>
      </c>
      <c r="Z29" s="2716">
        <f t="shared" si="127"/>
        <v>1.0203</v>
      </c>
      <c r="AA29" s="2716">
        <f>1+P29</f>
        <v>1.0259</v>
      </c>
      <c r="AB29" s="2716">
        <f>1+Q29</f>
        <v>1.0152000000000001</v>
      </c>
      <c r="AD29" s="2636">
        <f>ROUND(AVERAGE(I29:I$30)/100,4)</f>
        <v>2.69E-2</v>
      </c>
      <c r="AE29" s="2636">
        <f>ROUND(AVERAGE(J29:J$30)/100,4)</f>
        <v>2.1899999999999999E-2</v>
      </c>
      <c r="AF29" s="2636">
        <f t="shared" ref="AF29" si="128">AE29</f>
        <v>2.1899999999999999E-2</v>
      </c>
      <c r="AG29" s="2636">
        <f>ROUND(AVERAGE(K29:K$30)/100,4)</f>
        <v>2.9399999999999999E-2</v>
      </c>
      <c r="AH29" s="2636">
        <f>ROUND(AVERAGE(L29:L$30)/100,4)</f>
        <v>1.44E-2</v>
      </c>
    </row>
    <row r="30" spans="1:34" s="2653" customFormat="1" ht="13.5" thickBot="1">
      <c r="A30" s="2649" t="s">
        <v>958</v>
      </c>
      <c r="B30" s="2650">
        <f t="shared" si="125"/>
        <v>307.34512863658733</v>
      </c>
      <c r="C30" s="2650">
        <f t="shared" si="125"/>
        <v>257.80556031626975</v>
      </c>
      <c r="D30" s="2650">
        <f t="shared" si="120"/>
        <v>257.80556031626975</v>
      </c>
      <c r="E30" s="2650">
        <f t="shared" si="126"/>
        <v>422.70928459677179</v>
      </c>
      <c r="F30" s="2650">
        <f t="shared" si="126"/>
        <v>229.73803270336617</v>
      </c>
      <c r="G30" s="3542"/>
      <c r="H30" s="2651">
        <v>1</v>
      </c>
      <c r="I30" s="2651">
        <v>2.97</v>
      </c>
      <c r="J30" s="2651">
        <v>2.34</v>
      </c>
      <c r="K30" s="2651">
        <v>3.28</v>
      </c>
      <c r="L30" s="2652">
        <v>1.36</v>
      </c>
      <c r="N30" s="2654">
        <f t="shared" si="122"/>
        <v>2.9700000000000001E-2</v>
      </c>
      <c r="O30" s="2655">
        <f t="shared" si="118"/>
        <v>2.3399999999999997E-2</v>
      </c>
      <c r="P30" s="2655">
        <f t="shared" si="118"/>
        <v>3.2799999999999996E-2</v>
      </c>
      <c r="Q30" s="2655">
        <f t="shared" si="118"/>
        <v>1.3600000000000001E-2</v>
      </c>
      <c r="R30" s="2656"/>
      <c r="S30" s="2657">
        <f>B30/B31-1</f>
        <v>2.7910129219355539E-2</v>
      </c>
      <c r="T30" s="2658">
        <f>C30/C31-1</f>
        <v>2.3037937762975247E-2</v>
      </c>
      <c r="U30" s="2658">
        <f>E30/E31-1</f>
        <v>3.3519033243940788E-2</v>
      </c>
      <c r="V30" s="2658">
        <f>F30/F31-1</f>
        <v>1.2061818076502862E-2</v>
      </c>
      <c r="W30" s="2725" t="s">
        <v>2634</v>
      </c>
      <c r="X30" s="2727">
        <v>1</v>
      </c>
      <c r="Y30" s="2727">
        <v>1</v>
      </c>
      <c r="Z30" s="2727">
        <v>1</v>
      </c>
      <c r="AA30" s="2727">
        <v>1</v>
      </c>
      <c r="AB30" s="2727">
        <v>1</v>
      </c>
      <c r="AD30" s="2960">
        <f>I30/100</f>
        <v>2.9700000000000001E-2</v>
      </c>
      <c r="AE30" s="2960">
        <f>J30/100</f>
        <v>2.3399999999999997E-2</v>
      </c>
      <c r="AF30" s="2960">
        <f>AE30</f>
        <v>2.3399999999999997E-2</v>
      </c>
      <c r="AG30" s="2960">
        <f>K30/100</f>
        <v>3.2799999999999996E-2</v>
      </c>
      <c r="AH30" s="2960">
        <f>L30/100</f>
        <v>1.3600000000000001E-2</v>
      </c>
    </row>
    <row r="31" spans="1:34" ht="13.5" thickBot="1">
      <c r="A31" s="2618" t="s">
        <v>2577</v>
      </c>
      <c r="B31" s="2623">
        <v>299</v>
      </c>
      <c r="C31" s="2623">
        <v>252</v>
      </c>
      <c r="D31" s="2623">
        <f t="shared" si="120"/>
        <v>252</v>
      </c>
      <c r="E31" s="2623">
        <v>409</v>
      </c>
      <c r="F31" s="2624">
        <v>227</v>
      </c>
      <c r="G31" s="3546">
        <v>2013</v>
      </c>
      <c r="H31" s="2659">
        <v>4</v>
      </c>
      <c r="I31" s="2659">
        <v>1.83</v>
      </c>
      <c r="J31" s="2659">
        <v>1.68</v>
      </c>
      <c r="K31" s="2659">
        <v>1.97</v>
      </c>
      <c r="L31" s="2660">
        <v>0.87</v>
      </c>
      <c r="N31" s="2639">
        <f t="shared" si="122"/>
        <v>1.83E-2</v>
      </c>
      <c r="O31" s="2640">
        <f t="shared" si="118"/>
        <v>1.6799999999999999E-2</v>
      </c>
      <c r="P31" s="2640">
        <f t="shared" si="118"/>
        <v>1.9699999999999999E-2</v>
      </c>
      <c r="Q31" s="2640">
        <f t="shared" si="118"/>
        <v>8.6999999999999994E-3</v>
      </c>
      <c r="R31" s="2628"/>
      <c r="S31" s="2629"/>
      <c r="T31" s="2630"/>
      <c r="U31" s="2630"/>
      <c r="V31" s="2630"/>
      <c r="X31" s="2630"/>
      <c r="Y31" s="2630"/>
      <c r="Z31" s="2630"/>
    </row>
    <row r="32" spans="1:34">
      <c r="A32" s="2618" t="s">
        <v>2578</v>
      </c>
      <c r="B32" s="2631">
        <f t="shared" ref="B32:C34" si="129">B31/(1+N31)</f>
        <v>293.62663262299913</v>
      </c>
      <c r="C32" s="2631">
        <f t="shared" si="129"/>
        <v>247.83634933123525</v>
      </c>
      <c r="D32" s="2631">
        <f t="shared" si="120"/>
        <v>247.83634933123525</v>
      </c>
      <c r="E32" s="2631">
        <f t="shared" ref="E32:F34" si="130">E31/(1+P31)</f>
        <v>401.09836226341076</v>
      </c>
      <c r="F32" s="2631">
        <f t="shared" si="130"/>
        <v>225.04213343908003</v>
      </c>
      <c r="G32" s="3547"/>
      <c r="H32" s="2642">
        <v>3</v>
      </c>
      <c r="I32" s="2642">
        <v>1.86</v>
      </c>
      <c r="J32" s="2642">
        <v>1.72</v>
      </c>
      <c r="K32" s="2642">
        <v>1.98</v>
      </c>
      <c r="L32" s="2643">
        <v>0.88</v>
      </c>
      <c r="N32" s="2626">
        <f t="shared" si="122"/>
        <v>1.8600000000000002E-2</v>
      </c>
      <c r="O32" s="2644">
        <f t="shared" si="118"/>
        <v>1.72E-2</v>
      </c>
      <c r="P32" s="2644">
        <f t="shared" si="118"/>
        <v>1.9799999999999998E-2</v>
      </c>
      <c r="Q32" s="2644">
        <f t="shared" si="118"/>
        <v>8.8000000000000005E-3</v>
      </c>
      <c r="R32" s="2628"/>
      <c r="S32" s="2626"/>
      <c r="T32" s="2627"/>
      <c r="U32" s="2627"/>
      <c r="V32" s="2627"/>
    </row>
    <row r="33" spans="1:26">
      <c r="A33" s="2618" t="s">
        <v>2579</v>
      </c>
      <c r="B33" s="2631">
        <f t="shared" si="129"/>
        <v>288.2649053828776</v>
      </c>
      <c r="C33" s="2631">
        <f t="shared" si="129"/>
        <v>243.64564425013293</v>
      </c>
      <c r="D33" s="2631">
        <f t="shared" si="120"/>
        <v>243.64564425013293</v>
      </c>
      <c r="E33" s="2631">
        <f t="shared" si="130"/>
        <v>393.31080825986544</v>
      </c>
      <c r="F33" s="2631">
        <f t="shared" si="130"/>
        <v>223.07903790551154</v>
      </c>
      <c r="G33" s="3547"/>
      <c r="H33" s="2622">
        <v>2</v>
      </c>
      <c r="I33" s="2622">
        <v>2.04</v>
      </c>
      <c r="J33" s="2622">
        <v>2.33</v>
      </c>
      <c r="K33" s="2622">
        <v>2.0699999999999998</v>
      </c>
      <c r="L33" s="2633">
        <v>0.69</v>
      </c>
      <c r="N33" s="2626">
        <f t="shared" si="122"/>
        <v>2.0400000000000001E-2</v>
      </c>
      <c r="O33" s="2644">
        <f t="shared" si="118"/>
        <v>2.3300000000000001E-2</v>
      </c>
      <c r="P33" s="2644">
        <f t="shared" si="118"/>
        <v>2.07E-2</v>
      </c>
      <c r="Q33" s="2644">
        <f t="shared" si="118"/>
        <v>6.8999999999999999E-3</v>
      </c>
      <c r="R33" s="2628"/>
      <c r="S33" s="2626"/>
      <c r="T33" s="2627"/>
      <c r="U33" s="2627"/>
      <c r="V33" s="2627"/>
      <c r="X33" s="2728"/>
      <c r="Y33" s="2730"/>
    </row>
    <row r="34" spans="1:26">
      <c r="A34" s="2618" t="s">
        <v>2580</v>
      </c>
      <c r="B34" s="2631">
        <f t="shared" si="129"/>
        <v>282.50186729015837</v>
      </c>
      <c r="C34" s="2631">
        <f t="shared" si="129"/>
        <v>238.09796174155468</v>
      </c>
      <c r="D34" s="2631">
        <f t="shared" si="120"/>
        <v>238.09796174155468</v>
      </c>
      <c r="E34" s="2631">
        <f t="shared" si="130"/>
        <v>385.33438646014054</v>
      </c>
      <c r="F34" s="2631">
        <f t="shared" si="130"/>
        <v>221.55034055567739</v>
      </c>
      <c r="G34" s="3548"/>
      <c r="H34" s="2621">
        <v>1</v>
      </c>
      <c r="I34" s="2621">
        <v>1.67</v>
      </c>
      <c r="J34" s="2621">
        <v>1.31</v>
      </c>
      <c r="K34" s="2621">
        <v>1.85</v>
      </c>
      <c r="L34" s="2632">
        <v>0.96</v>
      </c>
      <c r="N34" s="2634">
        <f t="shared" si="122"/>
        <v>1.67E-2</v>
      </c>
      <c r="O34" s="2635">
        <f t="shared" si="118"/>
        <v>1.3100000000000001E-2</v>
      </c>
      <c r="P34" s="2635">
        <f t="shared" si="118"/>
        <v>1.8500000000000003E-2</v>
      </c>
      <c r="Q34" s="2635">
        <f t="shared" si="118"/>
        <v>9.5999999999999992E-3</v>
      </c>
      <c r="R34" s="2628"/>
      <c r="S34" s="2634">
        <f>B34/B35-1</f>
        <v>1.6193767230785472E-2</v>
      </c>
      <c r="T34" s="2635">
        <f>C34/C35-1</f>
        <v>1.7512657015190891E-2</v>
      </c>
      <c r="U34" s="2635">
        <f>E34/E35-1</f>
        <v>1.6713420739157048E-2</v>
      </c>
      <c r="V34" s="2635">
        <f>F34/F35-1</f>
        <v>7.0470025258062563E-3</v>
      </c>
      <c r="X34" s="2729"/>
      <c r="Y34" s="2636"/>
      <c r="Z34" s="2636"/>
    </row>
    <row r="35" spans="1:26" ht="13.5" thickBot="1">
      <c r="A35" s="2618" t="s">
        <v>2581</v>
      </c>
      <c r="B35" s="2661">
        <v>278</v>
      </c>
      <c r="C35" s="2661">
        <v>234</v>
      </c>
      <c r="D35" s="2661">
        <f t="shared" si="120"/>
        <v>234</v>
      </c>
      <c r="E35" s="2661">
        <v>379</v>
      </c>
      <c r="F35" s="2662">
        <v>220</v>
      </c>
      <c r="G35" s="3541">
        <v>2012</v>
      </c>
      <c r="H35" s="2637">
        <v>4</v>
      </c>
      <c r="I35" s="2637">
        <v>0.91</v>
      </c>
      <c r="J35" s="2637">
        <v>0.68</v>
      </c>
      <c r="K35" s="2637">
        <v>0.98</v>
      </c>
      <c r="L35" s="2638">
        <v>0.9</v>
      </c>
      <c r="N35" s="2626">
        <f t="shared" si="122"/>
        <v>9.1000000000000004E-3</v>
      </c>
      <c r="O35" s="2627">
        <f t="shared" si="122"/>
        <v>6.8000000000000005E-3</v>
      </c>
      <c r="P35" s="2627">
        <f t="shared" si="122"/>
        <v>9.7999999999999997E-3</v>
      </c>
      <c r="Q35" s="2627">
        <f t="shared" si="122"/>
        <v>9.0000000000000011E-3</v>
      </c>
      <c r="R35" s="2628"/>
      <c r="S35" s="2629"/>
      <c r="T35" s="2630"/>
      <c r="U35" s="2630"/>
      <c r="V35" s="2630"/>
      <c r="X35" s="2630"/>
      <c r="Y35" s="2630"/>
      <c r="Z35" s="2630"/>
    </row>
    <row r="36" spans="1:26">
      <c r="A36" s="2618" t="s">
        <v>2582</v>
      </c>
      <c r="B36" s="2631">
        <f>B35/(1+N35)</f>
        <v>275.49301357645425</v>
      </c>
      <c r="C36" s="2631">
        <f>C35/(1+O35)</f>
        <v>232.41954707985698</v>
      </c>
      <c r="D36" s="2631">
        <f t="shared" si="120"/>
        <v>232.41954707985698</v>
      </c>
      <c r="E36" s="2631">
        <f t="shared" ref="E36:F38" si="131">E35/(1+P35)</f>
        <v>375.32184591008121</v>
      </c>
      <c r="F36" s="2631">
        <f t="shared" si="131"/>
        <v>218.03766105054513</v>
      </c>
      <c r="G36" s="3539"/>
      <c r="H36" s="2642">
        <v>3</v>
      </c>
      <c r="I36" s="2642">
        <v>0.09</v>
      </c>
      <c r="J36" s="2642">
        <v>0.28999999999999998</v>
      </c>
      <c r="K36" s="2642">
        <v>-0.01</v>
      </c>
      <c r="L36" s="2643">
        <v>0.57999999999999996</v>
      </c>
      <c r="N36" s="2626">
        <f t="shared" si="122"/>
        <v>8.9999999999999998E-4</v>
      </c>
      <c r="O36" s="2627">
        <f t="shared" si="122"/>
        <v>2.8999999999999998E-3</v>
      </c>
      <c r="P36" s="2627">
        <f t="shared" si="122"/>
        <v>-1E-4</v>
      </c>
      <c r="Q36" s="2627">
        <f t="shared" si="122"/>
        <v>5.7999999999999996E-3</v>
      </c>
      <c r="R36" s="2628"/>
      <c r="S36" s="2626"/>
      <c r="T36" s="2627"/>
      <c r="U36" s="2627"/>
      <c r="V36" s="2627"/>
    </row>
    <row r="37" spans="1:26">
      <c r="A37" s="2618" t="s">
        <v>2583</v>
      </c>
      <c r="B37" s="2631">
        <f>B36/(1+N36)</f>
        <v>275.24529281292263</v>
      </c>
      <c r="C37" s="2631">
        <f>C36/(1+O36)</f>
        <v>231.74747938962707</v>
      </c>
      <c r="D37" s="2631">
        <f t="shared" si="120"/>
        <v>231.74747938962707</v>
      </c>
      <c r="E37" s="2631">
        <f t="shared" si="131"/>
        <v>375.35938184826603</v>
      </c>
      <c r="F37" s="2631">
        <f t="shared" si="131"/>
        <v>216.78033510692495</v>
      </c>
      <c r="G37" s="3539"/>
      <c r="H37" s="2622">
        <v>2</v>
      </c>
      <c r="I37" s="2622">
        <v>0.02</v>
      </c>
      <c r="J37" s="2622">
        <v>0.12</v>
      </c>
      <c r="K37" s="2622">
        <v>-0.08</v>
      </c>
      <c r="L37" s="2633">
        <v>1.24</v>
      </c>
      <c r="N37" s="2626">
        <f t="shared" si="122"/>
        <v>2.0000000000000001E-4</v>
      </c>
      <c r="O37" s="2627">
        <f t="shared" si="122"/>
        <v>1.1999999999999999E-3</v>
      </c>
      <c r="P37" s="2627">
        <f t="shared" si="122"/>
        <v>-8.0000000000000004E-4</v>
      </c>
      <c r="Q37" s="2627">
        <f t="shared" si="122"/>
        <v>1.24E-2</v>
      </c>
      <c r="R37" s="2628"/>
      <c r="S37" s="2626"/>
      <c r="T37" s="2627"/>
      <c r="U37" s="2627"/>
      <c r="V37" s="2627"/>
    </row>
    <row r="38" spans="1:26" ht="13.5" thickBot="1">
      <c r="A38" s="2618" t="s">
        <v>2584</v>
      </c>
      <c r="B38" s="2631">
        <f>B37/(1+N37)</f>
        <v>275.19025476197027</v>
      </c>
      <c r="C38" s="2663">
        <v>232</v>
      </c>
      <c r="D38" s="2663">
        <f t="shared" si="120"/>
        <v>232</v>
      </c>
      <c r="E38" s="2631">
        <f t="shared" si="131"/>
        <v>375.65990977608692</v>
      </c>
      <c r="F38" s="2631">
        <f t="shared" si="131"/>
        <v>214.12518283971252</v>
      </c>
      <c r="G38" s="3542"/>
      <c r="H38" s="2621">
        <v>1</v>
      </c>
      <c r="I38" s="2621">
        <v>0.02</v>
      </c>
      <c r="J38" s="2621">
        <v>0.13</v>
      </c>
      <c r="K38" s="2621">
        <v>-0.04</v>
      </c>
      <c r="L38" s="2632">
        <v>0.46</v>
      </c>
      <c r="N38" s="2626">
        <f t="shared" si="122"/>
        <v>2.0000000000000001E-4</v>
      </c>
      <c r="O38" s="2627">
        <f t="shared" si="122"/>
        <v>1.2999999999999999E-3</v>
      </c>
      <c r="P38" s="2627">
        <f t="shared" si="122"/>
        <v>-4.0000000000000002E-4</v>
      </c>
      <c r="Q38" s="2627">
        <f t="shared" si="122"/>
        <v>4.5999999999999999E-3</v>
      </c>
      <c r="R38" s="2628"/>
      <c r="S38" s="2634">
        <f>B38/B39-1</f>
        <v>6.9183549807361189E-4</v>
      </c>
      <c r="T38" s="2635">
        <f>C38/C39-1</f>
        <v>0</v>
      </c>
      <c r="U38" s="2635">
        <f>E38/E39-1</f>
        <v>-9.0449527636460303E-4</v>
      </c>
      <c r="V38" s="2635">
        <f>F38/F39-1</f>
        <v>5.2825485432512753E-3</v>
      </c>
      <c r="X38" s="2636"/>
      <c r="Y38" s="2636"/>
      <c r="Z38" s="2636"/>
    </row>
    <row r="39" spans="1:26" ht="13.5" thickBot="1">
      <c r="A39" s="2618" t="s">
        <v>2585</v>
      </c>
      <c r="B39" s="2623">
        <v>275</v>
      </c>
      <c r="C39" s="2623">
        <v>232</v>
      </c>
      <c r="D39" s="2623">
        <f t="shared" si="120"/>
        <v>232</v>
      </c>
      <c r="E39" s="2623">
        <v>376</v>
      </c>
      <c r="F39" s="2624">
        <v>213</v>
      </c>
      <c r="G39" s="3541">
        <v>2011</v>
      </c>
      <c r="H39" s="2637">
        <v>4</v>
      </c>
      <c r="I39" s="2637">
        <v>-0.2</v>
      </c>
      <c r="J39" s="2637">
        <v>0.04</v>
      </c>
      <c r="K39" s="2637">
        <v>-0.34</v>
      </c>
      <c r="L39" s="2638">
        <v>0.46</v>
      </c>
      <c r="N39" s="2639">
        <f t="shared" si="122"/>
        <v>-2E-3</v>
      </c>
      <c r="O39" s="2640">
        <f t="shared" si="122"/>
        <v>4.0000000000000002E-4</v>
      </c>
      <c r="P39" s="2640">
        <f t="shared" si="122"/>
        <v>-3.4000000000000002E-3</v>
      </c>
      <c r="Q39" s="2640">
        <f t="shared" si="122"/>
        <v>4.5999999999999999E-3</v>
      </c>
      <c r="R39" s="2628"/>
      <c r="S39" s="2629"/>
      <c r="T39" s="2630"/>
      <c r="U39" s="2630"/>
      <c r="V39" s="2630"/>
      <c r="X39" s="2630"/>
      <c r="Y39" s="2630"/>
      <c r="Z39" s="2630"/>
    </row>
    <row r="40" spans="1:26">
      <c r="A40" s="2618" t="s">
        <v>2586</v>
      </c>
      <c r="B40" s="2631">
        <f t="shared" ref="B40:C42" si="132">B39/(1+N39)</f>
        <v>275.55110220440883</v>
      </c>
      <c r="C40" s="2631">
        <f t="shared" si="132"/>
        <v>231.90723710515795</v>
      </c>
      <c r="D40" s="2631">
        <f t="shared" si="120"/>
        <v>231.90723710515795</v>
      </c>
      <c r="E40" s="2631">
        <f t="shared" ref="E40:F42" si="133">E39/(1+P39)</f>
        <v>377.28276138872161</v>
      </c>
      <c r="F40" s="2631">
        <f t="shared" si="133"/>
        <v>212.02468644236512</v>
      </c>
      <c r="G40" s="3539">
        <v>2011</v>
      </c>
      <c r="H40" s="2642">
        <v>3</v>
      </c>
      <c r="I40" s="2642">
        <v>0.13</v>
      </c>
      <c r="J40" s="2642">
        <v>0.75</v>
      </c>
      <c r="K40" s="2642">
        <v>-0.08</v>
      </c>
      <c r="L40" s="2643">
        <v>0.53</v>
      </c>
      <c r="N40" s="2626">
        <f t="shared" si="122"/>
        <v>1.2999999999999999E-3</v>
      </c>
      <c r="O40" s="2644">
        <f t="shared" si="122"/>
        <v>7.4999999999999997E-3</v>
      </c>
      <c r="P40" s="2644">
        <f t="shared" si="122"/>
        <v>-8.0000000000000004E-4</v>
      </c>
      <c r="Q40" s="2644">
        <f t="shared" si="122"/>
        <v>5.3E-3</v>
      </c>
      <c r="R40" s="2628"/>
      <c r="S40" s="2626"/>
      <c r="T40" s="2627"/>
      <c r="U40" s="2627"/>
      <c r="V40" s="2627"/>
    </row>
    <row r="41" spans="1:26">
      <c r="A41" s="2618" t="s">
        <v>2587</v>
      </c>
      <c r="B41" s="2631">
        <f t="shared" si="132"/>
        <v>275.19335084830601</v>
      </c>
      <c r="C41" s="2631">
        <f t="shared" si="132"/>
        <v>230.18088050139744</v>
      </c>
      <c r="D41" s="2631">
        <f t="shared" si="120"/>
        <v>230.18088050139744</v>
      </c>
      <c r="E41" s="2631">
        <f t="shared" si="133"/>
        <v>377.58482925212331</v>
      </c>
      <c r="F41" s="2631">
        <f t="shared" si="133"/>
        <v>210.90687997847917</v>
      </c>
      <c r="G41" s="3539">
        <v>2011</v>
      </c>
      <c r="H41" s="2622">
        <v>2</v>
      </c>
      <c r="I41" s="2622">
        <v>-0.4</v>
      </c>
      <c r="J41" s="2622">
        <v>0.17</v>
      </c>
      <c r="K41" s="2622">
        <v>-0.57999999999999996</v>
      </c>
      <c r="L41" s="2633">
        <v>-0.2</v>
      </c>
      <c r="N41" s="2626">
        <f t="shared" si="122"/>
        <v>-4.0000000000000001E-3</v>
      </c>
      <c r="O41" s="2644">
        <f t="shared" si="122"/>
        <v>1.7000000000000001E-3</v>
      </c>
      <c r="P41" s="2644">
        <f t="shared" si="122"/>
        <v>-5.7999999999999996E-3</v>
      </c>
      <c r="Q41" s="2644">
        <f t="shared" si="122"/>
        <v>-2E-3</v>
      </c>
      <c r="R41" s="2628"/>
      <c r="S41" s="2626"/>
      <c r="T41" s="2627"/>
      <c r="U41" s="2627"/>
      <c r="V41" s="2627"/>
    </row>
    <row r="42" spans="1:26" ht="13.5" thickBot="1">
      <c r="A42" s="2618" t="s">
        <v>2588</v>
      </c>
      <c r="B42" s="2631">
        <f t="shared" si="132"/>
        <v>276.29854502841971</v>
      </c>
      <c r="C42" s="2631">
        <f t="shared" si="132"/>
        <v>229.79023709833027</v>
      </c>
      <c r="D42" s="2631">
        <f t="shared" si="120"/>
        <v>229.79023709833027</v>
      </c>
      <c r="E42" s="2631">
        <f t="shared" si="133"/>
        <v>379.78759731655936</v>
      </c>
      <c r="F42" s="2631">
        <f t="shared" si="133"/>
        <v>211.32953905659235</v>
      </c>
      <c r="G42" s="3542">
        <v>2011</v>
      </c>
      <c r="H42" s="2621">
        <v>1</v>
      </c>
      <c r="I42" s="2621">
        <v>2.65</v>
      </c>
      <c r="J42" s="2621">
        <v>3.76</v>
      </c>
      <c r="K42" s="2621">
        <v>1.89</v>
      </c>
      <c r="L42" s="2632">
        <v>7.95</v>
      </c>
      <c r="N42" s="2634">
        <f t="shared" si="122"/>
        <v>2.6499999999999999E-2</v>
      </c>
      <c r="O42" s="2635">
        <f t="shared" si="122"/>
        <v>3.7599999999999995E-2</v>
      </c>
      <c r="P42" s="2635">
        <f t="shared" si="122"/>
        <v>1.89E-2</v>
      </c>
      <c r="Q42" s="2635">
        <f t="shared" si="122"/>
        <v>7.9500000000000001E-2</v>
      </c>
      <c r="R42" s="2628"/>
      <c r="S42" s="2634">
        <f>B42/B43-1</f>
        <v>2.713213765211786E-2</v>
      </c>
      <c r="T42" s="2635">
        <f>C42/C43-1</f>
        <v>3.9774828499231862E-2</v>
      </c>
      <c r="U42" s="2635">
        <f>E42/E43-1</f>
        <v>1.8197311840641772E-2</v>
      </c>
      <c r="V42" s="2635">
        <f>F42/F43-1</f>
        <v>7.8211933962205826E-2</v>
      </c>
      <c r="X42" s="2636"/>
      <c r="Y42" s="2636"/>
      <c r="Z42" s="2636"/>
    </row>
    <row r="43" spans="1:26" ht="13.5" thickBot="1">
      <c r="A43" s="2618" t="s">
        <v>2589</v>
      </c>
      <c r="B43" s="2623">
        <v>269</v>
      </c>
      <c r="C43" s="2623">
        <v>221</v>
      </c>
      <c r="D43" s="2623">
        <f t="shared" si="120"/>
        <v>221</v>
      </c>
      <c r="E43" s="2623">
        <v>373</v>
      </c>
      <c r="F43" s="2624">
        <v>196</v>
      </c>
      <c r="G43" s="3541">
        <v>2010</v>
      </c>
      <c r="H43" s="2637">
        <v>4</v>
      </c>
      <c r="I43" s="2637">
        <v>5.72</v>
      </c>
      <c r="J43" s="2637">
        <v>6.57</v>
      </c>
      <c r="K43" s="2637">
        <v>5.72</v>
      </c>
      <c r="L43" s="2638">
        <v>2.72</v>
      </c>
      <c r="N43" s="2626">
        <f t="shared" si="122"/>
        <v>5.7200000000000001E-2</v>
      </c>
      <c r="O43" s="2627">
        <f t="shared" si="122"/>
        <v>6.5700000000000008E-2</v>
      </c>
      <c r="P43" s="2627">
        <f t="shared" si="122"/>
        <v>5.7200000000000001E-2</v>
      </c>
      <c r="Q43" s="2627">
        <f t="shared" si="122"/>
        <v>2.7200000000000002E-2</v>
      </c>
      <c r="R43" s="2628"/>
      <c r="S43" s="2629"/>
      <c r="T43" s="2630"/>
      <c r="U43" s="2630"/>
      <c r="V43" s="2630"/>
      <c r="X43" s="2630"/>
      <c r="Y43" s="2630"/>
      <c r="Z43" s="2630"/>
    </row>
    <row r="44" spans="1:26">
      <c r="A44" s="2618" t="s">
        <v>2590</v>
      </c>
      <c r="B44" s="2631">
        <f t="shared" ref="B44:C46" si="134">B43/(1+N43)</f>
        <v>254.44570563753314</v>
      </c>
      <c r="C44" s="2631">
        <f t="shared" si="134"/>
        <v>207.37543398705074</v>
      </c>
      <c r="D44" s="2631">
        <f t="shared" si="120"/>
        <v>207.37543398705074</v>
      </c>
      <c r="E44" s="2631">
        <f t="shared" ref="E44:F46" si="135">E43/(1+P43)</f>
        <v>352.81876655315932</v>
      </c>
      <c r="F44" s="2631">
        <f t="shared" si="135"/>
        <v>190.809968847352</v>
      </c>
      <c r="G44" s="3539">
        <v>2010</v>
      </c>
      <c r="H44" s="2642">
        <v>3</v>
      </c>
      <c r="I44" s="2642">
        <v>4.7300000000000004</v>
      </c>
      <c r="J44" s="2642">
        <v>3.9</v>
      </c>
      <c r="K44" s="2642">
        <v>5.03</v>
      </c>
      <c r="L44" s="2643">
        <v>4.21</v>
      </c>
      <c r="N44" s="2626">
        <f t="shared" si="122"/>
        <v>4.7300000000000002E-2</v>
      </c>
      <c r="O44" s="2627">
        <f t="shared" si="122"/>
        <v>3.9E-2</v>
      </c>
      <c r="P44" s="2627">
        <f t="shared" si="122"/>
        <v>5.0300000000000004E-2</v>
      </c>
      <c r="Q44" s="2627">
        <f t="shared" si="122"/>
        <v>4.2099999999999999E-2</v>
      </c>
      <c r="R44" s="2628"/>
      <c r="S44" s="2626"/>
      <c r="T44" s="2627"/>
      <c r="U44" s="2627"/>
      <c r="V44" s="2627"/>
    </row>
    <row r="45" spans="1:26">
      <c r="A45" s="2618" t="s">
        <v>2591</v>
      </c>
      <c r="B45" s="2631">
        <f t="shared" si="134"/>
        <v>242.95398227588385</v>
      </c>
      <c r="C45" s="2631">
        <f t="shared" si="134"/>
        <v>199.59137053614126</v>
      </c>
      <c r="D45" s="2631">
        <f t="shared" si="120"/>
        <v>199.59137053614126</v>
      </c>
      <c r="E45" s="2631">
        <f t="shared" si="135"/>
        <v>335.92189522342125</v>
      </c>
      <c r="F45" s="2631">
        <f t="shared" si="135"/>
        <v>183.10139991109489</v>
      </c>
      <c r="G45" s="3539">
        <v>2010</v>
      </c>
      <c r="H45" s="2622">
        <v>2</v>
      </c>
      <c r="I45" s="2622">
        <v>4.6900000000000004</v>
      </c>
      <c r="J45" s="2622">
        <v>3.55</v>
      </c>
      <c r="K45" s="2622">
        <v>5.07</v>
      </c>
      <c r="L45" s="2633">
        <v>4.2300000000000004</v>
      </c>
      <c r="N45" s="2626">
        <f t="shared" si="122"/>
        <v>4.6900000000000004E-2</v>
      </c>
      <c r="O45" s="2627">
        <f t="shared" si="122"/>
        <v>3.5499999999999997E-2</v>
      </c>
      <c r="P45" s="2627">
        <f t="shared" si="122"/>
        <v>5.0700000000000002E-2</v>
      </c>
      <c r="Q45" s="2627">
        <f t="shared" si="122"/>
        <v>4.2300000000000004E-2</v>
      </c>
      <c r="R45" s="2628"/>
      <c r="S45" s="2626"/>
      <c r="T45" s="2627"/>
      <c r="U45" s="2627"/>
      <c r="V45" s="2627"/>
    </row>
    <row r="46" spans="1:26" ht="13.5" thickBot="1">
      <c r="A46" s="2618" t="s">
        <v>2592</v>
      </c>
      <c r="B46" s="2631">
        <f t="shared" si="134"/>
        <v>232.06990378821649</v>
      </c>
      <c r="C46" s="2631">
        <f t="shared" si="134"/>
        <v>192.74878854286936</v>
      </c>
      <c r="D46" s="2631">
        <f t="shared" si="120"/>
        <v>192.74878854286936</v>
      </c>
      <c r="E46" s="2631">
        <f t="shared" si="135"/>
        <v>319.71247284992984</v>
      </c>
      <c r="F46" s="2631">
        <f t="shared" si="135"/>
        <v>175.67053622862409</v>
      </c>
      <c r="G46" s="3542">
        <v>2010</v>
      </c>
      <c r="H46" s="2621">
        <v>1</v>
      </c>
      <c r="I46" s="2621">
        <v>5.4</v>
      </c>
      <c r="J46" s="2621">
        <v>3.2</v>
      </c>
      <c r="K46" s="2621">
        <v>6.16</v>
      </c>
      <c r="L46" s="2632">
        <v>4.51</v>
      </c>
      <c r="N46" s="2626">
        <f t="shared" si="122"/>
        <v>5.4000000000000006E-2</v>
      </c>
      <c r="O46" s="2627">
        <f t="shared" si="122"/>
        <v>3.2000000000000001E-2</v>
      </c>
      <c r="P46" s="2627">
        <f t="shared" si="122"/>
        <v>6.1600000000000002E-2</v>
      </c>
      <c r="Q46" s="2627">
        <f t="shared" si="122"/>
        <v>4.5100000000000001E-2</v>
      </c>
      <c r="R46" s="2628"/>
      <c r="S46" s="2634">
        <f>B46/B47-1</f>
        <v>5.4863199037347599E-2</v>
      </c>
      <c r="T46" s="2635">
        <f>C46/C47-1</f>
        <v>3.0742184721226584E-2</v>
      </c>
      <c r="U46" s="2635">
        <f>E46/E47-1</f>
        <v>6.2167683886810154E-2</v>
      </c>
      <c r="V46" s="2635">
        <f>F46/F47-1</f>
        <v>4.5657953741810031E-2</v>
      </c>
      <c r="X46" s="2636"/>
      <c r="Y46" s="2636"/>
      <c r="Z46" s="2636"/>
    </row>
    <row r="47" spans="1:26" ht="13.5" thickBot="1">
      <c r="A47" s="2618" t="s">
        <v>2593</v>
      </c>
      <c r="B47" s="2623">
        <v>220</v>
      </c>
      <c r="C47" s="2623">
        <v>187</v>
      </c>
      <c r="D47" s="2623">
        <f t="shared" si="120"/>
        <v>187</v>
      </c>
      <c r="E47" s="2623">
        <v>301</v>
      </c>
      <c r="F47" s="2624">
        <v>168</v>
      </c>
      <c r="G47" s="3541">
        <v>2009</v>
      </c>
      <c r="H47" s="2637">
        <v>4</v>
      </c>
      <c r="I47" s="2637">
        <v>2.2999999999999998</v>
      </c>
      <c r="J47" s="2637">
        <v>1.04</v>
      </c>
      <c r="K47" s="2637">
        <v>2.84</v>
      </c>
      <c r="L47" s="2638">
        <v>0.67</v>
      </c>
      <c r="N47" s="2639">
        <f t="shared" si="122"/>
        <v>2.3E-2</v>
      </c>
      <c r="O47" s="2640">
        <f t="shared" si="122"/>
        <v>1.04E-2</v>
      </c>
      <c r="P47" s="2640">
        <f t="shared" si="122"/>
        <v>2.8399999999999998E-2</v>
      </c>
      <c r="Q47" s="2640">
        <f t="shared" si="122"/>
        <v>6.7000000000000002E-3</v>
      </c>
      <c r="R47" s="2628"/>
      <c r="S47" s="2629"/>
      <c r="T47" s="2630"/>
      <c r="U47" s="2630"/>
      <c r="V47" s="2630"/>
      <c r="X47" s="2630"/>
      <c r="Y47" s="2630"/>
      <c r="Z47" s="2630"/>
    </row>
    <row r="48" spans="1:26">
      <c r="A48" s="2618" t="s">
        <v>2594</v>
      </c>
      <c r="B48" s="2631">
        <f t="shared" ref="B48:C50" si="136">B47/(1+N47)</f>
        <v>215.05376344086022</v>
      </c>
      <c r="C48" s="2631">
        <f t="shared" si="136"/>
        <v>185.0752177355503</v>
      </c>
      <c r="D48" s="2631">
        <f t="shared" si="120"/>
        <v>185.0752177355503</v>
      </c>
      <c r="E48" s="2631">
        <f t="shared" ref="E48:F50" si="137">E47/(1+P47)</f>
        <v>292.68767016725008</v>
      </c>
      <c r="F48" s="2631">
        <f t="shared" si="137"/>
        <v>166.88189132810174</v>
      </c>
      <c r="G48" s="3539">
        <v>2009</v>
      </c>
      <c r="H48" s="2642">
        <v>3</v>
      </c>
      <c r="I48" s="2642">
        <v>2.1</v>
      </c>
      <c r="J48" s="2642">
        <v>1.86</v>
      </c>
      <c r="K48" s="2642">
        <v>2.29</v>
      </c>
      <c r="L48" s="2643">
        <v>0.85</v>
      </c>
      <c r="N48" s="2626">
        <f t="shared" si="122"/>
        <v>2.1000000000000001E-2</v>
      </c>
      <c r="O48" s="2644">
        <f t="shared" si="122"/>
        <v>1.8600000000000002E-2</v>
      </c>
      <c r="P48" s="2644">
        <f t="shared" si="122"/>
        <v>2.29E-2</v>
      </c>
      <c r="Q48" s="2644">
        <f t="shared" si="122"/>
        <v>8.5000000000000006E-3</v>
      </c>
      <c r="R48" s="2628"/>
      <c r="S48" s="2626"/>
      <c r="T48" s="2627"/>
      <c r="U48" s="2627"/>
      <c r="V48" s="2627"/>
    </row>
    <row r="49" spans="1:26">
      <c r="A49" s="2618" t="s">
        <v>2595</v>
      </c>
      <c r="B49" s="2631">
        <f t="shared" si="136"/>
        <v>210.630522469011</v>
      </c>
      <c r="C49" s="2631">
        <f t="shared" si="136"/>
        <v>181.69567812247232</v>
      </c>
      <c r="D49" s="2631">
        <f t="shared" si="120"/>
        <v>181.69567812247232</v>
      </c>
      <c r="E49" s="2631">
        <f t="shared" si="137"/>
        <v>286.13517466736738</v>
      </c>
      <c r="F49" s="2631">
        <f t="shared" si="137"/>
        <v>165.47535084591149</v>
      </c>
      <c r="G49" s="3539">
        <v>2009</v>
      </c>
      <c r="H49" s="2622">
        <v>2</v>
      </c>
      <c r="I49" s="2622">
        <v>0.86</v>
      </c>
      <c r="J49" s="2622">
        <v>-1.1299999999999999</v>
      </c>
      <c r="K49" s="2622">
        <v>1.79</v>
      </c>
      <c r="L49" s="2633">
        <v>-2.0699999999999998</v>
      </c>
      <c r="N49" s="2626">
        <f t="shared" si="122"/>
        <v>8.6E-3</v>
      </c>
      <c r="O49" s="2644">
        <f t="shared" si="122"/>
        <v>-1.1299999999999999E-2</v>
      </c>
      <c r="P49" s="2644">
        <f t="shared" si="122"/>
        <v>1.7899999999999999E-2</v>
      </c>
      <c r="Q49" s="2644">
        <f t="shared" si="122"/>
        <v>-2.07E-2</v>
      </c>
      <c r="R49" s="2628"/>
      <c r="S49" s="2626"/>
      <c r="T49" s="2627"/>
      <c r="U49" s="2627"/>
      <c r="V49" s="2627"/>
    </row>
    <row r="50" spans="1:26">
      <c r="A50" s="2618" t="s">
        <v>2596</v>
      </c>
      <c r="B50" s="2631">
        <f t="shared" si="136"/>
        <v>208.83454537875372</v>
      </c>
      <c r="C50" s="2631">
        <f t="shared" si="136"/>
        <v>183.77230517090351</v>
      </c>
      <c r="D50" s="2631">
        <f t="shared" si="120"/>
        <v>183.77230517090351</v>
      </c>
      <c r="E50" s="2631">
        <f t="shared" si="137"/>
        <v>281.10342338870947</v>
      </c>
      <c r="F50" s="2631">
        <f t="shared" si="137"/>
        <v>168.97309388942256</v>
      </c>
      <c r="G50" s="3542">
        <v>2009</v>
      </c>
      <c r="H50" s="2621">
        <v>1</v>
      </c>
      <c r="I50" s="2621">
        <v>-2.64</v>
      </c>
      <c r="J50" s="2621">
        <v>-2.5299999999999998</v>
      </c>
      <c r="K50" s="2621">
        <v>-3.02</v>
      </c>
      <c r="L50" s="2632">
        <v>1.52</v>
      </c>
      <c r="N50" s="2634">
        <f t="shared" si="122"/>
        <v>-2.64E-2</v>
      </c>
      <c r="O50" s="2635">
        <f t="shared" si="122"/>
        <v>-2.53E-2</v>
      </c>
      <c r="P50" s="2635">
        <f t="shared" si="122"/>
        <v>-3.0200000000000001E-2</v>
      </c>
      <c r="Q50" s="2635">
        <f t="shared" si="122"/>
        <v>1.52E-2</v>
      </c>
      <c r="R50" s="2628"/>
      <c r="S50" s="2634">
        <f>B50/B51-1</f>
        <v>-2.4137638417038754E-2</v>
      </c>
      <c r="T50" s="2635">
        <f>C50/C51-1</f>
        <v>-2.248773845264096E-2</v>
      </c>
      <c r="U50" s="2635">
        <f>E50/E51-1</f>
        <v>-2.7323794502735366E-2</v>
      </c>
      <c r="V50" s="2635">
        <f>F50/F51-1</f>
        <v>1.7910204153148035E-2</v>
      </c>
      <c r="X50" s="2636"/>
      <c r="Y50" s="2636"/>
      <c r="Z50" s="2636"/>
    </row>
    <row r="51" spans="1:26" ht="13.5" thickBot="1">
      <c r="A51" s="2618" t="s">
        <v>2597</v>
      </c>
      <c r="B51" s="2661">
        <v>214</v>
      </c>
      <c r="C51" s="2661">
        <v>188</v>
      </c>
      <c r="D51" s="2661">
        <f t="shared" si="120"/>
        <v>188</v>
      </c>
      <c r="E51" s="2661">
        <v>289</v>
      </c>
      <c r="F51" s="2662">
        <v>166</v>
      </c>
      <c r="G51" s="3541">
        <v>2008</v>
      </c>
      <c r="H51" s="2637">
        <v>4</v>
      </c>
      <c r="I51" s="2637">
        <v>1.73</v>
      </c>
      <c r="J51" s="2637">
        <v>0.03</v>
      </c>
      <c r="K51" s="2637">
        <v>2.59</v>
      </c>
      <c r="L51" s="2638">
        <v>-1.66</v>
      </c>
      <c r="N51" s="2626">
        <f t="shared" si="122"/>
        <v>1.7299999999999999E-2</v>
      </c>
      <c r="O51" s="2627">
        <f t="shared" si="122"/>
        <v>2.9999999999999997E-4</v>
      </c>
      <c r="P51" s="2627">
        <f t="shared" si="122"/>
        <v>2.5899999999999999E-2</v>
      </c>
      <c r="Q51" s="2627">
        <f t="shared" si="122"/>
        <v>-1.66E-2</v>
      </c>
      <c r="R51" s="2628"/>
      <c r="S51" s="2629"/>
      <c r="T51" s="2630"/>
      <c r="U51" s="2630"/>
      <c r="V51" s="2630"/>
      <c r="X51" s="2630"/>
      <c r="Y51" s="2630"/>
      <c r="Z51" s="2630"/>
    </row>
    <row r="52" spans="1:26">
      <c r="A52" s="2618" t="s">
        <v>2598</v>
      </c>
      <c r="B52" s="2631">
        <f t="shared" ref="B52:C54" si="138">B51/(1+N51)</f>
        <v>210.36075887152265</v>
      </c>
      <c r="C52" s="2631">
        <f t="shared" si="138"/>
        <v>187.94361691492554</v>
      </c>
      <c r="D52" s="2631">
        <f t="shared" si="120"/>
        <v>187.94361691492554</v>
      </c>
      <c r="E52" s="2631">
        <f t="shared" ref="E52:F54" si="139">E51/(1+P51)</f>
        <v>281.70386977288234</v>
      </c>
      <c r="F52" s="2631">
        <f t="shared" si="139"/>
        <v>168.80211511083994</v>
      </c>
      <c r="G52" s="3539">
        <v>2008</v>
      </c>
      <c r="H52" s="2642">
        <v>3</v>
      </c>
      <c r="I52" s="2642">
        <v>1.96</v>
      </c>
      <c r="J52" s="2642">
        <v>2.36</v>
      </c>
      <c r="K52" s="2642">
        <v>1.82</v>
      </c>
      <c r="L52" s="2643">
        <v>2.2200000000000002</v>
      </c>
      <c r="N52" s="2626">
        <f t="shared" si="122"/>
        <v>1.9599999999999999E-2</v>
      </c>
      <c r="O52" s="2627">
        <f t="shared" si="122"/>
        <v>2.3599999999999999E-2</v>
      </c>
      <c r="P52" s="2627">
        <f t="shared" si="122"/>
        <v>1.8200000000000001E-2</v>
      </c>
      <c r="Q52" s="2627">
        <f t="shared" si="122"/>
        <v>2.2200000000000001E-2</v>
      </c>
      <c r="R52" s="2628"/>
      <c r="S52" s="2626"/>
      <c r="T52" s="2627"/>
      <c r="U52" s="2627"/>
      <c r="V52" s="2627"/>
    </row>
    <row r="53" spans="1:26">
      <c r="A53" s="2618" t="s">
        <v>2599</v>
      </c>
      <c r="B53" s="2631">
        <f t="shared" si="138"/>
        <v>206.31694671589116</v>
      </c>
      <c r="C53" s="2631">
        <f t="shared" si="138"/>
        <v>183.61041121036101</v>
      </c>
      <c r="D53" s="2631">
        <f t="shared" si="120"/>
        <v>183.61041121036101</v>
      </c>
      <c r="E53" s="2631">
        <f t="shared" si="139"/>
        <v>276.66850301795557</v>
      </c>
      <c r="F53" s="2631">
        <f t="shared" si="139"/>
        <v>165.1360938278614</v>
      </c>
      <c r="G53" s="3539">
        <v>2008</v>
      </c>
      <c r="H53" s="2622">
        <v>2</v>
      </c>
      <c r="I53" s="2622">
        <v>4.93</v>
      </c>
      <c r="J53" s="2622">
        <v>7.38</v>
      </c>
      <c r="K53" s="2622">
        <v>3.98</v>
      </c>
      <c r="L53" s="2633">
        <v>6.86</v>
      </c>
      <c r="N53" s="2626">
        <f t="shared" si="122"/>
        <v>4.9299999999999997E-2</v>
      </c>
      <c r="O53" s="2627">
        <f t="shared" si="122"/>
        <v>7.3800000000000004E-2</v>
      </c>
      <c r="P53" s="2627">
        <f t="shared" si="122"/>
        <v>3.9800000000000002E-2</v>
      </c>
      <c r="Q53" s="2627">
        <f t="shared" si="122"/>
        <v>6.8600000000000008E-2</v>
      </c>
      <c r="R53" s="2628"/>
      <c r="S53" s="2626"/>
      <c r="T53" s="2627"/>
      <c r="U53" s="2627"/>
      <c r="V53" s="2627"/>
    </row>
    <row r="54" spans="1:26" s="2667" customFormat="1" ht="13.5" thickBot="1">
      <c r="A54" s="2618" t="s">
        <v>2600</v>
      </c>
      <c r="B54" s="2664">
        <f t="shared" si="138"/>
        <v>196.62341248059772</v>
      </c>
      <c r="C54" s="2664">
        <f t="shared" si="138"/>
        <v>170.99125648199012</v>
      </c>
      <c r="D54" s="2664">
        <f t="shared" si="120"/>
        <v>170.99125648199012</v>
      </c>
      <c r="E54" s="2664">
        <f t="shared" si="139"/>
        <v>266.07857570490052</v>
      </c>
      <c r="F54" s="2664">
        <f t="shared" si="139"/>
        <v>154.53499328828505</v>
      </c>
      <c r="G54" s="3542">
        <v>2008</v>
      </c>
      <c r="H54" s="2665">
        <v>1</v>
      </c>
      <c r="I54" s="2665">
        <v>4.1399999999999997</v>
      </c>
      <c r="J54" s="2665">
        <v>3.45</v>
      </c>
      <c r="K54" s="2665">
        <v>4.95</v>
      </c>
      <c r="L54" s="2666">
        <v>4.82</v>
      </c>
      <c r="N54" s="2668">
        <f t="shared" si="122"/>
        <v>4.1399999999999999E-2</v>
      </c>
      <c r="O54" s="2669">
        <f t="shared" si="122"/>
        <v>3.4500000000000003E-2</v>
      </c>
      <c r="P54" s="2669">
        <f t="shared" si="122"/>
        <v>4.9500000000000002E-2</v>
      </c>
      <c r="Q54" s="2669">
        <f t="shared" si="122"/>
        <v>4.82E-2</v>
      </c>
      <c r="R54" s="2670"/>
      <c r="S54" s="2668">
        <f>B54/B55-1</f>
        <v>4.5869215322328349E-2</v>
      </c>
      <c r="T54" s="2669">
        <f>C54/C55-1</f>
        <v>3.6310645345394743E-2</v>
      </c>
      <c r="U54" s="2669">
        <f>E54/E55-1</f>
        <v>4.7553447657088688E-2</v>
      </c>
      <c r="V54" s="2669">
        <f>F54/F55-1</f>
        <v>4.4155360055980086E-2</v>
      </c>
      <c r="X54" s="2671"/>
      <c r="Y54" s="2671"/>
      <c r="Z54" s="2671"/>
    </row>
    <row r="55" spans="1:26" ht="13.5" thickBot="1">
      <c r="A55" s="2618" t="s">
        <v>2601</v>
      </c>
      <c r="B55" s="2623">
        <v>188</v>
      </c>
      <c r="C55" s="2623">
        <v>165</v>
      </c>
      <c r="D55" s="2623">
        <f t="shared" si="120"/>
        <v>165</v>
      </c>
      <c r="E55" s="2623">
        <v>254</v>
      </c>
      <c r="F55" s="2624">
        <v>148</v>
      </c>
      <c r="G55" s="3541">
        <v>2007</v>
      </c>
      <c r="H55" s="2672">
        <v>4</v>
      </c>
      <c r="I55" s="2672">
        <v>5.51</v>
      </c>
      <c r="J55" s="2672">
        <v>4.8899999999999997</v>
      </c>
      <c r="K55" s="2672">
        <v>6.43</v>
      </c>
      <c r="L55" s="2673">
        <v>5.36</v>
      </c>
      <c r="N55" s="2674">
        <f t="shared" ref="N55:O58" si="140">B55/B56-1</f>
        <v>4.1339718365245526E-2</v>
      </c>
      <c r="O55" s="2675">
        <f t="shared" si="140"/>
        <v>4.0324492593776018E-2</v>
      </c>
      <c r="P55" s="2675">
        <f t="shared" ref="P55:Q58" si="141">E55/E56-1</f>
        <v>6.1625555347990968E-2</v>
      </c>
      <c r="Q55" s="2675">
        <f t="shared" si="141"/>
        <v>4.6757569250590603E-2</v>
      </c>
      <c r="R55" s="2628"/>
      <c r="S55" s="2629"/>
      <c r="T55" s="2630"/>
      <c r="U55" s="2630"/>
      <c r="V55" s="2630"/>
      <c r="X55" s="2630"/>
      <c r="Y55" s="2630"/>
      <c r="Z55" s="2630"/>
    </row>
    <row r="56" spans="1:26">
      <c r="A56" s="2618" t="s">
        <v>2602</v>
      </c>
      <c r="B56" s="2631">
        <f t="shared" ref="B56:C58" si="142">B57+(B$55-B$59)*I56/SUM(I$55:I$58)</f>
        <v>180.5366651097618</v>
      </c>
      <c r="C56" s="2631">
        <f t="shared" si="142"/>
        <v>158.60435967302453</v>
      </c>
      <c r="D56" s="2631">
        <f t="shared" si="120"/>
        <v>158.60435967302453</v>
      </c>
      <c r="E56" s="2631">
        <f t="shared" ref="E56:F58" si="143">E57+(E$55-E$59)*K56/SUM(K$55:K$58)</f>
        <v>239.25573260785075</v>
      </c>
      <c r="F56" s="2631">
        <f t="shared" si="143"/>
        <v>141.38899430740037</v>
      </c>
      <c r="G56" s="3539">
        <v>2007</v>
      </c>
      <c r="H56" s="2642">
        <v>3</v>
      </c>
      <c r="I56" s="2642">
        <v>8.65</v>
      </c>
      <c r="J56" s="2642">
        <v>8.06</v>
      </c>
      <c r="K56" s="2642">
        <v>9.94</v>
      </c>
      <c r="L56" s="2643">
        <v>5.8</v>
      </c>
      <c r="N56" s="2674">
        <f t="shared" si="140"/>
        <v>6.940217571740015E-2</v>
      </c>
      <c r="O56" s="2675">
        <f t="shared" si="140"/>
        <v>7.1197482471153428E-2</v>
      </c>
      <c r="P56" s="2675">
        <f t="shared" si="141"/>
        <v>0.10529679922579582</v>
      </c>
      <c r="Q56" s="2675">
        <f t="shared" si="141"/>
        <v>5.3292245059512133E-2</v>
      </c>
      <c r="R56" s="2628"/>
      <c r="S56" s="2626"/>
      <c r="T56" s="2627"/>
      <c r="U56" s="2627"/>
      <c r="V56" s="2627"/>
      <c r="X56" s="2676"/>
      <c r="Y56" s="2676"/>
      <c r="Z56" s="2676"/>
    </row>
    <row r="57" spans="1:26">
      <c r="A57" s="2618" t="s">
        <v>2603</v>
      </c>
      <c r="B57" s="2631">
        <f t="shared" si="142"/>
        <v>168.82017748715555</v>
      </c>
      <c r="C57" s="2631">
        <f t="shared" si="142"/>
        <v>148.06267029972753</v>
      </c>
      <c r="D57" s="2631">
        <f t="shared" si="120"/>
        <v>148.06267029972753</v>
      </c>
      <c r="E57" s="2631">
        <f t="shared" si="143"/>
        <v>216.46288379323747</v>
      </c>
      <c r="F57" s="2631">
        <f t="shared" si="143"/>
        <v>134.23529411764704</v>
      </c>
      <c r="G57" s="3539">
        <v>2007</v>
      </c>
      <c r="H57" s="2622">
        <v>2</v>
      </c>
      <c r="I57" s="2622">
        <v>3.67</v>
      </c>
      <c r="J57" s="2622">
        <v>2.3199999999999998</v>
      </c>
      <c r="K57" s="2622">
        <v>5.0199999999999996</v>
      </c>
      <c r="L57" s="2633">
        <v>6.71</v>
      </c>
      <c r="N57" s="2674">
        <f t="shared" si="140"/>
        <v>3.0339138143848032E-2</v>
      </c>
      <c r="O57" s="2675">
        <f t="shared" si="140"/>
        <v>2.0922341588790472E-2</v>
      </c>
      <c r="P57" s="2675">
        <f t="shared" si="141"/>
        <v>5.6164796592717003E-2</v>
      </c>
      <c r="Q57" s="2675">
        <f t="shared" si="141"/>
        <v>6.5704536723887319E-2</v>
      </c>
      <c r="R57" s="2628"/>
      <c r="S57" s="2626"/>
      <c r="T57" s="2627"/>
      <c r="U57" s="2627"/>
      <c r="V57" s="2627"/>
      <c r="X57" s="2676"/>
      <c r="Y57" s="2676"/>
      <c r="Z57" s="2676"/>
    </row>
    <row r="58" spans="1:26">
      <c r="A58" s="2618" t="s">
        <v>2604</v>
      </c>
      <c r="B58" s="2631">
        <f t="shared" si="142"/>
        <v>163.84913591779542</v>
      </c>
      <c r="C58" s="2631">
        <f t="shared" si="142"/>
        <v>145.0283378746594</v>
      </c>
      <c r="D58" s="2631">
        <f t="shared" si="120"/>
        <v>145.0283378746594</v>
      </c>
      <c r="E58" s="2631">
        <f t="shared" si="143"/>
        <v>204.95180722891567</v>
      </c>
      <c r="F58" s="2631">
        <f t="shared" si="143"/>
        <v>125.95920303605313</v>
      </c>
      <c r="G58" s="3542">
        <v>2007</v>
      </c>
      <c r="H58" s="2621">
        <v>1</v>
      </c>
      <c r="I58" s="2621">
        <v>3.58</v>
      </c>
      <c r="J58" s="2621">
        <v>3.08</v>
      </c>
      <c r="K58" s="2621">
        <v>4.34</v>
      </c>
      <c r="L58" s="2632">
        <v>3.21</v>
      </c>
      <c r="N58" s="2677">
        <f t="shared" si="140"/>
        <v>3.0497710174814063E-2</v>
      </c>
      <c r="O58" s="2678">
        <f t="shared" si="140"/>
        <v>2.8569772160704998E-2</v>
      </c>
      <c r="P58" s="2678">
        <f t="shared" si="141"/>
        <v>5.1034908866234296E-2</v>
      </c>
      <c r="Q58" s="2678">
        <f t="shared" si="141"/>
        <v>3.245248390207478E-2</v>
      </c>
      <c r="R58" s="2628"/>
      <c r="S58" s="2634">
        <f>B58/B59-1</f>
        <v>3.0497710174814063E-2</v>
      </c>
      <c r="T58" s="2635">
        <f>C58/C59-1</f>
        <v>2.8569772160704998E-2</v>
      </c>
      <c r="U58" s="2635">
        <f>E58/E59-1</f>
        <v>5.1034908866234296E-2</v>
      </c>
      <c r="V58" s="2635">
        <f>F58/F59-1</f>
        <v>3.245248390207478E-2</v>
      </c>
      <c r="X58" s="2676"/>
      <c r="Y58" s="2676"/>
      <c r="Z58" s="2676"/>
    </row>
    <row r="59" spans="1:26" ht="13.5" thickBot="1">
      <c r="A59" s="2618" t="s">
        <v>2605</v>
      </c>
      <c r="B59" s="2645">
        <v>159</v>
      </c>
      <c r="C59" s="2645">
        <v>141</v>
      </c>
      <c r="D59" s="2645">
        <f t="shared" si="120"/>
        <v>141</v>
      </c>
      <c r="E59" s="2645">
        <v>195</v>
      </c>
      <c r="F59" s="2646">
        <v>122</v>
      </c>
      <c r="G59" s="3541">
        <v>2006</v>
      </c>
      <c r="H59" s="2637">
        <v>4</v>
      </c>
      <c r="I59" s="2637">
        <v>3.79</v>
      </c>
      <c r="J59" s="2637">
        <v>2.21</v>
      </c>
      <c r="K59" s="2637">
        <v>5.65</v>
      </c>
      <c r="L59" s="2638">
        <v>5.41</v>
      </c>
      <c r="N59" s="2674">
        <f t="shared" ref="N59:O62" si="144">I59/SUM(I$59:I$62)*(B$59/B$63-1)</f>
        <v>7.245466462748526E-2</v>
      </c>
      <c r="O59" s="2675">
        <f t="shared" si="144"/>
        <v>2.3237230038062766E-2</v>
      </c>
      <c r="P59" s="2675">
        <f t="shared" ref="P59:Q62" si="145">K59/SUM(K$59:K$62)*(E$59/E$63-1)</f>
        <v>0.16146893866323722</v>
      </c>
      <c r="Q59" s="2675">
        <f t="shared" si="145"/>
        <v>5.0755230321793784E-2</v>
      </c>
      <c r="R59" s="2628"/>
      <c r="S59" s="2629"/>
      <c r="T59" s="2630"/>
      <c r="U59" s="2630"/>
      <c r="V59" s="2630"/>
      <c r="X59" s="2676"/>
      <c r="Y59" s="2676"/>
      <c r="Z59" s="2676"/>
    </row>
    <row r="60" spans="1:26">
      <c r="A60" s="2618" t="s">
        <v>2606</v>
      </c>
      <c r="B60" s="2631">
        <f t="shared" ref="B60:C62" si="146">B61+(B$59-B$63)*I60/SUM(I$59:I$62)</f>
        <v>149.00125628140702</v>
      </c>
      <c r="C60" s="2631">
        <f t="shared" si="146"/>
        <v>137.95592286501378</v>
      </c>
      <c r="D60" s="2631">
        <f t="shared" si="120"/>
        <v>137.95592286501378</v>
      </c>
      <c r="E60" s="2631">
        <f t="shared" ref="E60:F62" si="147">E61+(E$59-E$63)*K60/SUM(K$59:K$62)</f>
        <v>169.97231450719823</v>
      </c>
      <c r="F60" s="2631">
        <f t="shared" si="147"/>
        <v>116.21390374331551</v>
      </c>
      <c r="G60" s="3539">
        <v>2006</v>
      </c>
      <c r="H60" s="2642">
        <v>3</v>
      </c>
      <c r="I60" s="2642">
        <v>0.92</v>
      </c>
      <c r="J60" s="2642">
        <v>1.08</v>
      </c>
      <c r="K60" s="2642">
        <v>0.73</v>
      </c>
      <c r="L60" s="2643">
        <v>1.08</v>
      </c>
      <c r="N60" s="2674">
        <f t="shared" si="144"/>
        <v>1.7587939698492462E-2</v>
      </c>
      <c r="O60" s="2675">
        <f t="shared" si="144"/>
        <v>1.1355750425840628E-2</v>
      </c>
      <c r="P60" s="2675">
        <f t="shared" si="145"/>
        <v>2.0862358446754544E-2</v>
      </c>
      <c r="Q60" s="2675">
        <f t="shared" si="145"/>
        <v>1.0132282578103011E-2</v>
      </c>
      <c r="R60" s="2628"/>
      <c r="S60" s="2626"/>
      <c r="T60" s="2627"/>
      <c r="U60" s="2627"/>
      <c r="V60" s="2627"/>
      <c r="X60" s="2676"/>
      <c r="Y60" s="2676"/>
      <c r="Z60" s="2676"/>
    </row>
    <row r="61" spans="1:26">
      <c r="A61" s="2618" t="s">
        <v>2607</v>
      </c>
      <c r="B61" s="2631">
        <f t="shared" si="146"/>
        <v>146.57412060301507</v>
      </c>
      <c r="C61" s="2631">
        <f t="shared" si="146"/>
        <v>136.46831955922866</v>
      </c>
      <c r="D61" s="2631">
        <f t="shared" si="120"/>
        <v>136.46831955922866</v>
      </c>
      <c r="E61" s="2631">
        <f t="shared" si="147"/>
        <v>166.73864894795128</v>
      </c>
      <c r="F61" s="2631">
        <f t="shared" si="147"/>
        <v>115.05882352941177</v>
      </c>
      <c r="G61" s="3539">
        <v>2006</v>
      </c>
      <c r="H61" s="2622">
        <v>2</v>
      </c>
      <c r="I61" s="2622">
        <v>0.96</v>
      </c>
      <c r="J61" s="2622">
        <v>0.25</v>
      </c>
      <c r="K61" s="2622">
        <v>1.9</v>
      </c>
      <c r="L61" s="2633">
        <v>0.95</v>
      </c>
      <c r="N61" s="2674">
        <f t="shared" si="144"/>
        <v>1.8352632728861701E-2</v>
      </c>
      <c r="O61" s="2675">
        <f t="shared" si="144"/>
        <v>2.6286459319075526E-3</v>
      </c>
      <c r="P61" s="2675">
        <f t="shared" si="145"/>
        <v>5.4299289107991269E-2</v>
      </c>
      <c r="Q61" s="2675">
        <f t="shared" si="145"/>
        <v>8.9126559714794995E-3</v>
      </c>
      <c r="R61" s="2628"/>
      <c r="S61" s="2626"/>
      <c r="T61" s="2627"/>
      <c r="U61" s="2627"/>
      <c r="V61" s="2627"/>
      <c r="X61" s="2676"/>
      <c r="Y61" s="2676"/>
      <c r="Z61" s="2676"/>
    </row>
    <row r="62" spans="1:26">
      <c r="A62" s="2618" t="s">
        <v>2608</v>
      </c>
      <c r="B62" s="2631">
        <f t="shared" si="146"/>
        <v>144.04145728643215</v>
      </c>
      <c r="C62" s="2631">
        <f t="shared" si="146"/>
        <v>136.12396694214877</v>
      </c>
      <c r="D62" s="2631">
        <f t="shared" si="120"/>
        <v>136.12396694214877</v>
      </c>
      <c r="E62" s="2631">
        <f t="shared" si="147"/>
        <v>158.32225913621264</v>
      </c>
      <c r="F62" s="2631">
        <f t="shared" si="147"/>
        <v>114.04278074866311</v>
      </c>
      <c r="G62" s="3542">
        <v>2006</v>
      </c>
      <c r="H62" s="2621">
        <v>1</v>
      </c>
      <c r="I62" s="2621">
        <v>2.29</v>
      </c>
      <c r="J62" s="2621">
        <v>3.72</v>
      </c>
      <c r="K62" s="2621">
        <v>0.75</v>
      </c>
      <c r="L62" s="2632">
        <v>0.04</v>
      </c>
      <c r="N62" s="2677">
        <f t="shared" si="144"/>
        <v>4.3778675988638847E-2</v>
      </c>
      <c r="O62" s="2678">
        <f t="shared" si="144"/>
        <v>3.9114251466784385E-2</v>
      </c>
      <c r="P62" s="2678">
        <f t="shared" si="145"/>
        <v>2.1433929911049188E-2</v>
      </c>
      <c r="Q62" s="2678">
        <f t="shared" si="145"/>
        <v>3.7526972511492629E-4</v>
      </c>
      <c r="R62" s="2628"/>
      <c r="S62" s="2634">
        <f>B62/B63-1</f>
        <v>4.3778675988638716E-2</v>
      </c>
      <c r="T62" s="2635">
        <f>C62/C63-1</f>
        <v>3.91142514667846E-2</v>
      </c>
      <c r="U62" s="2635">
        <f>E62/E63-1</f>
        <v>2.143392991104931E-2</v>
      </c>
      <c r="V62" s="2635">
        <f>F62/F63-1</f>
        <v>3.7526972511492396E-4</v>
      </c>
      <c r="X62" s="2676"/>
      <c r="Y62" s="2676"/>
      <c r="Z62" s="2676"/>
    </row>
    <row r="63" spans="1:26" ht="13.5" thickBot="1">
      <c r="A63" s="2618" t="s">
        <v>2609</v>
      </c>
      <c r="B63" s="2645">
        <v>138</v>
      </c>
      <c r="C63" s="2645">
        <v>131</v>
      </c>
      <c r="D63" s="2645">
        <f t="shared" si="120"/>
        <v>131</v>
      </c>
      <c r="E63" s="2645">
        <v>155</v>
      </c>
      <c r="F63" s="2646">
        <v>114</v>
      </c>
      <c r="G63" s="3541">
        <v>2005</v>
      </c>
      <c r="H63" s="2637">
        <v>4</v>
      </c>
      <c r="I63" s="2637">
        <v>3.29</v>
      </c>
      <c r="J63" s="2637">
        <v>1.44</v>
      </c>
      <c r="K63" s="2637">
        <v>0.66</v>
      </c>
      <c r="L63" s="2638">
        <v>7.78</v>
      </c>
      <c r="N63" s="2674">
        <f t="shared" ref="N63:O66" si="148">I63/SUM(I$63:I$66)*(B$63/B$67-1)</f>
        <v>9.9404603216919935E-2</v>
      </c>
      <c r="O63" s="2675">
        <f t="shared" si="148"/>
        <v>4.7636550760861554E-2</v>
      </c>
      <c r="P63" s="2675">
        <f t="shared" ref="P63:Q66" si="149">K63/SUM(K$63:K$66)*(E$63/E$67-1)</f>
        <v>8.3756345177664976E-2</v>
      </c>
      <c r="Q63" s="2675">
        <f t="shared" si="149"/>
        <v>5.2148766661559584E-2</v>
      </c>
      <c r="R63" s="2628"/>
      <c r="S63" s="2629"/>
      <c r="T63" s="2630"/>
      <c r="U63" s="2630"/>
      <c r="V63" s="2630"/>
      <c r="X63" s="2676"/>
      <c r="Y63" s="2676"/>
      <c r="Z63" s="2676"/>
    </row>
    <row r="64" spans="1:26">
      <c r="A64" s="2618" t="s">
        <v>2610</v>
      </c>
      <c r="B64" s="2631">
        <f t="shared" ref="B64:C66" si="150">B65+(B$63-B$67)*I64/SUM(I$63:I$66)</f>
        <v>125.9720430107527</v>
      </c>
      <c r="C64" s="2631">
        <f t="shared" si="150"/>
        <v>125.1883408071749</v>
      </c>
      <c r="D64" s="2631">
        <f t="shared" si="120"/>
        <v>125.1883408071749</v>
      </c>
      <c r="E64" s="2631">
        <f t="shared" ref="E64:F66" si="151">E65+(E$63-E$67)*K64/SUM(K$63:K$66)</f>
        <v>144.61421319796952</v>
      </c>
      <c r="F64" s="2631">
        <f t="shared" si="151"/>
        <v>108.42008196721311</v>
      </c>
      <c r="G64" s="3539">
        <v>2005</v>
      </c>
      <c r="H64" s="2642">
        <v>3</v>
      </c>
      <c r="I64" s="2642">
        <v>0.46</v>
      </c>
      <c r="J64" s="2642">
        <v>0.32</v>
      </c>
      <c r="K64" s="2642">
        <v>0.42</v>
      </c>
      <c r="L64" s="2643">
        <v>0.64</v>
      </c>
      <c r="N64" s="2674">
        <f t="shared" si="148"/>
        <v>1.3898515951301874E-2</v>
      </c>
      <c r="O64" s="2675">
        <f t="shared" si="148"/>
        <v>1.0585900169080346E-2</v>
      </c>
      <c r="P64" s="2675">
        <f t="shared" si="149"/>
        <v>5.3299492385786795E-2</v>
      </c>
      <c r="Q64" s="2675">
        <f t="shared" si="149"/>
        <v>4.2898728359123568E-3</v>
      </c>
      <c r="R64" s="2628"/>
      <c r="S64" s="2626"/>
      <c r="T64" s="2627"/>
      <c r="U64" s="2627"/>
      <c r="V64" s="2627"/>
      <c r="X64" s="2676"/>
      <c r="Y64" s="2676"/>
      <c r="Z64" s="2676"/>
    </row>
    <row r="65" spans="1:26">
      <c r="A65" s="2618" t="s">
        <v>2611</v>
      </c>
      <c r="B65" s="2631">
        <f t="shared" si="150"/>
        <v>124.29032258064517</v>
      </c>
      <c r="C65" s="2631">
        <f t="shared" si="150"/>
        <v>123.8968609865471</v>
      </c>
      <c r="D65" s="2631">
        <f t="shared" si="120"/>
        <v>123.8968609865471</v>
      </c>
      <c r="E65" s="2631">
        <f t="shared" si="151"/>
        <v>138.00507614213197</v>
      </c>
      <c r="F65" s="2631">
        <f t="shared" si="151"/>
        <v>107.96106557377048</v>
      </c>
      <c r="G65" s="3539">
        <v>2005</v>
      </c>
      <c r="H65" s="2622">
        <v>2</v>
      </c>
      <c r="I65" s="2622">
        <v>0.47</v>
      </c>
      <c r="J65" s="2622">
        <v>0.1</v>
      </c>
      <c r="K65" s="2622">
        <v>0.52</v>
      </c>
      <c r="L65" s="2633">
        <v>0.79</v>
      </c>
      <c r="N65" s="2674">
        <f t="shared" si="148"/>
        <v>1.420065760241713E-2</v>
      </c>
      <c r="O65" s="2675">
        <f t="shared" si="148"/>
        <v>3.3080938028376083E-3</v>
      </c>
      <c r="P65" s="2675">
        <f t="shared" si="149"/>
        <v>6.598984771573603E-2</v>
      </c>
      <c r="Q65" s="2675">
        <f t="shared" si="149"/>
        <v>5.2953117818293153E-3</v>
      </c>
      <c r="R65" s="2628"/>
      <c r="S65" s="2626"/>
      <c r="T65" s="2627"/>
      <c r="U65" s="2627"/>
      <c r="V65" s="2627"/>
      <c r="X65" s="2676"/>
      <c r="Y65" s="2676"/>
      <c r="Z65" s="2676"/>
    </row>
    <row r="66" spans="1:26">
      <c r="A66" s="2618" t="s">
        <v>2612</v>
      </c>
      <c r="B66" s="2631">
        <f t="shared" si="150"/>
        <v>122.57204301075269</v>
      </c>
      <c r="C66" s="2631">
        <f t="shared" si="150"/>
        <v>123.4932735426009</v>
      </c>
      <c r="D66" s="2631">
        <f t="shared" si="120"/>
        <v>123.4932735426009</v>
      </c>
      <c r="E66" s="2631">
        <f t="shared" si="151"/>
        <v>129.82233502538071</v>
      </c>
      <c r="F66" s="2631">
        <f t="shared" si="151"/>
        <v>107.39446721311475</v>
      </c>
      <c r="G66" s="3542">
        <v>2005</v>
      </c>
      <c r="H66" s="2621">
        <v>1</v>
      </c>
      <c r="I66" s="2621">
        <v>0.43</v>
      </c>
      <c r="J66" s="2621">
        <v>0.37</v>
      </c>
      <c r="K66" s="2621">
        <v>0.37</v>
      </c>
      <c r="L66" s="2632">
        <v>0.55000000000000004</v>
      </c>
      <c r="N66" s="2677">
        <f t="shared" si="148"/>
        <v>1.2992090997956099E-2</v>
      </c>
      <c r="O66" s="2678">
        <f t="shared" si="148"/>
        <v>1.2239947070499151E-2</v>
      </c>
      <c r="P66" s="2678">
        <f t="shared" si="149"/>
        <v>4.6954314720812178E-2</v>
      </c>
      <c r="Q66" s="2678">
        <f t="shared" si="149"/>
        <v>3.6866094683621815E-3</v>
      </c>
      <c r="R66" s="2628"/>
      <c r="S66" s="2634">
        <f>B66/B67-1</f>
        <v>1.2992090997956174E-2</v>
      </c>
      <c r="T66" s="2635">
        <f>C66/C67-1</f>
        <v>1.2239947070499246E-2</v>
      </c>
      <c r="U66" s="2635">
        <f>E66/E67-1</f>
        <v>4.695431472081224E-2</v>
      </c>
      <c r="V66" s="2635">
        <f>F66/F67-1</f>
        <v>3.6866094683620787E-3</v>
      </c>
      <c r="X66" s="2676"/>
      <c r="Y66" s="2676"/>
      <c r="Z66" s="2676"/>
    </row>
    <row r="67" spans="1:26" ht="13.5" thickBot="1">
      <c r="A67" s="2618" t="s">
        <v>2613</v>
      </c>
      <c r="B67" s="2661">
        <v>121</v>
      </c>
      <c r="C67" s="2661">
        <v>122</v>
      </c>
      <c r="D67" s="2661">
        <f t="shared" si="120"/>
        <v>122</v>
      </c>
      <c r="E67" s="2661">
        <v>124</v>
      </c>
      <c r="F67" s="2662">
        <v>107</v>
      </c>
      <c r="G67" s="3541">
        <v>2004</v>
      </c>
      <c r="H67" s="2637">
        <v>4</v>
      </c>
      <c r="I67" s="2637">
        <v>0.33</v>
      </c>
      <c r="J67" s="2637">
        <v>0.5</v>
      </c>
      <c r="K67" s="2637">
        <v>0.5</v>
      </c>
      <c r="L67" s="2638">
        <v>0</v>
      </c>
      <c r="N67" s="2674">
        <f t="shared" ref="N67:O70" si="152">I67/SUM(I$67:I$70)*(B$67/B$71-1)</f>
        <v>1.3391770148526898E-2</v>
      </c>
      <c r="O67" s="2675">
        <f t="shared" si="152"/>
        <v>1.063264221158958E-2</v>
      </c>
      <c r="P67" s="2675">
        <f t="shared" ref="P67:Q70" si="153">K67/SUM(K$67:K$70)*(E$67/E$71-1)</f>
        <v>2.2244466688911134E-2</v>
      </c>
      <c r="Q67" s="2675">
        <f t="shared" si="153"/>
        <v>0</v>
      </c>
      <c r="R67" s="2628"/>
      <c r="S67" s="2629"/>
      <c r="T67" s="2630"/>
      <c r="U67" s="2630"/>
      <c r="V67" s="2630"/>
      <c r="X67" s="2676"/>
      <c r="Y67" s="2676"/>
      <c r="Z67" s="2676"/>
    </row>
    <row r="68" spans="1:26">
      <c r="A68" s="2618" t="s">
        <v>2614</v>
      </c>
      <c r="B68" s="2631">
        <f t="shared" ref="B68:C70" si="154">B69+(B$67-B$71)*I68/SUM(I$67:I$70)</f>
        <v>119.51351351351352</v>
      </c>
      <c r="C68" s="2631">
        <f t="shared" si="154"/>
        <v>120.7878787878788</v>
      </c>
      <c r="D68" s="2631">
        <f t="shared" si="120"/>
        <v>120.7878787878788</v>
      </c>
      <c r="E68" s="2631">
        <f t="shared" ref="E68:F70" si="155">E69+(E$67-E$71)*K68/SUM(K$67:K$70)</f>
        <v>121.5975975975976</v>
      </c>
      <c r="F68" s="2631">
        <f t="shared" si="155"/>
        <v>107</v>
      </c>
      <c r="G68" s="3539">
        <v>2004</v>
      </c>
      <c r="H68" s="2642">
        <v>3</v>
      </c>
      <c r="I68" s="2642">
        <v>0.56000000000000005</v>
      </c>
      <c r="J68" s="2642">
        <v>0.8</v>
      </c>
      <c r="K68" s="2642">
        <v>0.83</v>
      </c>
      <c r="L68" s="2643">
        <v>0.06</v>
      </c>
      <c r="N68" s="2674">
        <f t="shared" si="152"/>
        <v>2.2725428130833527E-2</v>
      </c>
      <c r="O68" s="2675">
        <f t="shared" si="152"/>
        <v>1.7012227538543329E-2</v>
      </c>
      <c r="P68" s="2675">
        <f t="shared" si="153"/>
        <v>3.6925814703592477E-2</v>
      </c>
      <c r="Q68" s="2675">
        <f t="shared" si="153"/>
        <v>2.8846153846153744E-2</v>
      </c>
      <c r="R68" s="2628"/>
      <c r="S68" s="2626"/>
      <c r="T68" s="2627"/>
      <c r="U68" s="2627"/>
      <c r="V68" s="2627"/>
      <c r="X68" s="2676"/>
      <c r="Y68" s="2676"/>
      <c r="Z68" s="2676"/>
    </row>
    <row r="69" spans="1:26">
      <c r="A69" s="2618" t="s">
        <v>2615</v>
      </c>
      <c r="B69" s="2631">
        <f t="shared" si="154"/>
        <v>116.99099099099099</v>
      </c>
      <c r="C69" s="2631">
        <f t="shared" si="154"/>
        <v>118.84848484848486</v>
      </c>
      <c r="D69" s="2631">
        <f t="shared" si="120"/>
        <v>118.84848484848486</v>
      </c>
      <c r="E69" s="2631">
        <f t="shared" si="155"/>
        <v>117.60960960960961</v>
      </c>
      <c r="F69" s="2631">
        <f t="shared" si="155"/>
        <v>104</v>
      </c>
      <c r="G69" s="3539">
        <v>2004</v>
      </c>
      <c r="H69" s="2622">
        <v>2</v>
      </c>
      <c r="I69" s="2622">
        <v>1</v>
      </c>
      <c r="J69" s="2622">
        <v>1.5</v>
      </c>
      <c r="K69" s="2622">
        <v>1.5</v>
      </c>
      <c r="L69" s="2633">
        <v>0</v>
      </c>
      <c r="N69" s="2674">
        <f t="shared" si="152"/>
        <v>4.0581121662202721E-2</v>
      </c>
      <c r="O69" s="2675">
        <f t="shared" si="152"/>
        <v>3.1897926634768738E-2</v>
      </c>
      <c r="P69" s="2675">
        <f t="shared" si="153"/>
        <v>6.6733400066733395E-2</v>
      </c>
      <c r="Q69" s="2675">
        <f t="shared" si="153"/>
        <v>0</v>
      </c>
      <c r="R69" s="2628"/>
      <c r="S69" s="2626"/>
      <c r="T69" s="2627"/>
      <c r="U69" s="2627"/>
      <c r="V69" s="2627"/>
      <c r="X69" s="2676"/>
      <c r="Y69" s="2676"/>
      <c r="Z69" s="2676"/>
    </row>
    <row r="70" spans="1:26" s="2667" customFormat="1" ht="13.5" thickBot="1">
      <c r="A70" s="2618" t="s">
        <v>2616</v>
      </c>
      <c r="B70" s="2664">
        <f t="shared" si="154"/>
        <v>112.48648648648648</v>
      </c>
      <c r="C70" s="2664">
        <f t="shared" si="154"/>
        <v>115.21212121212122</v>
      </c>
      <c r="D70" s="2664">
        <f t="shared" si="120"/>
        <v>115.21212121212122</v>
      </c>
      <c r="E70" s="2664">
        <f t="shared" si="155"/>
        <v>110.4024024024024</v>
      </c>
      <c r="F70" s="2664">
        <f t="shared" si="155"/>
        <v>104</v>
      </c>
      <c r="G70" s="3542">
        <v>2004</v>
      </c>
      <c r="H70" s="2665">
        <v>1</v>
      </c>
      <c r="I70" s="2665">
        <v>0.33</v>
      </c>
      <c r="J70" s="2665">
        <v>0.5</v>
      </c>
      <c r="K70" s="2665">
        <v>0.5</v>
      </c>
      <c r="L70" s="2666">
        <v>0</v>
      </c>
      <c r="N70" s="2679">
        <f t="shared" si="152"/>
        <v>1.3391770148526898E-2</v>
      </c>
      <c r="O70" s="2680">
        <f t="shared" si="152"/>
        <v>1.063264221158958E-2</v>
      </c>
      <c r="P70" s="2680">
        <f t="shared" si="153"/>
        <v>2.2244466688911134E-2</v>
      </c>
      <c r="Q70" s="2680">
        <f t="shared" si="153"/>
        <v>0</v>
      </c>
      <c r="R70" s="2670"/>
      <c r="S70" s="2668">
        <f>B70/B71-1</f>
        <v>1.3391770148526883E-2</v>
      </c>
      <c r="T70" s="2669">
        <f>C70/C71-1</f>
        <v>1.063264221158966E-2</v>
      </c>
      <c r="U70" s="2669">
        <f>E70/E71-1</f>
        <v>2.2244466688911224E-2</v>
      </c>
      <c r="V70" s="2669">
        <f>F70/F71-1</f>
        <v>0</v>
      </c>
      <c r="X70" s="2681"/>
      <c r="Y70" s="2681"/>
      <c r="Z70" s="2681"/>
    </row>
    <row r="71" spans="1:26" ht="13.5" thickBot="1">
      <c r="A71" s="2618" t="s">
        <v>2617</v>
      </c>
      <c r="B71" s="2682">
        <v>111</v>
      </c>
      <c r="C71" s="2682">
        <v>114</v>
      </c>
      <c r="D71" s="2682">
        <f t="shared" si="120"/>
        <v>114</v>
      </c>
      <c r="E71" s="2682">
        <v>108</v>
      </c>
      <c r="F71" s="2683">
        <v>104</v>
      </c>
      <c r="G71" s="3541">
        <v>2003</v>
      </c>
      <c r="H71" s="2672">
        <v>4</v>
      </c>
      <c r="I71" s="2684"/>
      <c r="J71" s="2684"/>
      <c r="K71" s="2684"/>
      <c r="L71" s="2684"/>
      <c r="N71" s="2685"/>
      <c r="O71" s="2684"/>
      <c r="P71" s="2684"/>
      <c r="Q71" s="2684"/>
      <c r="S71" s="2685"/>
      <c r="T71" s="2684"/>
      <c r="U71" s="2684"/>
      <c r="V71" s="2684"/>
      <c r="X71" s="2676"/>
      <c r="Y71" s="2676"/>
      <c r="Z71" s="2676"/>
    </row>
    <row r="72" spans="1:26">
      <c r="A72" s="2618" t="s">
        <v>2618</v>
      </c>
      <c r="B72" s="2686">
        <f t="shared" ref="B72:C74" si="156">B73+(B$71-B$75)/4</f>
        <v>109.75</v>
      </c>
      <c r="C72" s="2686">
        <f t="shared" si="156"/>
        <v>112.25</v>
      </c>
      <c r="D72" s="2686">
        <f t="shared" si="120"/>
        <v>112.25</v>
      </c>
      <c r="E72" s="2686">
        <f t="shared" ref="E72:F74" si="157">E73+(E$71-E$75)/4</f>
        <v>107.25</v>
      </c>
      <c r="F72" s="2686">
        <f t="shared" si="157"/>
        <v>103.5</v>
      </c>
      <c r="G72" s="3539">
        <v>2003</v>
      </c>
      <c r="H72" s="2642">
        <v>3</v>
      </c>
      <c r="I72" s="2684"/>
      <c r="J72" s="2684"/>
      <c r="K72" s="2684"/>
      <c r="L72" s="2684"/>
      <c r="X72" s="2676"/>
      <c r="Y72" s="2676"/>
      <c r="Z72" s="2676"/>
    </row>
    <row r="73" spans="1:26">
      <c r="A73" s="2618" t="s">
        <v>2619</v>
      </c>
      <c r="B73" s="2686">
        <f t="shared" si="156"/>
        <v>108.5</v>
      </c>
      <c r="C73" s="2686">
        <f t="shared" si="156"/>
        <v>110.5</v>
      </c>
      <c r="D73" s="2686">
        <f t="shared" si="120"/>
        <v>110.5</v>
      </c>
      <c r="E73" s="2686">
        <f t="shared" si="157"/>
        <v>106.5</v>
      </c>
      <c r="F73" s="2686">
        <f t="shared" si="157"/>
        <v>103</v>
      </c>
      <c r="G73" s="3539">
        <v>2003</v>
      </c>
      <c r="H73" s="2622">
        <v>2</v>
      </c>
      <c r="I73" s="2684"/>
      <c r="J73" s="2684"/>
      <c r="K73" s="2684"/>
      <c r="L73" s="2684"/>
      <c r="X73" s="2676"/>
      <c r="Y73" s="2676"/>
      <c r="Z73" s="2676"/>
    </row>
    <row r="74" spans="1:26" ht="13.5" thickBot="1">
      <c r="A74" s="2618" t="s">
        <v>2620</v>
      </c>
      <c r="B74" s="2686">
        <f t="shared" si="156"/>
        <v>107.25</v>
      </c>
      <c r="C74" s="2686">
        <f t="shared" si="156"/>
        <v>108.75</v>
      </c>
      <c r="D74" s="2686">
        <f t="shared" si="120"/>
        <v>108.75</v>
      </c>
      <c r="E74" s="2686">
        <f t="shared" si="157"/>
        <v>105.75</v>
      </c>
      <c r="F74" s="2686">
        <f t="shared" si="157"/>
        <v>102.5</v>
      </c>
      <c r="G74" s="3542">
        <v>2003</v>
      </c>
      <c r="H74" s="2687">
        <v>1</v>
      </c>
      <c r="I74" s="2684"/>
      <c r="J74" s="2684"/>
      <c r="K74" s="2684"/>
      <c r="L74" s="2684"/>
      <c r="S74" s="2626"/>
      <c r="T74" s="2627"/>
      <c r="U74" s="2627"/>
      <c r="X74" s="2676"/>
      <c r="Y74" s="2676"/>
      <c r="Z74" s="2676"/>
    </row>
    <row r="75" spans="1:26" ht="13.5" thickBot="1">
      <c r="A75" s="2618" t="s">
        <v>2621</v>
      </c>
      <c r="B75" s="2688">
        <v>106</v>
      </c>
      <c r="C75" s="2688">
        <v>107</v>
      </c>
      <c r="D75" s="2688">
        <f t="shared" si="120"/>
        <v>107</v>
      </c>
      <c r="E75" s="2688">
        <v>105</v>
      </c>
      <c r="F75" s="2689">
        <v>102</v>
      </c>
      <c r="G75" s="3541">
        <v>2002</v>
      </c>
      <c r="H75" s="2637">
        <v>4</v>
      </c>
      <c r="I75" s="2684"/>
      <c r="J75" s="2684"/>
      <c r="K75" s="2684"/>
      <c r="L75" s="2684"/>
      <c r="N75" s="2685"/>
      <c r="O75" s="2684"/>
      <c r="P75" s="2684"/>
      <c r="Q75" s="2684"/>
      <c r="S75" s="2685"/>
      <c r="T75" s="2684"/>
      <c r="U75" s="2684"/>
      <c r="V75" s="2684"/>
      <c r="X75" s="2676"/>
      <c r="Y75" s="2676"/>
      <c r="Z75" s="2676"/>
    </row>
    <row r="76" spans="1:26">
      <c r="A76" s="2618" t="s">
        <v>2622</v>
      </c>
      <c r="B76" s="2686">
        <f t="shared" ref="B76:C78" si="158">B77+(B$75-B$79)/4</f>
        <v>105</v>
      </c>
      <c r="C76" s="2686">
        <f t="shared" si="158"/>
        <v>106</v>
      </c>
      <c r="D76" s="2686">
        <f t="shared" si="120"/>
        <v>106</v>
      </c>
      <c r="E76" s="2686">
        <f t="shared" ref="E76:F78" si="159">E77+(E$75-E$79)/4</f>
        <v>104.5</v>
      </c>
      <c r="F76" s="2686">
        <f t="shared" si="159"/>
        <v>101.5</v>
      </c>
      <c r="G76" s="3539">
        <v>2002</v>
      </c>
      <c r="H76" s="2642">
        <v>3</v>
      </c>
      <c r="I76" s="2684"/>
      <c r="J76" s="2684"/>
      <c r="K76" s="2684"/>
      <c r="L76" s="2684"/>
      <c r="X76" s="2676"/>
      <c r="Y76" s="2676"/>
      <c r="Z76" s="2676"/>
    </row>
    <row r="77" spans="1:26">
      <c r="A77" s="2618" t="s">
        <v>2623</v>
      </c>
      <c r="B77" s="2686">
        <f t="shared" si="158"/>
        <v>104</v>
      </c>
      <c r="C77" s="2686">
        <f t="shared" si="158"/>
        <v>105</v>
      </c>
      <c r="D77" s="2686">
        <f t="shared" si="120"/>
        <v>105</v>
      </c>
      <c r="E77" s="2686">
        <f t="shared" si="159"/>
        <v>104</v>
      </c>
      <c r="F77" s="2686">
        <f t="shared" si="159"/>
        <v>101</v>
      </c>
      <c r="G77" s="3539">
        <v>2002</v>
      </c>
      <c r="H77" s="2622">
        <v>2</v>
      </c>
      <c r="I77" s="2684"/>
      <c r="J77" s="2684"/>
      <c r="K77" s="2684"/>
      <c r="L77" s="2684"/>
      <c r="X77" s="2676"/>
      <c r="Y77" s="2676"/>
      <c r="Z77" s="2676"/>
    </row>
    <row r="78" spans="1:26" s="2653" customFormat="1" ht="13.5" thickBot="1">
      <c r="A78" s="2649" t="s">
        <v>2624</v>
      </c>
      <c r="B78" s="2690">
        <f t="shared" si="158"/>
        <v>103</v>
      </c>
      <c r="C78" s="2690">
        <f t="shared" si="158"/>
        <v>104</v>
      </c>
      <c r="D78" s="2690">
        <f t="shared" si="120"/>
        <v>104</v>
      </c>
      <c r="E78" s="2690">
        <f t="shared" si="159"/>
        <v>103.5</v>
      </c>
      <c r="F78" s="2690">
        <f t="shared" si="159"/>
        <v>100.5</v>
      </c>
      <c r="G78" s="3542">
        <v>2002</v>
      </c>
      <c r="H78" s="2691">
        <v>1</v>
      </c>
      <c r="I78" s="2692"/>
      <c r="J78" s="2692"/>
      <c r="K78" s="2692"/>
      <c r="L78" s="2692"/>
      <c r="N78" s="2693"/>
      <c r="S78" s="2693"/>
      <c r="X78" s="2694"/>
      <c r="Y78" s="2694"/>
      <c r="Z78" s="2694"/>
    </row>
    <row r="79" spans="1:26" ht="13.5" thickBot="1">
      <c r="B79" s="2695">
        <v>102</v>
      </c>
      <c r="C79" s="2696">
        <v>103</v>
      </c>
      <c r="D79" s="2696">
        <f t="shared" si="120"/>
        <v>103</v>
      </c>
      <c r="E79" s="2696">
        <v>103</v>
      </c>
      <c r="F79" s="2697">
        <v>100</v>
      </c>
      <c r="I79" s="2684"/>
      <c r="J79" s="2684"/>
      <c r="K79" s="2684"/>
      <c r="L79" s="2684"/>
      <c r="N79" s="2685"/>
      <c r="O79" s="2684"/>
      <c r="P79" s="2684"/>
      <c r="Q79" s="2684"/>
      <c r="S79" s="2685"/>
      <c r="T79" s="2684"/>
      <c r="U79" s="2684"/>
      <c r="V79" s="2684"/>
      <c r="X79" s="2630"/>
      <c r="Y79" s="2630"/>
      <c r="Z79" s="2630"/>
    </row>
    <row r="81" spans="1:22" s="2699" customFormat="1">
      <c r="A81" s="2698" t="s">
        <v>2625</v>
      </c>
      <c r="G81" s="2700"/>
      <c r="N81" s="2700"/>
      <c r="S81" s="2700"/>
    </row>
    <row r="82" spans="1:22" s="2699" customFormat="1">
      <c r="A82" s="2699" t="s">
        <v>2626</v>
      </c>
      <c r="G82" s="2700"/>
      <c r="N82" s="2700"/>
      <c r="S82" s="2700"/>
    </row>
    <row r="83" spans="1:22" s="2699" customFormat="1">
      <c r="A83" s="2699" t="s">
        <v>2627</v>
      </c>
      <c r="G83" s="2700"/>
      <c r="I83" s="2701"/>
      <c r="J83" s="2701"/>
      <c r="K83" s="2701"/>
      <c r="L83" s="2701"/>
      <c r="N83" s="2702"/>
      <c r="O83" s="2701"/>
      <c r="P83" s="2701"/>
      <c r="Q83" s="2701"/>
      <c r="S83" s="2702"/>
      <c r="T83" s="2701"/>
      <c r="U83" s="2701"/>
      <c r="V83" s="2701"/>
    </row>
    <row r="84" spans="1:22" s="2699" customFormat="1">
      <c r="A84" s="2699" t="s">
        <v>2628</v>
      </c>
      <c r="G84" s="2700"/>
      <c r="N84" s="2700"/>
      <c r="S84" s="2700"/>
    </row>
    <row r="91" spans="1:22" ht="13.5" thickBot="1"/>
    <row r="92" spans="1:22">
      <c r="G92" s="2625"/>
      <c r="S92" s="2703" t="s">
        <v>2629</v>
      </c>
      <c r="T92" s="2704" t="s">
        <v>2630</v>
      </c>
      <c r="U92" s="2704" t="s">
        <v>2631</v>
      </c>
      <c r="V92" s="2704" t="s">
        <v>2632</v>
      </c>
    </row>
    <row r="93" spans="1:22">
      <c r="G93" s="2625"/>
      <c r="N93" s="2629"/>
      <c r="O93" s="2630"/>
      <c r="P93" s="2630"/>
      <c r="Q93" s="2630"/>
      <c r="S93" s="2705">
        <v>2006</v>
      </c>
      <c r="T93" s="2706">
        <v>15.1</v>
      </c>
      <c r="U93" s="2706">
        <v>7.43</v>
      </c>
      <c r="V93" s="2706">
        <v>26.26</v>
      </c>
    </row>
    <row r="94" spans="1:22">
      <c r="G94" s="2625"/>
      <c r="N94" s="2629"/>
      <c r="O94" s="2630"/>
      <c r="P94" s="2630"/>
      <c r="Q94" s="2630"/>
      <c r="S94" s="2708">
        <v>2005</v>
      </c>
      <c r="T94" s="2707">
        <v>13.9</v>
      </c>
      <c r="U94" s="2707">
        <v>7.49</v>
      </c>
      <c r="V94" s="2707">
        <v>24.92</v>
      </c>
    </row>
    <row r="95" spans="1:22">
      <c r="G95" s="2625"/>
      <c r="N95" s="2629"/>
      <c r="O95" s="2630"/>
      <c r="P95" s="2630"/>
      <c r="Q95" s="2630"/>
      <c r="S95" s="2705">
        <v>2004</v>
      </c>
      <c r="T95" s="2706">
        <v>9.48</v>
      </c>
      <c r="U95" s="2706">
        <v>7.2</v>
      </c>
      <c r="V95" s="2706">
        <v>14.68</v>
      </c>
    </row>
    <row r="96" spans="1:22">
      <c r="G96" s="2625"/>
      <c r="N96" s="2629"/>
      <c r="O96" s="2630"/>
      <c r="P96" s="2630"/>
      <c r="Q96" s="2630"/>
      <c r="S96" s="2708">
        <v>2003</v>
      </c>
      <c r="T96" s="2707">
        <v>4.5</v>
      </c>
      <c r="U96" s="2707">
        <v>6.12</v>
      </c>
      <c r="V96" s="2707">
        <v>2.34</v>
      </c>
    </row>
    <row r="97" spans="7:22" ht="13.5" thickBot="1">
      <c r="G97" s="2625"/>
      <c r="N97" s="2629"/>
      <c r="O97" s="2630"/>
      <c r="P97" s="2630"/>
      <c r="Q97" s="2630"/>
      <c r="S97" s="2709">
        <v>2002</v>
      </c>
      <c r="T97" s="2710">
        <v>3.59</v>
      </c>
      <c r="U97" s="2710">
        <v>4.54</v>
      </c>
      <c r="V97" s="2710">
        <v>2.5499999999999998</v>
      </c>
    </row>
    <row r="98" spans="7:22">
      <c r="G98" s="2625"/>
      <c r="N98" s="2629"/>
      <c r="O98" s="2630"/>
      <c r="P98" s="2630"/>
      <c r="Q98" s="2630"/>
    </row>
    <row r="99" spans="7:22">
      <c r="G99" s="2625"/>
      <c r="N99" s="2629"/>
      <c r="O99" s="2630"/>
      <c r="P99" s="2630"/>
      <c r="Q99" s="2630"/>
    </row>
    <row r="100" spans="7:22">
      <c r="G100" s="2625"/>
      <c r="N100" s="2629"/>
      <c r="O100" s="2630"/>
      <c r="P100" s="2630"/>
      <c r="Q100" s="2630"/>
    </row>
    <row r="101" spans="7:22">
      <c r="G101" s="2625"/>
      <c r="N101" s="2629"/>
      <c r="O101" s="2630"/>
      <c r="P101" s="2630"/>
      <c r="Q101" s="2630"/>
    </row>
    <row r="102" spans="7:22">
      <c r="G102" s="2625"/>
      <c r="N102" s="2629"/>
      <c r="O102" s="2630"/>
      <c r="P102" s="2630"/>
      <c r="Q102" s="2630"/>
    </row>
    <row r="103" spans="7:22">
      <c r="G103" s="2625"/>
      <c r="N103" s="2629"/>
      <c r="O103" s="2630"/>
      <c r="P103" s="2630"/>
      <c r="Q103" s="2630"/>
    </row>
    <row r="104" spans="7:22">
      <c r="G104" s="2625"/>
      <c r="N104" s="2629"/>
      <c r="O104" s="2630"/>
      <c r="P104" s="2630"/>
      <c r="Q104" s="2630"/>
    </row>
    <row r="105" spans="7:22">
      <c r="G105" s="2625"/>
      <c r="N105" s="2629"/>
      <c r="O105" s="2630"/>
      <c r="P105" s="2630"/>
      <c r="Q105" s="2630"/>
    </row>
    <row r="106" spans="7:22">
      <c r="G106" s="2625"/>
      <c r="N106" s="2629"/>
      <c r="O106" s="2630"/>
      <c r="P106" s="2630"/>
      <c r="Q106" s="2630"/>
    </row>
    <row r="107" spans="7:22">
      <c r="G107" s="2625"/>
      <c r="N107" s="2629"/>
      <c r="O107" s="2630"/>
      <c r="P107" s="2630"/>
      <c r="Q107" s="2630"/>
    </row>
    <row r="108" spans="7:22">
      <c r="G108" s="2625"/>
      <c r="N108" s="2629"/>
      <c r="O108" s="2630"/>
      <c r="P108" s="2630"/>
      <c r="Q108" s="2630"/>
      <c r="S108" s="2625"/>
    </row>
    <row r="109" spans="7:22">
      <c r="G109" s="2625"/>
      <c r="N109" s="2629"/>
      <c r="O109" s="2630"/>
      <c r="P109" s="2630"/>
      <c r="Q109" s="2630"/>
      <c r="S109" s="2625"/>
    </row>
    <row r="110" spans="7:22">
      <c r="G110" s="2625"/>
      <c r="N110" s="2629"/>
      <c r="O110" s="2630"/>
      <c r="P110" s="2630"/>
      <c r="Q110" s="2630"/>
      <c r="S110" s="2625"/>
    </row>
    <row r="111" spans="7:22">
      <c r="G111" s="2625"/>
      <c r="N111" s="2629"/>
      <c r="O111" s="2630"/>
      <c r="P111" s="2630"/>
      <c r="Q111" s="2630"/>
      <c r="S111" s="2625"/>
    </row>
    <row r="112" spans="7:22">
      <c r="G112" s="2625"/>
      <c r="N112" s="2629"/>
      <c r="O112" s="2630"/>
      <c r="P112" s="2630"/>
      <c r="Q112" s="2630"/>
      <c r="S112" s="2625"/>
    </row>
    <row r="113" spans="7:19">
      <c r="G113" s="2625"/>
      <c r="N113" s="2629"/>
      <c r="O113" s="2630"/>
      <c r="P113" s="2630"/>
      <c r="Q113" s="2630"/>
      <c r="S113" s="2625"/>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9"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7" t="s">
        <v>2034</v>
      </c>
      <c r="B1" s="3247"/>
      <c r="C1" s="3247"/>
      <c r="D1" s="3247"/>
      <c r="E1" s="3247"/>
      <c r="F1" s="3247"/>
      <c r="G1" s="3247"/>
      <c r="H1" s="3247"/>
      <c r="I1" s="3247"/>
      <c r="J1" s="3247"/>
      <c r="K1" s="3247"/>
      <c r="L1" s="3247"/>
      <c r="M1" s="3247"/>
      <c r="N1" s="3247"/>
      <c r="O1" s="3247"/>
      <c r="P1" s="3247"/>
      <c r="Q1" s="3247"/>
      <c r="R1" s="3247"/>
    </row>
    <row r="2" spans="1:18">
      <c r="A2" s="1791" t="s">
        <v>2036</v>
      </c>
      <c r="B2" s="1791"/>
      <c r="C2" s="1791"/>
      <c r="D2" s="1791"/>
      <c r="E2" s="1791"/>
      <c r="F2" s="1791"/>
      <c r="G2" s="1791"/>
      <c r="H2" s="1791"/>
      <c r="I2" s="1792"/>
      <c r="J2" s="1792"/>
      <c r="K2" s="1793" t="str">
        <f>"估价期日："&amp;TEXT(项目基本情况!D3,"yyyy年m月d日;;")</f>
        <v>估价期日：2020年6月19日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48" t="s">
        <v>2025</v>
      </c>
      <c r="B3" s="3248" t="s">
        <v>2725</v>
      </c>
      <c r="C3" s="3249" t="s">
        <v>2026</v>
      </c>
      <c r="D3" s="3248" t="s">
        <v>2729</v>
      </c>
      <c r="E3" s="3243" t="s">
        <v>2027</v>
      </c>
      <c r="F3" s="3243"/>
      <c r="G3" s="3243"/>
      <c r="H3" s="3243" t="s">
        <v>2028</v>
      </c>
      <c r="I3" s="3243"/>
      <c r="J3" s="3243"/>
      <c r="K3" s="3249" t="s">
        <v>2029</v>
      </c>
      <c r="L3" s="3249" t="s">
        <v>2030</v>
      </c>
      <c r="M3" s="3248" t="s">
        <v>2726</v>
      </c>
      <c r="N3" s="3250" t="str">
        <f>"（分摊）"&amp;项目基本情况!B16&amp;"国有建设用地使用权面积/㎡"</f>
        <v>（分摊）出让国有建设用地使用权面积/㎡</v>
      </c>
      <c r="O3" s="3248" t="s">
        <v>2059</v>
      </c>
      <c r="P3" s="3249" t="s">
        <v>2039</v>
      </c>
      <c r="Q3" s="3249" t="s">
        <v>2060</v>
      </c>
      <c r="R3" s="3249" t="s">
        <v>2031</v>
      </c>
    </row>
    <row r="4" spans="1:18" ht="36.75" customHeight="1">
      <c r="A4" s="3248"/>
      <c r="B4" s="3248"/>
      <c r="C4" s="3249"/>
      <c r="D4" s="3248"/>
      <c r="E4" s="2612" t="s">
        <v>2038</v>
      </c>
      <c r="F4" s="2612" t="s">
        <v>2738</v>
      </c>
      <c r="G4" s="2612" t="s">
        <v>2032</v>
      </c>
      <c r="H4" s="2612" t="s">
        <v>2033</v>
      </c>
      <c r="I4" s="2612" t="s">
        <v>2739</v>
      </c>
      <c r="J4" s="2612" t="s">
        <v>2032</v>
      </c>
      <c r="K4" s="3249"/>
      <c r="L4" s="3249"/>
      <c r="M4" s="3248"/>
      <c r="N4" s="3250"/>
      <c r="O4" s="3248"/>
      <c r="P4" s="3249"/>
      <c r="Q4" s="3249"/>
      <c r="R4" s="3249"/>
    </row>
    <row r="5" spans="1:18" ht="135" customHeight="1">
      <c r="A5" s="1927" t="s">
        <v>2649</v>
      </c>
      <c r="B5" s="2821" t="s">
        <v>2647</v>
      </c>
      <c r="C5" s="2611">
        <v>22</v>
      </c>
      <c r="D5" s="2610" t="s">
        <v>2648</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96343.56</v>
      </c>
      <c r="O5" s="1794">
        <f>项目基本情况!C21</f>
        <v>96343.56</v>
      </c>
      <c r="P5" s="1794" t="e">
        <f ca="1">结果表!E42</f>
        <v>#REF!</v>
      </c>
      <c r="Q5" s="1794" t="e">
        <f ca="1">结果表!D42</f>
        <v>#REF!</v>
      </c>
      <c r="R5" s="1795" t="e">
        <f ca="1">结果表!C42</f>
        <v>#REF!</v>
      </c>
    </row>
    <row r="6" spans="1:18">
      <c r="A6" s="3244" t="str">
        <f>IF(项目基本情况!B9="市场价格","——","抵押价格")</f>
        <v>——</v>
      </c>
      <c r="B6" s="3245"/>
      <c r="C6" s="3245"/>
      <c r="D6" s="3245"/>
      <c r="E6" s="3245"/>
      <c r="F6" s="3245"/>
      <c r="G6" s="3245"/>
      <c r="H6" s="3245"/>
      <c r="I6" s="3245"/>
      <c r="J6" s="3245"/>
      <c r="K6" s="3245"/>
      <c r="L6" s="3245"/>
      <c r="M6" s="3245"/>
      <c r="N6" s="3245"/>
      <c r="O6" s="3245"/>
      <c r="P6" s="3245"/>
      <c r="Q6" s="3246"/>
      <c r="R6" s="1796" t="str">
        <f>结果表!O39</f>
        <v>——</v>
      </c>
    </row>
    <row r="7" spans="1:18">
      <c r="A7" s="3244" t="str">
        <f>IF(项目基本情况!B9="市场价格","——",IF(项目基本情况!E8="已注销及未注销","抵押担保权已注销时的抵押价格","——"))</f>
        <v>——</v>
      </c>
      <c r="B7" s="3245"/>
      <c r="C7" s="3245"/>
      <c r="D7" s="3245"/>
      <c r="E7" s="3245"/>
      <c r="F7" s="3245"/>
      <c r="G7" s="3245"/>
      <c r="H7" s="3245"/>
      <c r="I7" s="3245"/>
      <c r="J7" s="3245"/>
      <c r="K7" s="3245"/>
      <c r="L7" s="3245"/>
      <c r="M7" s="3245"/>
      <c r="N7" s="3245"/>
      <c r="O7" s="3245"/>
      <c r="P7" s="3245"/>
      <c r="Q7" s="3246"/>
      <c r="R7" s="1796" t="str">
        <f>结果表!O40</f>
        <v>——</v>
      </c>
    </row>
    <row r="8" spans="1:18">
      <c r="A8" s="3244" t="str">
        <f>IF(项目基本情况!B9="市场价格","——",项目基本情况!E9)</f>
        <v>——</v>
      </c>
      <c r="B8" s="3245"/>
      <c r="C8" s="3245"/>
      <c r="D8" s="3245"/>
      <c r="E8" s="3245"/>
      <c r="F8" s="3245"/>
      <c r="G8" s="3245"/>
      <c r="H8" s="3245"/>
      <c r="I8" s="3245"/>
      <c r="J8" s="3245"/>
      <c r="K8" s="3245"/>
      <c r="L8" s="3245"/>
      <c r="M8" s="3245"/>
      <c r="N8" s="3245"/>
      <c r="O8" s="3245"/>
      <c r="P8" s="3245"/>
      <c r="Q8" s="3246"/>
      <c r="R8" s="1796" t="str">
        <f>结果表!O41</f>
        <v>——</v>
      </c>
    </row>
    <row r="9" spans="1:18">
      <c r="A9" s="1797" t="s">
        <v>2037</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2024</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52" t="s">
        <v>2061</v>
      </c>
      <c r="B1" s="3252"/>
      <c r="C1" s="3252"/>
      <c r="D1" s="3252"/>
    </row>
    <row r="2" spans="1:4" ht="47.25" customHeight="1">
      <c r="A2" s="3253" t="str">
        <f>"1.权利限制："&amp;项目基本情况!L24&amp;"未设定租赁等其他他项权利。"</f>
        <v>1.权利限制：根据估价对象《不动产权证书》原件、《国有土地使用权》复印件，截至估价期日，估价对象抵押权未见登记。未设定租赁等其他他项权利。</v>
      </c>
      <c r="B2" s="3253"/>
      <c r="C2" s="3253"/>
      <c r="D2" s="3253"/>
    </row>
    <row r="3" spans="1:4" ht="48" customHeight="1">
      <c r="A3" s="32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2"/>
      <c r="C3" s="3252"/>
      <c r="D3" s="3252"/>
    </row>
    <row r="4" spans="1:4" ht="36.75" customHeight="1">
      <c r="A4" s="3252" t="str">
        <f>"3.估价规划限制条件：详见"&amp;项目基本情况!E21&amp;"。"</f>
        <v>3.估价规划限制条件：详见《建设工程规划许可证》[]、《出让合同》[]。</v>
      </c>
      <c r="B4" s="3252"/>
      <c r="C4" s="3252"/>
      <c r="D4" s="3252"/>
    </row>
    <row r="5" spans="1:4">
      <c r="A5" s="3251" t="s">
        <v>2062</v>
      </c>
      <c r="B5" s="3251"/>
      <c r="C5" s="3251"/>
      <c r="D5" s="3251"/>
    </row>
    <row r="6" spans="1:4">
      <c r="A6" s="3252" t="s">
        <v>2040</v>
      </c>
      <c r="B6" s="3252"/>
      <c r="C6" s="3252"/>
      <c r="D6" s="3252"/>
    </row>
    <row r="7" spans="1:4" ht="33" customHeight="1">
      <c r="A7" s="3252" t="s">
        <v>2569</v>
      </c>
      <c r="B7" s="3252"/>
      <c r="C7" s="3252"/>
      <c r="D7" s="3252"/>
    </row>
    <row r="8" spans="1:4" ht="32.25" customHeight="1">
      <c r="A8" s="32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2"/>
      <c r="C8" s="3252"/>
      <c r="D8" s="3252"/>
    </row>
    <row r="9" spans="1:4" ht="33.75" customHeight="1">
      <c r="A9" s="3252" t="str">
        <f>IF(项目基本情况!B8="抵押","3.抵押双方在办理抵押登记手续时，应使用本公司出具的正式《土地估价报告》，特提请报告使用者注意。","——")</f>
        <v>——</v>
      </c>
      <c r="B9" s="3252"/>
      <c r="C9" s="3252"/>
      <c r="D9" s="3252"/>
    </row>
    <row r="10" spans="1:4">
      <c r="A10" s="3252" t="str">
        <f>IF(项目基本情况!B8="抵押","4.估价师所知悉的法定优先受偿款情况为：","——")</f>
        <v>——</v>
      </c>
      <c r="B10" s="3252"/>
      <c r="C10" s="3252"/>
      <c r="D10" s="3252"/>
    </row>
    <row r="11" spans="1:4" ht="37.5" customHeight="1">
      <c r="A11" s="3254" t="str">
        <f>IF(项目基本情况!B8="抵押","（1）"&amp;CONCATENATE(项目基本情况!L24,项目基本情况!L25,项目基本情况!L26),"——")</f>
        <v>——</v>
      </c>
      <c r="B11" s="3254"/>
      <c r="C11" s="3254"/>
      <c r="D11" s="3254"/>
    </row>
    <row r="12" spans="1:4" ht="168" customHeight="1">
      <c r="A12" s="3251" t="s">
        <v>2064</v>
      </c>
      <c r="B12" s="3251"/>
      <c r="C12" s="3251"/>
      <c r="D12" s="3251"/>
    </row>
    <row r="13" spans="1:4">
      <c r="A13" s="3255" t="s">
        <v>2740</v>
      </c>
      <c r="B13" s="3255"/>
      <c r="C13" s="3255"/>
      <c r="D13" s="3255"/>
    </row>
    <row r="14" spans="1:4">
      <c r="A14" s="3254" t="str">
        <f>IF(项目基本情况!B8="抵押","综上，"&amp;结果表!K47,"——")</f>
        <v>——</v>
      </c>
      <c r="B14" s="3254"/>
      <c r="C14" s="3254"/>
      <c r="D14" s="3254"/>
    </row>
    <row r="15" spans="1:4" ht="58.5" customHeight="1">
      <c r="A15" s="32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2"/>
      <c r="C15" s="3252"/>
      <c r="D15" s="3252"/>
    </row>
    <row r="16" spans="1:4" ht="70.5" customHeight="1">
      <c r="A16" s="32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2"/>
      <c r="C16" s="3252"/>
      <c r="D16" s="3252"/>
    </row>
    <row r="17" spans="1:4">
      <c r="A17" s="3252" t="s">
        <v>2696</v>
      </c>
      <c r="B17" s="3252"/>
      <c r="C17" s="3252"/>
      <c r="D17" s="3252"/>
    </row>
    <row r="18" spans="1:4">
      <c r="A18" s="3252" t="s">
        <v>2688</v>
      </c>
      <c r="B18" s="3252"/>
      <c r="C18" s="3252"/>
      <c r="D18" s="3252"/>
    </row>
    <row r="19" spans="1:4">
      <c r="A19" s="2822" t="s">
        <v>2689</v>
      </c>
      <c r="B19" s="2822" t="s">
        <v>2690</v>
      </c>
      <c r="C19" s="2822" t="s">
        <v>2691</v>
      </c>
      <c r="D19" s="2822" t="s">
        <v>2692</v>
      </c>
    </row>
    <row r="20" spans="1:4">
      <c r="A20" s="2822" t="str">
        <f>项目基本情况!B4</f>
        <v>土地估价师</v>
      </c>
      <c r="B20" s="2822">
        <f>项目基本情况!C4</f>
        <v>0</v>
      </c>
      <c r="C20" s="2824"/>
      <c r="D20" s="1784" t="s">
        <v>2697</v>
      </c>
    </row>
    <row r="21" spans="1:4">
      <c r="A21" s="2822" t="str">
        <f>项目基本情况!D4</f>
        <v>土地估价师</v>
      </c>
      <c r="B21" s="2822">
        <f>项目基本情况!E4</f>
        <v>0</v>
      </c>
      <c r="C21" s="2824"/>
      <c r="D21" s="1784" t="s">
        <v>2698</v>
      </c>
    </row>
    <row r="23" spans="1:4">
      <c r="A23" s="3252" t="s">
        <v>2693</v>
      </c>
      <c r="B23" s="3252"/>
      <c r="C23" s="3252"/>
      <c r="D23" s="3252"/>
    </row>
    <row r="24" spans="1:4">
      <c r="A24" s="2822" t="s">
        <v>2689</v>
      </c>
      <c r="B24" s="2822" t="s">
        <v>2694</v>
      </c>
      <c r="C24" s="2822" t="s">
        <v>2691</v>
      </c>
      <c r="D24" s="2822" t="s">
        <v>2692</v>
      </c>
    </row>
    <row r="25" spans="1:4">
      <c r="A25" s="2825" t="s">
        <v>2695</v>
      </c>
      <c r="B25" s="2822" t="s">
        <v>950</v>
      </c>
      <c r="C25" s="2824"/>
      <c r="D25" s="1784" t="s">
        <v>2698</v>
      </c>
    </row>
    <row r="29" spans="1:4">
      <c r="D29" s="2823" t="s">
        <v>2035</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25">
      <c r="A15" s="3263" t="s">
        <v>53</v>
      </c>
      <c r="B15" s="3264" t="s">
        <v>844</v>
      </c>
      <c r="C15" s="3260"/>
    </row>
    <row r="16" spans="1:7" ht="14.25">
      <c r="A16" s="3263"/>
      <c r="B16" s="3261" t="s">
        <v>54</v>
      </c>
      <c r="C16" s="1166" t="s">
        <v>53</v>
      </c>
    </row>
    <row r="17" spans="1:3" ht="14.25">
      <c r="A17" s="3263"/>
      <c r="B17" s="3261"/>
      <c r="C17" s="1166" t="s">
        <v>55</v>
      </c>
    </row>
    <row r="18" spans="1:3" ht="14.25">
      <c r="A18" s="3263"/>
      <c r="B18" s="3261"/>
      <c r="C18" s="1166" t="s">
        <v>56</v>
      </c>
    </row>
    <row r="19" spans="1:3" ht="14.25">
      <c r="A19" s="3263"/>
      <c r="B19" s="3259" t="s">
        <v>57</v>
      </c>
      <c r="C19" s="3260"/>
    </row>
    <row r="20" spans="1:3" ht="14.25">
      <c r="A20" s="1167" t="s">
        <v>58</v>
      </c>
      <c r="B20" s="1168"/>
      <c r="C20" s="1169"/>
    </row>
    <row r="21" spans="1:3" ht="14.25">
      <c r="A21" s="3262" t="s">
        <v>59</v>
      </c>
      <c r="B21" s="3259" t="s">
        <v>60</v>
      </c>
      <c r="C21" s="3260"/>
    </row>
    <row r="22" spans="1:3" ht="14.25">
      <c r="A22" s="3262"/>
      <c r="B22" s="3259" t="s">
        <v>61</v>
      </c>
      <c r="C22" s="3260"/>
    </row>
    <row r="23" spans="1:3" ht="14.25">
      <c r="A23" s="3262"/>
      <c r="B23" s="3259" t="s">
        <v>62</v>
      </c>
      <c r="C23" s="3260"/>
    </row>
    <row r="24" spans="1:3" ht="14.25">
      <c r="A24" s="3262"/>
      <c r="B24" s="3265" t="s">
        <v>63</v>
      </c>
      <c r="C24" s="1170" t="s">
        <v>835</v>
      </c>
    </row>
    <row r="25" spans="1:3" ht="14.25">
      <c r="A25" s="3262"/>
      <c r="B25" s="3266"/>
      <c r="C25" s="1170" t="s">
        <v>836</v>
      </c>
    </row>
    <row r="26" spans="1:3" ht="14.25">
      <c r="A26" s="3262"/>
      <c r="B26" s="3266"/>
      <c r="C26" s="1170" t="s">
        <v>837</v>
      </c>
    </row>
    <row r="27" spans="1:3" ht="14.25">
      <c r="A27" s="3262"/>
      <c r="B27" s="3266"/>
      <c r="C27" s="1170" t="s">
        <v>838</v>
      </c>
    </row>
    <row r="28" spans="1:3" ht="14.25">
      <c r="A28" s="3262"/>
      <c r="B28" s="3266"/>
      <c r="C28" s="1170" t="s">
        <v>839</v>
      </c>
    </row>
    <row r="29" spans="1:3" ht="14.25">
      <c r="A29" s="3262"/>
      <c r="B29" s="3266"/>
      <c r="C29" s="1170" t="s">
        <v>840</v>
      </c>
    </row>
    <row r="30" spans="1:3" ht="14.25">
      <c r="A30" s="3262"/>
      <c r="B30" s="3266"/>
      <c r="C30" s="1170" t="s">
        <v>841</v>
      </c>
    </row>
    <row r="31" spans="1:3" ht="14.25">
      <c r="A31" s="3262"/>
      <c r="B31" s="3266"/>
      <c r="C31" s="1170" t="s">
        <v>842</v>
      </c>
    </row>
    <row r="32" spans="1:3" ht="14.25">
      <c r="A32" s="3262"/>
      <c r="B32" s="3266"/>
      <c r="C32" s="1170" t="s">
        <v>1644</v>
      </c>
    </row>
    <row r="33" spans="1:3" ht="14.25">
      <c r="A33" s="3262"/>
      <c r="B33" s="3256" t="s">
        <v>1650</v>
      </c>
      <c r="C33" s="1170" t="s">
        <v>1645</v>
      </c>
    </row>
    <row r="34" spans="1:3" ht="14.25">
      <c r="A34" s="3262"/>
      <c r="B34" s="3257"/>
      <c r="C34" s="1175" t="s">
        <v>1646</v>
      </c>
    </row>
    <row r="35" spans="1:3" ht="14.25">
      <c r="A35" s="3262"/>
      <c r="B35" s="3257"/>
      <c r="C35" s="1176" t="s">
        <v>1647</v>
      </c>
    </row>
    <row r="36" spans="1:3" ht="14.25">
      <c r="A36" s="3262"/>
      <c r="B36" s="3257"/>
      <c r="C36" s="1176" t="s">
        <v>1648</v>
      </c>
    </row>
    <row r="37" spans="1:3" ht="14.25">
      <c r="A37" s="3262"/>
      <c r="B37" s="3258"/>
      <c r="C37" s="1177" t="s">
        <v>1649</v>
      </c>
    </row>
    <row r="38" spans="1:3">
      <c r="A38" s="1171" t="s">
        <v>843</v>
      </c>
    </row>
    <row r="41" spans="1:3">
      <c r="A41" s="1171" t="s">
        <v>68</v>
      </c>
    </row>
    <row r="42" spans="1:3" ht="14.25">
      <c r="A42" s="1172" t="s">
        <v>851</v>
      </c>
    </row>
    <row r="43" spans="1:3" ht="14.25">
      <c r="A43" s="1173" t="s">
        <v>69</v>
      </c>
    </row>
    <row r="44" spans="1:3" ht="14.25">
      <c r="A44" s="1172" t="s">
        <v>850</v>
      </c>
    </row>
    <row r="45" spans="1:3" ht="14.25">
      <c r="A45" s="1174" t="s">
        <v>852</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1905</v>
      </c>
      <c r="B2" s="3120">
        <f ca="1">TODAY()</f>
        <v>44010</v>
      </c>
      <c r="C2" s="3121" t="s">
        <v>1906</v>
      </c>
      <c r="D2" s="3121"/>
    </row>
    <row r="3" spans="1:6" ht="20.25" customHeight="1">
      <c r="A3" s="3123" t="s">
        <v>1907</v>
      </c>
      <c r="B3" s="3124" t="s">
        <v>1908</v>
      </c>
      <c r="C3" s="3124" t="s">
        <v>1909</v>
      </c>
      <c r="D3" s="3125" t="s">
        <v>1910</v>
      </c>
      <c r="E3" s="3124" t="s">
        <v>1911</v>
      </c>
      <c r="F3" s="3124" t="s">
        <v>1909</v>
      </c>
    </row>
    <row r="4" spans="1:6" ht="20.25" customHeight="1">
      <c r="A4" s="3124" t="s">
        <v>1912</v>
      </c>
      <c r="B4" s="3124">
        <f ca="1">IF(C4&lt;B2,"已过期",1119970066)</f>
        <v>1119970066</v>
      </c>
      <c r="C4" s="3126">
        <v>44876</v>
      </c>
      <c r="D4" s="3124" t="s">
        <v>1912</v>
      </c>
      <c r="E4" s="3124">
        <f ca="1">IF(F4&lt;B2,"已过期",96010014)</f>
        <v>96010014</v>
      </c>
      <c r="F4" s="3127">
        <v>47118</v>
      </c>
    </row>
    <row r="5" spans="1:6" ht="20.25" customHeight="1">
      <c r="A5" s="3124"/>
      <c r="B5" s="3124"/>
      <c r="C5" s="3126"/>
      <c r="D5" s="3124"/>
      <c r="E5" s="3124"/>
      <c r="F5" s="3127"/>
    </row>
    <row r="6" spans="1:6" ht="20.25" customHeight="1">
      <c r="A6" s="3124" t="s">
        <v>1913</v>
      </c>
      <c r="B6" s="3124">
        <f ca="1">IF(C6&lt;B2,"已过期",1119970111)</f>
        <v>1119970111</v>
      </c>
      <c r="C6" s="3126">
        <v>44876</v>
      </c>
      <c r="D6" s="3124" t="s">
        <v>1913</v>
      </c>
      <c r="E6" s="3124">
        <f ca="1">IF(F6&lt;B2,"已过期",94010078)</f>
        <v>94010078</v>
      </c>
      <c r="F6" s="3127">
        <v>46387</v>
      </c>
    </row>
    <row r="7" spans="1:6" ht="20.25" customHeight="1">
      <c r="A7" s="3124" t="s">
        <v>1914</v>
      </c>
      <c r="B7" s="3124">
        <f ca="1">IF(C7&lt;B2,"已过期",1120050019)</f>
        <v>1120050019</v>
      </c>
      <c r="C7" s="3126">
        <v>44395</v>
      </c>
      <c r="D7" s="3124" t="s">
        <v>1914</v>
      </c>
      <c r="E7" s="3124">
        <f ca="1">IF(F7&lt;B2,"已过期",2002110030)</f>
        <v>2002110030</v>
      </c>
      <c r="F7" s="3127">
        <v>46387</v>
      </c>
    </row>
    <row r="8" spans="1:6" ht="20.25" customHeight="1">
      <c r="A8" s="3124" t="s">
        <v>1915</v>
      </c>
      <c r="B8" s="3124">
        <f ca="1">IF(C8&lt;B2,"已过期",1120000080)</f>
        <v>1120000080</v>
      </c>
      <c r="C8" s="3126">
        <v>44876</v>
      </c>
      <c r="D8" s="3124" t="s">
        <v>1915</v>
      </c>
      <c r="E8" s="3124">
        <f ca="1">IF(F8&lt;B2,"已过期",2000110082)</f>
        <v>2000110082</v>
      </c>
      <c r="F8" s="3127">
        <v>46387</v>
      </c>
    </row>
    <row r="9" spans="1:6" ht="20.25" customHeight="1">
      <c r="A9" s="3124" t="s">
        <v>1916</v>
      </c>
      <c r="B9" s="3124">
        <f ca="1">IF(C9&lt;B2,"已过期",1419970001)</f>
        <v>1419970001</v>
      </c>
      <c r="C9" s="3126">
        <v>44899</v>
      </c>
      <c r="D9" s="3124" t="s">
        <v>1916</v>
      </c>
      <c r="E9" s="3124">
        <f ca="1">IF(F9&lt;B2,"已过期",2002110125)</f>
        <v>2002110125</v>
      </c>
      <c r="F9" s="3127">
        <v>47118</v>
      </c>
    </row>
    <row r="10" spans="1:6" ht="20.25" customHeight="1">
      <c r="A10" s="3124" t="s">
        <v>1917</v>
      </c>
      <c r="B10" s="3124">
        <f ca="1">IF(C10&lt;B2,"已过期",1120060040)</f>
        <v>1120060040</v>
      </c>
      <c r="C10" s="3126">
        <v>44554</v>
      </c>
      <c r="D10" s="3124" t="s">
        <v>1917</v>
      </c>
      <c r="E10" s="3124">
        <f ca="1">IF(F10&lt;B2,"已过期",2004110096)</f>
        <v>2004110096</v>
      </c>
      <c r="F10" s="3127">
        <v>47118</v>
      </c>
    </row>
    <row r="11" spans="1:6" ht="20.25" customHeight="1">
      <c r="A11" s="3124" t="s">
        <v>1918</v>
      </c>
      <c r="B11" s="3124">
        <f ca="1">IF(C11&lt;B2,"已过期",1120100036)</f>
        <v>1120100036</v>
      </c>
      <c r="C11" s="3126">
        <v>44675</v>
      </c>
      <c r="D11" s="3124" t="s">
        <v>1918</v>
      </c>
      <c r="E11" s="3124">
        <f ca="1">IF(F11&lt;B2,"已过期",2010110070)</f>
        <v>2010110070</v>
      </c>
      <c r="F11" s="3127">
        <v>47907</v>
      </c>
    </row>
    <row r="12" spans="1:6" ht="20.25" customHeight="1">
      <c r="A12" s="3124"/>
      <c r="B12" s="3124"/>
      <c r="C12" s="3126"/>
      <c r="D12" s="3124"/>
      <c r="E12" s="3124"/>
      <c r="F12" s="3127"/>
    </row>
    <row r="13" spans="1:6" ht="20.25" customHeight="1">
      <c r="A13" s="3124" t="s">
        <v>1919</v>
      </c>
      <c r="B13" s="3124">
        <f ca="1">IF(C13&lt;B2,"已过期",1120070131)</f>
        <v>1120070131</v>
      </c>
      <c r="C13" s="3126">
        <v>44849</v>
      </c>
      <c r="D13" s="3124" t="s">
        <v>1919</v>
      </c>
      <c r="E13" s="3124">
        <f ca="1">IF(F13&lt;B2,"已过期",2014110011)</f>
        <v>2014110011</v>
      </c>
      <c r="F13" s="3127">
        <v>49302</v>
      </c>
    </row>
    <row r="14" spans="1:6" ht="20.25" customHeight="1">
      <c r="A14" s="3124" t="s">
        <v>2974</v>
      </c>
      <c r="B14" s="3124">
        <f ca="1">IF(C14&lt;B2,"已过期",1120040230)</f>
        <v>1120040230</v>
      </c>
      <c r="C14" s="3128">
        <v>44864</v>
      </c>
      <c r="D14" s="3129" t="s">
        <v>2975</v>
      </c>
      <c r="E14" s="3124">
        <f ca="1">IF(F14&lt;B2,"已过期",98030020)</f>
        <v>98030020</v>
      </c>
      <c r="F14" s="3127">
        <v>47118</v>
      </c>
    </row>
    <row r="15" spans="1:6" ht="20.25" customHeight="1">
      <c r="A15" s="3124"/>
      <c r="B15" s="3124"/>
      <c r="C15" s="3128"/>
      <c r="D15" s="3124"/>
      <c r="E15" s="3124"/>
      <c r="F15" s="3130"/>
    </row>
    <row r="16" spans="1:6" ht="20.25" customHeight="1">
      <c r="A16" s="3124"/>
      <c r="B16" s="3124"/>
      <c r="C16" s="3126"/>
      <c r="D16" s="3124"/>
      <c r="E16" s="3124"/>
      <c r="F16" s="3127"/>
    </row>
    <row r="17" spans="1:7" ht="20.25" customHeight="1">
      <c r="A17" s="3124"/>
      <c r="B17" s="3124"/>
      <c r="C17" s="3126"/>
      <c r="D17" s="3129"/>
      <c r="E17" s="3124"/>
      <c r="F17" s="3127"/>
    </row>
    <row r="18" spans="1:7" ht="20.25" customHeight="1">
      <c r="A18" s="3124" t="s">
        <v>2987</v>
      </c>
      <c r="B18" s="3124">
        <v>1120190079</v>
      </c>
      <c r="C18" s="3126">
        <v>44826</v>
      </c>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1920</v>
      </c>
      <c r="E21" s="3124">
        <f ca="1">IF(F21&lt;B2,"已过期",2011110090)</f>
        <v>2011110090</v>
      </c>
      <c r="F21" s="3127">
        <v>48302</v>
      </c>
    </row>
    <row r="22" spans="1:7" ht="20.25" customHeight="1">
      <c r="A22" s="3124" t="s">
        <v>1921</v>
      </c>
      <c r="B22" s="3124">
        <f ca="1">IF(C22&lt;B2,"已过期",1120020033)</f>
        <v>1120020033</v>
      </c>
      <c r="C22" s="3126">
        <v>44339</v>
      </c>
      <c r="D22" s="3124" t="s">
        <v>1921</v>
      </c>
      <c r="E22" s="3124">
        <f ca="1">IF(F22&lt;B2,"已过期",2000110137)</f>
        <v>2000110137</v>
      </c>
      <c r="F22" s="3127">
        <v>46387</v>
      </c>
    </row>
    <row r="23" spans="1:7" ht="20.25" customHeight="1">
      <c r="A23" s="3124" t="s">
        <v>2989</v>
      </c>
      <c r="B23" s="3124">
        <v>1119980106</v>
      </c>
      <c r="C23" s="3126">
        <v>44969</v>
      </c>
      <c r="D23" s="3124"/>
      <c r="E23" s="3124"/>
      <c r="F23" s="3124"/>
    </row>
    <row r="24" spans="1:7" s="3132" customFormat="1" ht="20.25" customHeight="1">
      <c r="A24" s="3123" t="s">
        <v>2049</v>
      </c>
      <c r="B24" s="3123" t="s">
        <v>2049</v>
      </c>
      <c r="C24" s="3126"/>
      <c r="D24" s="3131" t="s">
        <v>2049</v>
      </c>
      <c r="E24" s="3123" t="s">
        <v>2049</v>
      </c>
      <c r="F24" s="3130"/>
    </row>
    <row r="25" spans="1:7" ht="20.25" customHeight="1">
      <c r="A25" s="3267" t="s">
        <v>1922</v>
      </c>
      <c r="B25" s="3267"/>
      <c r="C25" s="3267"/>
      <c r="D25" s="3267"/>
      <c r="E25" s="3267"/>
      <c r="F25" s="3267"/>
      <c r="G25" s="3267"/>
    </row>
    <row r="26" spans="1:7" ht="20.25" customHeight="1">
      <c r="A26" s="3268" t="s">
        <v>1923</v>
      </c>
      <c r="B26" s="3268"/>
      <c r="C26" s="3268"/>
      <c r="D26" s="3268" t="s">
        <v>1924</v>
      </c>
      <c r="E26" s="3268"/>
      <c r="F26" s="3268"/>
    </row>
    <row r="27" spans="1:7" s="3119" customFormat="1" ht="20.25" customHeight="1">
      <c r="A27" s="3133" t="s">
        <v>1925</v>
      </c>
      <c r="B27" s="3134" t="s">
        <v>1926</v>
      </c>
      <c r="C27" s="3134" t="s">
        <v>1927</v>
      </c>
      <c r="D27" s="3124" t="s">
        <v>1925</v>
      </c>
      <c r="E27" s="3134" t="s">
        <v>1926</v>
      </c>
      <c r="F27" s="3134" t="s">
        <v>1927</v>
      </c>
    </row>
    <row r="28" spans="1:7" s="3119" customFormat="1" ht="20.25" customHeight="1">
      <c r="A28" s="3135" t="s">
        <v>1928</v>
      </c>
      <c r="B28" s="3135" t="s">
        <v>1929</v>
      </c>
      <c r="C28" s="3127">
        <v>44820</v>
      </c>
      <c r="D28" s="3135" t="s">
        <v>1930</v>
      </c>
      <c r="E28" s="3135" t="s">
        <v>1931</v>
      </c>
      <c r="F28" s="3136">
        <v>44377</v>
      </c>
    </row>
    <row r="29" spans="1:7" s="3119" customFormat="1" ht="20.25" customHeight="1">
      <c r="A29" s="3135"/>
      <c r="B29" s="3135"/>
      <c r="C29" s="3137"/>
      <c r="D29" s="3135" t="s">
        <v>1932</v>
      </c>
      <c r="E29" s="3135" t="s">
        <v>2988</v>
      </c>
      <c r="F29" s="3136">
        <v>44012</v>
      </c>
    </row>
    <row r="30" spans="1:7" ht="20.25" customHeight="1">
      <c r="C30" s="3138"/>
      <c r="D30" s="3138"/>
    </row>
  </sheetData>
  <sheetProtection sheet="1" objects="1" scenarios="1"/>
  <mergeCells count="3">
    <mergeCell ref="A25:G25"/>
    <mergeCell ref="A26:C26"/>
    <mergeCell ref="D26:F26"/>
  </mergeCells>
  <phoneticPr fontId="4"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854</v>
      </c>
      <c r="B1" s="5" t="s">
        <v>132</v>
      </c>
      <c r="C1" s="1535"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2540</v>
      </c>
      <c r="R1" s="2545" t="s">
        <v>2534</v>
      </c>
      <c r="S1" s="6" t="s">
        <v>146</v>
      </c>
      <c r="T1" s="7" t="s">
        <v>147</v>
      </c>
      <c r="U1" s="6" t="s">
        <v>148</v>
      </c>
      <c r="V1" s="6" t="s">
        <v>149</v>
      </c>
      <c r="W1" s="1002" t="s">
        <v>872</v>
      </c>
    </row>
    <row r="2" spans="1:23">
      <c r="A2" s="8" t="s">
        <v>73</v>
      </c>
      <c r="B2" s="8" t="s">
        <v>150</v>
      </c>
      <c r="C2" s="1536" t="s">
        <v>1707</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2535</v>
      </c>
      <c r="S2" s="9" t="s">
        <v>75</v>
      </c>
      <c r="T2" s="9" t="s">
        <v>76</v>
      </c>
      <c r="U2" s="9" t="s">
        <v>75</v>
      </c>
      <c r="V2" s="9" t="s">
        <v>77</v>
      </c>
      <c r="W2" s="9" t="s">
        <v>873</v>
      </c>
    </row>
    <row r="3" spans="1:23">
      <c r="A3" s="8" t="s">
        <v>78</v>
      </c>
      <c r="B3" s="10" t="s">
        <v>151</v>
      </c>
      <c r="C3" s="1537" t="s">
        <v>1708</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2536</v>
      </c>
      <c r="S3" s="9" t="s">
        <v>84</v>
      </c>
      <c r="T3" s="9" t="s">
        <v>85</v>
      </c>
      <c r="U3" s="9" t="s">
        <v>84</v>
      </c>
      <c r="V3" s="9" t="s">
        <v>86</v>
      </c>
      <c r="W3" s="9" t="s">
        <v>874</v>
      </c>
    </row>
    <row r="4" spans="1:23">
      <c r="A4" s="8" t="s">
        <v>87</v>
      </c>
      <c r="B4" s="8" t="s">
        <v>152</v>
      </c>
      <c r="C4" s="1536" t="s">
        <v>1709</v>
      </c>
      <c r="D4" s="9" t="s">
        <v>1990</v>
      </c>
      <c r="E4" s="9" t="s">
        <v>88</v>
      </c>
      <c r="F4" s="9" t="s">
        <v>89</v>
      </c>
      <c r="G4" s="9">
        <v>70</v>
      </c>
      <c r="H4" s="9" t="s">
        <v>90</v>
      </c>
      <c r="I4" s="9" t="s">
        <v>91</v>
      </c>
      <c r="K4" s="9" t="s">
        <v>92</v>
      </c>
      <c r="L4" s="9" t="s">
        <v>92</v>
      </c>
      <c r="M4" s="9" t="s">
        <v>92</v>
      </c>
      <c r="N4" s="9" t="s">
        <v>92</v>
      </c>
      <c r="O4" s="9" t="s">
        <v>92</v>
      </c>
      <c r="P4" s="1004" t="s">
        <v>760</v>
      </c>
      <c r="Q4" s="9" t="s">
        <v>92</v>
      </c>
      <c r="R4" s="1004" t="s">
        <v>2537</v>
      </c>
      <c r="S4" s="9" t="s">
        <v>92</v>
      </c>
      <c r="T4" s="9" t="s">
        <v>93</v>
      </c>
      <c r="U4" s="9" t="s">
        <v>92</v>
      </c>
      <c r="W4" s="9" t="s">
        <v>875</v>
      </c>
    </row>
    <row r="5" spans="1:23">
      <c r="A5" s="8" t="s">
        <v>94</v>
      </c>
      <c r="B5" s="8" t="s">
        <v>153</v>
      </c>
      <c r="C5" s="1536" t="s">
        <v>1710</v>
      </c>
      <c r="F5" s="9" t="s">
        <v>95</v>
      </c>
      <c r="H5" s="9" t="s">
        <v>70</v>
      </c>
      <c r="I5" s="9" t="s">
        <v>96</v>
      </c>
      <c r="K5" s="9" t="s">
        <v>97</v>
      </c>
      <c r="L5" s="9" t="s">
        <v>97</v>
      </c>
      <c r="M5" s="9" t="s">
        <v>97</v>
      </c>
      <c r="N5" s="9" t="s">
        <v>97</v>
      </c>
      <c r="O5" s="9" t="s">
        <v>97</v>
      </c>
      <c r="P5" s="1004" t="s">
        <v>546</v>
      </c>
      <c r="Q5" s="9" t="s">
        <v>97</v>
      </c>
      <c r="R5" s="1004" t="s">
        <v>2538</v>
      </c>
      <c r="S5" s="9" t="s">
        <v>97</v>
      </c>
      <c r="T5" s="9" t="s">
        <v>98</v>
      </c>
      <c r="U5" s="9" t="s">
        <v>97</v>
      </c>
      <c r="W5" s="9" t="s">
        <v>876</v>
      </c>
    </row>
    <row r="6" spans="1:23">
      <c r="A6" s="8" t="s">
        <v>99</v>
      </c>
      <c r="B6" s="1143" t="s">
        <v>1638</v>
      </c>
      <c r="C6" s="1538" t="s">
        <v>1711</v>
      </c>
      <c r="F6" s="9" t="s">
        <v>71</v>
      </c>
      <c r="H6" s="9" t="s">
        <v>72</v>
      </c>
      <c r="I6" s="9" t="s">
        <v>100</v>
      </c>
      <c r="K6" s="9" t="s">
        <v>101</v>
      </c>
      <c r="L6" s="9" t="s">
        <v>101</v>
      </c>
      <c r="M6" s="9" t="s">
        <v>101</v>
      </c>
      <c r="N6" s="9" t="s">
        <v>101</v>
      </c>
      <c r="O6" s="9" t="s">
        <v>101</v>
      </c>
      <c r="P6" s="1004" t="s">
        <v>879</v>
      </c>
      <c r="Q6" s="9" t="s">
        <v>101</v>
      </c>
      <c r="R6" s="1004" t="s">
        <v>2539</v>
      </c>
      <c r="S6" s="9" t="s">
        <v>101</v>
      </c>
      <c r="T6" s="9"/>
      <c r="U6" s="9" t="s">
        <v>101</v>
      </c>
      <c r="W6" s="9" t="s">
        <v>877</v>
      </c>
    </row>
    <row r="7" spans="1:23">
      <c r="A7" s="8" t="s">
        <v>102</v>
      </c>
      <c r="B7" s="8" t="s">
        <v>103</v>
      </c>
      <c r="C7" s="1536" t="s">
        <v>1712</v>
      </c>
      <c r="F7" s="9" t="s">
        <v>154</v>
      </c>
      <c r="H7" s="9" t="s">
        <v>104</v>
      </c>
      <c r="I7" s="9" t="s">
        <v>105</v>
      </c>
    </row>
    <row r="8" spans="1:23">
      <c r="A8" s="8" t="s">
        <v>106</v>
      </c>
      <c r="B8" s="8" t="s">
        <v>107</v>
      </c>
      <c r="C8" s="1536" t="s">
        <v>1713</v>
      </c>
      <c r="F8" s="9" t="s">
        <v>155</v>
      </c>
      <c r="H8" s="9"/>
      <c r="I8" s="9" t="s">
        <v>108</v>
      </c>
    </row>
    <row r="9" spans="1:23">
      <c r="A9" s="8" t="s">
        <v>109</v>
      </c>
      <c r="B9" s="8" t="s">
        <v>156</v>
      </c>
      <c r="C9" s="1536" t="s">
        <v>1714</v>
      </c>
      <c r="F9" s="9" t="s">
        <v>110</v>
      </c>
      <c r="H9" s="9"/>
    </row>
    <row r="10" spans="1:23">
      <c r="A10" s="8" t="s">
        <v>111</v>
      </c>
      <c r="B10" s="8" t="s">
        <v>157</v>
      </c>
      <c r="C10" s="1536" t="s">
        <v>1715</v>
      </c>
      <c r="F10" s="9" t="s">
        <v>6</v>
      </c>
    </row>
    <row r="11" spans="1:23">
      <c r="A11" s="8" t="s">
        <v>112</v>
      </c>
      <c r="B11" s="8" t="s">
        <v>158</v>
      </c>
      <c r="C11" s="1536" t="s">
        <v>1716</v>
      </c>
    </row>
    <row r="12" spans="1:23">
      <c r="A12" s="8" t="s">
        <v>113</v>
      </c>
      <c r="B12" s="8" t="s">
        <v>159</v>
      </c>
      <c r="C12" s="1536" t="s">
        <v>1717</v>
      </c>
    </row>
    <row r="13" spans="1:23">
      <c r="A13" s="8" t="s">
        <v>114</v>
      </c>
      <c r="B13" s="8" t="s">
        <v>160</v>
      </c>
      <c r="C13" s="1536" t="s">
        <v>1718</v>
      </c>
    </row>
    <row r="14" spans="1:23">
      <c r="A14" s="8" t="s">
        <v>115</v>
      </c>
      <c r="B14" s="8" t="s">
        <v>161</v>
      </c>
      <c r="C14" s="1539" t="s">
        <v>1894</v>
      </c>
    </row>
    <row r="15" spans="1:23">
      <c r="A15" s="8" t="s">
        <v>116</v>
      </c>
      <c r="B15" s="8" t="s">
        <v>1679</v>
      </c>
      <c r="C15" s="1539"/>
    </row>
    <row r="16" spans="1:23">
      <c r="A16" s="8" t="s">
        <v>117</v>
      </c>
      <c r="B16" s="8" t="s">
        <v>1680</v>
      </c>
      <c r="C16" s="1539"/>
    </row>
    <row r="17" spans="1:3">
      <c r="A17" s="8" t="s">
        <v>118</v>
      </c>
      <c r="B17" s="8" t="s">
        <v>1681</v>
      </c>
      <c r="C17" s="1539"/>
    </row>
    <row r="18" spans="1:3">
      <c r="A18" s="8" t="s">
        <v>119</v>
      </c>
      <c r="B18" s="3057" t="s">
        <v>2948</v>
      </c>
      <c r="C18" s="1539"/>
    </row>
    <row r="19" spans="1:3">
      <c r="A19" s="8" t="s">
        <v>120</v>
      </c>
      <c r="B19" s="3057" t="s">
        <v>2956</v>
      </c>
      <c r="C19" s="1539"/>
    </row>
    <row r="20" spans="1:3">
      <c r="A20" s="8" t="s">
        <v>121</v>
      </c>
      <c r="B20" s="8" t="s">
        <v>1639</v>
      </c>
      <c r="C20" s="1539"/>
    </row>
    <row r="21" spans="1:3">
      <c r="A21" s="8" t="s">
        <v>122</v>
      </c>
      <c r="B21" s="8" t="s">
        <v>1639</v>
      </c>
      <c r="C21" s="1539"/>
    </row>
    <row r="22" spans="1:3">
      <c r="A22" s="8" t="s">
        <v>123</v>
      </c>
      <c r="B22" s="8" t="s">
        <v>1639</v>
      </c>
      <c r="C22" s="1539"/>
    </row>
    <row r="23" spans="1:3">
      <c r="A23" s="8" t="s">
        <v>124</v>
      </c>
      <c r="B23" s="8" t="s">
        <v>1639</v>
      </c>
      <c r="C23" s="1539"/>
    </row>
    <row r="24" spans="1:3">
      <c r="A24" s="8" t="s">
        <v>12</v>
      </c>
      <c r="B24" s="8" t="s">
        <v>1639</v>
      </c>
      <c r="C24" s="1539"/>
    </row>
    <row r="25" spans="1:3">
      <c r="A25" s="8" t="s">
        <v>125</v>
      </c>
      <c r="B25" s="8" t="s">
        <v>1639</v>
      </c>
      <c r="C25" s="1539"/>
    </row>
    <row r="26" spans="1:3">
      <c r="A26" s="8" t="s">
        <v>126</v>
      </c>
      <c r="B26" s="8" t="s">
        <v>1639</v>
      </c>
      <c r="C26" s="1539"/>
    </row>
    <row r="27" spans="1:3">
      <c r="A27" s="8" t="s">
        <v>1639</v>
      </c>
      <c r="B27" s="8" t="s">
        <v>1639</v>
      </c>
      <c r="C27" s="1539"/>
    </row>
    <row r="28" spans="1:3">
      <c r="A28" s="8" t="s">
        <v>1639</v>
      </c>
      <c r="B28" s="8" t="s">
        <v>1639</v>
      </c>
      <c r="C28" s="1539"/>
    </row>
    <row r="29" spans="1:3">
      <c r="A29" s="8" t="s">
        <v>1639</v>
      </c>
      <c r="B29" s="8" t="s">
        <v>1639</v>
      </c>
      <c r="C29" s="1539"/>
    </row>
    <row r="30" spans="1:3">
      <c r="A30" s="8" t="s">
        <v>1639</v>
      </c>
      <c r="B30" s="8" t="s">
        <v>1639</v>
      </c>
      <c r="C30" s="1539"/>
    </row>
    <row r="31" spans="1:3">
      <c r="A31" s="8" t="s">
        <v>1639</v>
      </c>
      <c r="B31" s="8" t="s">
        <v>1639</v>
      </c>
      <c r="C31" s="1539"/>
    </row>
    <row r="32" spans="1:3">
      <c r="A32" s="8" t="s">
        <v>1639</v>
      </c>
      <c r="B32" s="8" t="s">
        <v>1639</v>
      </c>
      <c r="C32" s="1539"/>
    </row>
    <row r="33" spans="1:3">
      <c r="A33" s="8" t="s">
        <v>1639</v>
      </c>
      <c r="B33" s="8" t="s">
        <v>1639</v>
      </c>
      <c r="C33" s="1539"/>
    </row>
    <row r="34" spans="1:3">
      <c r="A34" s="8" t="s">
        <v>1639</v>
      </c>
      <c r="B34" s="8" t="s">
        <v>1639</v>
      </c>
      <c r="C34" s="1539"/>
    </row>
    <row r="35" spans="1:3">
      <c r="A35" s="8" t="s">
        <v>1639</v>
      </c>
      <c r="B35" s="8" t="s">
        <v>1639</v>
      </c>
      <c r="C35" s="1539"/>
    </row>
    <row r="36" spans="1:3">
      <c r="A36" s="8" t="s">
        <v>1639</v>
      </c>
      <c r="B36" s="8" t="s">
        <v>1639</v>
      </c>
      <c r="C36" s="1539"/>
    </row>
    <row r="37" spans="1:3">
      <c r="A37" s="8" t="s">
        <v>1639</v>
      </c>
      <c r="B37" s="8" t="s">
        <v>1639</v>
      </c>
      <c r="C37" s="1539"/>
    </row>
    <row r="38" spans="1:3">
      <c r="A38" s="8" t="s">
        <v>1639</v>
      </c>
      <c r="B38" s="8" t="s">
        <v>1639</v>
      </c>
      <c r="C38" s="1539"/>
    </row>
    <row r="39" spans="1:3">
      <c r="A39" s="8" t="s">
        <v>1639</v>
      </c>
      <c r="B39" s="8" t="s">
        <v>1639</v>
      </c>
      <c r="C39" s="1539"/>
    </row>
    <row r="40" spans="1:3">
      <c r="A40" s="8" t="s">
        <v>1639</v>
      </c>
      <c r="B40" s="8" t="s">
        <v>1639</v>
      </c>
      <c r="C40" s="1539"/>
    </row>
    <row r="41" spans="1:3">
      <c r="A41" s="8" t="s">
        <v>1639</v>
      </c>
      <c r="B41" s="8" t="s">
        <v>1639</v>
      </c>
      <c r="C41" s="1539"/>
    </row>
    <row r="42" spans="1:3">
      <c r="A42" s="8" t="s">
        <v>1639</v>
      </c>
      <c r="B42" s="8" t="s">
        <v>1639</v>
      </c>
      <c r="C42" s="1539"/>
    </row>
    <row r="43" spans="1:3">
      <c r="A43" s="8" t="s">
        <v>1639</v>
      </c>
      <c r="B43" s="8" t="s">
        <v>1639</v>
      </c>
      <c r="C43" s="1539"/>
    </row>
    <row r="44" spans="1:3">
      <c r="A44" s="8" t="s">
        <v>1639</v>
      </c>
      <c r="B44" s="8" t="s">
        <v>1639</v>
      </c>
      <c r="C44" s="1539"/>
    </row>
    <row r="45" spans="1:3">
      <c r="A45" s="8" t="s">
        <v>1639</v>
      </c>
      <c r="B45" s="8" t="s">
        <v>1639</v>
      </c>
      <c r="C45" s="1539"/>
    </row>
    <row r="46" spans="1:3">
      <c r="A46" s="8" t="s">
        <v>1639</v>
      </c>
      <c r="B46" s="8" t="s">
        <v>1639</v>
      </c>
      <c r="C46" s="1539"/>
    </row>
    <row r="47" spans="1:3">
      <c r="A47" s="8" t="s">
        <v>1639</v>
      </c>
      <c r="B47" s="8" t="s">
        <v>1639</v>
      </c>
      <c r="C47" s="1539"/>
    </row>
    <row r="48" spans="1:3">
      <c r="A48" s="8" t="s">
        <v>1639</v>
      </c>
      <c r="B48" s="8" t="s">
        <v>1639</v>
      </c>
      <c r="C48" s="1539"/>
    </row>
    <row r="49" spans="1:5">
      <c r="A49" s="8" t="s">
        <v>1639</v>
      </c>
      <c r="B49" s="8" t="s">
        <v>1639</v>
      </c>
      <c r="C49" s="1539"/>
    </row>
    <row r="50" spans="1:5">
      <c r="A50" s="8" t="s">
        <v>1639</v>
      </c>
      <c r="B50" s="8" t="s">
        <v>1639</v>
      </c>
      <c r="C50" s="1539"/>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1982</v>
      </c>
      <c r="B52" s="1752" t="s">
        <v>1983</v>
      </c>
      <c r="C52" s="1750" t="s">
        <v>1984</v>
      </c>
      <c r="D52" s="1750" t="s">
        <v>1985</v>
      </c>
      <c r="E52" s="1751"/>
    </row>
    <row r="53" spans="1:5">
      <c r="A53" s="3269" t="s">
        <v>1986</v>
      </c>
      <c r="B53" s="1750" t="s">
        <v>1992</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19日，在规划利用条件下、设定土地开发程度为红线外“七通”、宗地内场地，设定用途为，剩余土地使用年限为的出让国有建设用地使用权价格。</v>
      </c>
      <c r="D53" s="1751"/>
      <c r="E53" s="1751"/>
    </row>
    <row r="54" spans="1:5">
      <c r="A54" s="3269"/>
      <c r="B54" s="1750" t="s">
        <v>1993</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69"/>
      <c r="B55" s="1750" t="s">
        <v>1987</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69"/>
      <c r="B56" s="1750" t="s">
        <v>1988</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69"/>
      <c r="B57" s="1750" t="s">
        <v>1989</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2045</v>
      </c>
      <c r="B58" s="1750" t="s">
        <v>2046</v>
      </c>
      <c r="C58" s="11" t="s">
        <v>2047</v>
      </c>
      <c r="D58" s="1313" t="s">
        <v>2048</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vt:lpstr>
      <vt:lpstr>成本逼近法</vt:lpstr>
      <vt:lpstr>剩余法-待开发</vt:lpstr>
      <vt:lpstr>土地案例</vt:lpstr>
      <vt:lpstr>基准地价</vt:lpstr>
      <vt:lpstr>剩余法-现房</vt:lpstr>
      <vt:lpstr>比较法-住宅、综合</vt:lpstr>
      <vt:lpstr>比较法-工业</vt:lpstr>
      <vt:lpstr>修正</vt:lpstr>
      <vt:lpstr>区片价</vt:lpstr>
      <vt:lpstr>容积率修正</vt:lpstr>
      <vt:lpstr>因素修正幅度</vt:lpstr>
      <vt:lpstr>基准地价（汇总）</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收益还原法</vt:lpstr>
      <vt:lpstr>地价</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2020-06-28T01:31:09Z</dcterms:modified>
</cp:coreProperties>
</file>