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14" i="1" l="1"/>
  <c r="AY3" i="3"/>
  <c r="D14" i="9" l="1"/>
  <c r="U25" i="1"/>
  <c r="E13" i="78"/>
  <c r="F13" i="78"/>
  <c r="A3" i="3" l="1"/>
  <c r="J13" i="78"/>
  <c r="N6" i="1" l="1"/>
  <c r="Y6" i="1" s="1"/>
  <c r="AL13" i="3"/>
  <c r="G13" i="78"/>
  <c r="H13" i="78"/>
  <c r="K13" i="3"/>
  <c r="G19" i="6" s="1"/>
  <c r="T24" i="1" s="1"/>
  <c r="D13" i="78"/>
  <c r="I13" i="3" l="1"/>
  <c r="F19" i="6" s="1"/>
  <c r="T23" i="1" s="1"/>
  <c r="T25" i="1"/>
  <c r="U6" i="1"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6" i="71"/>
  <c r="AG6" i="71"/>
  <c r="AE6" i="71"/>
  <c r="AF6" i="71" s="1"/>
  <c r="AD6" i="71"/>
  <c r="Q6" i="71"/>
  <c r="P6" i="71"/>
  <c r="O6" i="71"/>
  <c r="N6" i="71"/>
  <c r="C32" i="77" l="1"/>
  <c r="C38" i="77" s="1"/>
  <c r="C39" i="77" s="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P22" i="71"/>
  <c r="O22" i="71"/>
  <c r="N22"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E109" i="9"/>
  <c r="A124" i="9"/>
  <c r="A10" i="52" s="1"/>
  <c r="B55" i="72" s="1"/>
  <c r="B44" i="72"/>
  <c r="B42" i="72"/>
  <c r="B69" i="72"/>
  <c r="B68" i="72"/>
  <c r="B63" i="72"/>
  <c r="B62" i="72"/>
  <c r="B60" i="72"/>
  <c r="B67" i="72"/>
  <c r="B10" i="72"/>
  <c r="C53" i="10"/>
  <c r="B51" i="10"/>
  <c r="B19" i="72"/>
  <c r="A18" i="51"/>
  <c r="B13" i="72" s="1"/>
  <c r="B49" i="48"/>
  <c r="B5" i="72" s="1"/>
  <c r="I19" i="43"/>
  <c r="D86" i="71"/>
  <c r="F85" i="71"/>
  <c r="F84" i="71" s="1"/>
  <c r="F83" i="71" s="1"/>
  <c r="E85" i="71"/>
  <c r="E84" i="71" s="1"/>
  <c r="E83" i="71" s="1"/>
  <c r="C85" i="7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B60" i="7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N54" i="71"/>
  <c r="B55" i="71" s="1"/>
  <c r="B56" i="71" s="1"/>
  <c r="B57" i="71" s="1"/>
  <c r="S57" i="71" s="1"/>
  <c r="D54" i="71"/>
  <c r="Q53" i="71"/>
  <c r="P53" i="71"/>
  <c r="O53" i="71"/>
  <c r="N53" i="71"/>
  <c r="Q52" i="71"/>
  <c r="P52" i="71"/>
  <c r="O52" i="71"/>
  <c r="N52" i="71"/>
  <c r="Q51" i="71"/>
  <c r="P51" i="71"/>
  <c r="O51" i="71"/>
  <c r="C52" i="71" s="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P46" i="71"/>
  <c r="E47" i="71" s="1"/>
  <c r="E48" i="7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D39" i="71" s="1"/>
  <c r="N38" i="71"/>
  <c r="B39" i="71"/>
  <c r="B40" i="71" s="1"/>
  <c r="B41" i="71" s="1"/>
  <c r="S41" i="71" s="1"/>
  <c r="D38" i="71"/>
  <c r="Q37" i="71"/>
  <c r="P37" i="71"/>
  <c r="O37" i="71"/>
  <c r="N37" i="71"/>
  <c r="Q36" i="71"/>
  <c r="P36" i="71"/>
  <c r="AA36" i="71" s="1"/>
  <c r="O36" i="71"/>
  <c r="Y36" i="71" s="1"/>
  <c r="Z36" i="71" s="1"/>
  <c r="N36" i="71"/>
  <c r="Q35" i="71"/>
  <c r="AB35" i="71" s="1"/>
  <c r="P35" i="71"/>
  <c r="AA35" i="71" s="1"/>
  <c r="O35" i="71"/>
  <c r="Y35" i="71"/>
  <c r="Z35" i="71" s="1"/>
  <c r="N35" i="71"/>
  <c r="Q34" i="71"/>
  <c r="P34" i="71"/>
  <c r="O34" i="71"/>
  <c r="Y34" i="71" s="1"/>
  <c r="N34" i="71"/>
  <c r="B35" i="71" s="1"/>
  <c r="D34" i="71"/>
  <c r="Q33" i="71"/>
  <c r="P33" i="71"/>
  <c r="AA33" i="71" s="1"/>
  <c r="O33" i="71"/>
  <c r="Y33" i="71"/>
  <c r="Z33" i="71" s="1"/>
  <c r="N33" i="71"/>
  <c r="Q32" i="71"/>
  <c r="AB32" i="71" s="1"/>
  <c r="P32" i="71"/>
  <c r="O32" i="71"/>
  <c r="N32" i="71"/>
  <c r="Q31" i="71"/>
  <c r="P31" i="71"/>
  <c r="O31" i="71"/>
  <c r="N31" i="71"/>
  <c r="Q30" i="71"/>
  <c r="P30" i="71"/>
  <c r="O30" i="71"/>
  <c r="N30" i="71"/>
  <c r="D30" i="71"/>
  <c r="Q29" i="71"/>
  <c r="P29" i="71"/>
  <c r="O29" i="71"/>
  <c r="N29" i="71"/>
  <c r="Q28" i="71"/>
  <c r="P28" i="71"/>
  <c r="AA27" i="71" s="1"/>
  <c r="O28" i="71"/>
  <c r="N28" i="71"/>
  <c r="Q27" i="71"/>
  <c r="AB27" i="71" s="1"/>
  <c r="P27" i="71"/>
  <c r="O27" i="71"/>
  <c r="N27" i="71"/>
  <c r="X27" i="71" s="1"/>
  <c r="Q26" i="71"/>
  <c r="F27" i="71" s="1"/>
  <c r="P26" i="71"/>
  <c r="O26" i="71"/>
  <c r="N26" i="71"/>
  <c r="D26" i="71"/>
  <c r="O25" i="71"/>
  <c r="N25" i="71"/>
  <c r="B27" i="71"/>
  <c r="B28" i="71" s="1"/>
  <c r="B29" i="71" s="1"/>
  <c r="S29" i="71" s="1"/>
  <c r="B31" i="71"/>
  <c r="B32" i="71" s="1"/>
  <c r="B33" i="71" s="1"/>
  <c r="S33" i="71" s="1"/>
  <c r="X30" i="71"/>
  <c r="B36" i="71"/>
  <c r="X34" i="71"/>
  <c r="E35" i="71"/>
  <c r="AA34" i="71"/>
  <c r="E31" i="71"/>
  <c r="E32" i="71" s="1"/>
  <c r="E33" i="71" s="1"/>
  <c r="U33" i="71" s="1"/>
  <c r="C27" i="71"/>
  <c r="AB26" i="71"/>
  <c r="AA28" i="71"/>
  <c r="AA29" i="71"/>
  <c r="X31" i="71"/>
  <c r="X32" i="71"/>
  <c r="X33" i="71"/>
  <c r="C35" i="71"/>
  <c r="D35" i="71" s="1"/>
  <c r="Z34" i="71"/>
  <c r="X35" i="71"/>
  <c r="F48" i="71"/>
  <c r="F49" i="71" s="1"/>
  <c r="V49" i="71" s="1"/>
  <c r="Y22" i="71"/>
  <c r="Z22" i="71" s="1"/>
  <c r="Y24" i="71"/>
  <c r="Z24" i="71" s="1"/>
  <c r="B25" i="71"/>
  <c r="B24" i="71" s="1"/>
  <c r="B23" i="71" s="1"/>
  <c r="X23" i="71"/>
  <c r="X25" i="71"/>
  <c r="D27" i="71"/>
  <c r="C36" i="71"/>
  <c r="C40" i="71"/>
  <c r="C44" i="71"/>
  <c r="D44" i="71" s="1"/>
  <c r="C48" i="71"/>
  <c r="P25" i="71"/>
  <c r="E56" i="71"/>
  <c r="E57" i="71" s="1"/>
  <c r="U57" i="71" s="1"/>
  <c r="E60" i="71"/>
  <c r="E61" i="71" s="1"/>
  <c r="U61" i="71" s="1"/>
  <c r="Q62" i="71"/>
  <c r="U65" i="71"/>
  <c r="E64" i="71"/>
  <c r="Q25" i="71"/>
  <c r="D51" i="71"/>
  <c r="D55" i="71"/>
  <c r="D59" i="71"/>
  <c r="Q64" i="71"/>
  <c r="T65" i="71"/>
  <c r="O65" i="71"/>
  <c r="D65" i="71"/>
  <c r="C64" i="71"/>
  <c r="Q65" i="71"/>
  <c r="E68" i="71"/>
  <c r="E67" i="71" s="1"/>
  <c r="C72" i="71"/>
  <c r="D72" i="71" s="1"/>
  <c r="E72" i="71"/>
  <c r="E71" i="71" s="1"/>
  <c r="D73" i="71"/>
  <c r="E76" i="71"/>
  <c r="E75" i="71" s="1"/>
  <c r="C80" i="71"/>
  <c r="D80" i="71" s="1"/>
  <c r="S25" i="71"/>
  <c r="AB23" i="71"/>
  <c r="AB25" i="71"/>
  <c r="AA3" i="71"/>
  <c r="AA23" i="71"/>
  <c r="AA25" i="71"/>
  <c r="C63" i="71"/>
  <c r="D63" i="71" s="1"/>
  <c r="O64" i="71"/>
  <c r="D64" i="71"/>
  <c r="C79" i="71"/>
  <c r="D79" i="71" s="1"/>
  <c r="C71" i="71"/>
  <c r="D71" i="71" s="1"/>
  <c r="C57" i="71"/>
  <c r="T57" i="71" s="1"/>
  <c r="D56" i="71"/>
  <c r="C53" i="71"/>
  <c r="T53" i="71" s="1"/>
  <c r="D52" i="71"/>
  <c r="P64" i="71"/>
  <c r="E63" i="71"/>
  <c r="C49" i="71"/>
  <c r="T49" i="71" s="1"/>
  <c r="D48" i="71"/>
  <c r="C41" i="71"/>
  <c r="T41" i="71" s="1"/>
  <c r="D40" i="71"/>
  <c r="C37" i="71"/>
  <c r="T37" i="71" s="1"/>
  <c r="D36" i="71"/>
  <c r="P62" i="71"/>
  <c r="P63" i="71"/>
  <c r="O63" i="71"/>
  <c r="O62" i="71"/>
  <c r="D41"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S21" i="33" s="1"/>
  <c r="E83" i="21"/>
  <c r="F83" i="21" s="1"/>
  <c r="G83" i="21" s="1"/>
  <c r="S21" i="21"/>
  <c r="H1" i="69"/>
  <c r="AC25" i="40"/>
  <c r="W25" i="40"/>
  <c r="AB25" i="40"/>
  <c r="U25" i="40"/>
  <c r="U29" i="39"/>
  <c r="W29" i="39"/>
  <c r="W18" i="36"/>
  <c r="AB21" i="37"/>
  <c r="U21" i="37"/>
  <c r="S21" i="37"/>
  <c r="U21" i="34"/>
  <c r="AB21" i="33"/>
  <c r="AA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D7" i="1"/>
  <c r="D8" i="1"/>
  <c r="A7" i="1"/>
  <c r="B7" i="1" s="1"/>
  <c r="E7" i="1" s="1"/>
  <c r="A8" i="1"/>
  <c r="B8" i="1" s="1"/>
  <c r="E8" i="1" s="1"/>
  <c r="A9" i="1"/>
  <c r="A10" i="1"/>
  <c r="A11" i="1"/>
  <c r="B11" i="1" s="1"/>
  <c r="A12" i="1"/>
  <c r="A13" i="1"/>
  <c r="K13" i="1" s="1"/>
  <c r="M13" i="1" s="1"/>
  <c r="O13" i="1" s="1"/>
  <c r="P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E21" i="6"/>
  <c r="K8" i="1"/>
  <c r="M8" i="1" s="1"/>
  <c r="O8" i="1" s="1"/>
  <c r="P8" i="1" s="1"/>
  <c r="F23" i="15"/>
  <c r="D24" i="15"/>
  <c r="E22" i="6"/>
  <c r="E23" i="6"/>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C94"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c r="U9" i="36"/>
  <c r="W28" i="36"/>
  <c r="S30" i="36"/>
  <c r="AA31" i="36"/>
  <c r="AC31" i="36"/>
  <c r="W31" i="36"/>
  <c r="U31" i="36"/>
  <c r="J33" i="36"/>
  <c r="W33" i="36" s="1"/>
  <c r="H22" i="35"/>
  <c r="AB22" i="35" s="1"/>
  <c r="AC27" i="35"/>
  <c r="W28" i="35"/>
  <c r="U31" i="35"/>
  <c r="W22" i="35"/>
  <c r="S31" i="35"/>
  <c r="F36" i="34"/>
  <c r="J35"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30" i="21"/>
  <c r="W31" i="34"/>
  <c r="W13" i="36"/>
  <c r="W11" i="36"/>
  <c r="AB46" i="34"/>
  <c r="AA14" i="34"/>
  <c r="AB45" i="33"/>
  <c r="U31"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s="1"/>
  <c r="BQ503" i="3"/>
  <c r="BL503" i="3" s="1"/>
  <c r="AZ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F42" i="33"/>
  <c r="AA42" i="33"/>
  <c r="H28" i="34"/>
  <c r="AB28" i="34"/>
  <c r="F14" i="36"/>
  <c r="AA14" i="36"/>
  <c r="F22" i="36"/>
  <c r="S22" i="36"/>
  <c r="F26" i="36"/>
  <c r="S26" i="36"/>
  <c r="H27" i="34"/>
  <c r="AB27" i="34"/>
  <c r="H35" i="34"/>
  <c r="U35" i="34"/>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S28" i="31"/>
  <c r="S27" i="31"/>
  <c r="S26" i="31"/>
  <c r="U14" i="40"/>
  <c r="AC32" i="36"/>
  <c r="AC33" i="36"/>
  <c r="U35" i="35"/>
  <c r="AA12"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s="1"/>
  <c r="H31" i="37"/>
  <c r="U31" i="37" s="1"/>
  <c r="J15" i="37"/>
  <c r="W15" i="37" s="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A2" i="9"/>
  <c r="F59" i="43"/>
  <c r="H62" i="43" s="1"/>
  <c r="AZ20"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51" i="3"/>
  <c r="AZ55" i="3"/>
  <c r="AZ67" i="3"/>
  <c r="AZ71" i="3"/>
  <c r="AZ75" i="3"/>
  <c r="AZ79" i="3"/>
  <c r="AZ136" i="3"/>
  <c r="AZ144" i="3"/>
  <c r="AZ160" i="3"/>
  <c r="AZ168" i="3"/>
  <c r="AZ176" i="3"/>
  <c r="AZ192" i="3"/>
  <c r="AZ200" i="3"/>
  <c r="AZ89" i="3"/>
  <c r="AZ97"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G391" i="3"/>
  <c r="G394" i="3"/>
  <c r="AZ138" i="3"/>
  <c r="AZ142" i="3"/>
  <c r="AZ146" i="3"/>
  <c r="AZ150" i="3"/>
  <c r="AZ158" i="3"/>
  <c r="AZ162" i="3"/>
  <c r="AZ166" i="3"/>
  <c r="AZ174" i="3"/>
  <c r="AZ178" i="3"/>
  <c r="AZ182" i="3"/>
  <c r="AZ190" i="3"/>
  <c r="AZ194" i="3"/>
  <c r="AZ198" i="3"/>
  <c r="AZ500" i="3"/>
  <c r="BA16" i="3"/>
  <c r="AZ16" i="3" s="1"/>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AZ379" i="3"/>
  <c r="BL380" i="3"/>
  <c r="G381" i="3"/>
  <c r="BA383" i="3"/>
  <c r="AZ383" i="3"/>
  <c r="BL384" i="3"/>
  <c r="G385" i="3"/>
  <c r="BA387" i="3"/>
  <c r="AZ387" i="3"/>
  <c r="BL388" i="3"/>
  <c r="G389" i="3"/>
  <c r="BA391" i="3"/>
  <c r="AZ391" i="3"/>
  <c r="BL392" i="3"/>
  <c r="G393" i="3"/>
  <c r="AZ263" i="3"/>
  <c r="AZ279" i="3"/>
  <c r="AZ283" i="3"/>
  <c r="AZ291"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2" i="3"/>
  <c r="AZ356" i="3"/>
  <c r="AZ360" i="3"/>
  <c r="AZ364" i="3"/>
  <c r="AZ368" i="3"/>
  <c r="BA15" i="3"/>
  <c r="BR5" i="3"/>
  <c r="G28" i="6" s="1"/>
  <c r="G30" i="6" s="1"/>
  <c r="G31" i="6" s="1"/>
  <c r="AZ380" i="3"/>
  <c r="AZ384" i="3"/>
  <c r="AZ388" i="3"/>
  <c r="AZ392" i="3"/>
  <c r="AZ396" i="3"/>
  <c r="AZ394" i="3"/>
  <c r="AZ499" i="3"/>
  <c r="AZ509" i="3"/>
  <c r="G509" i="3"/>
  <c r="BL493" i="3"/>
  <c r="AZ493" i="3" s="1"/>
  <c r="AZ376" i="3"/>
  <c r="AZ390" i="3"/>
  <c r="AZ382" i="3"/>
  <c r="U36" i="40"/>
  <c r="F36" i="43"/>
  <c r="F81" i="43"/>
  <c r="H83" i="43"/>
  <c r="H113" i="43"/>
  <c r="F48" i="43"/>
  <c r="H52" i="43" s="1"/>
  <c r="F70" i="43"/>
  <c r="H73" i="43" s="1"/>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15" i="3"/>
  <c r="AZ227" i="3"/>
  <c r="AZ232" i="3"/>
  <c r="AZ243" i="3"/>
  <c r="AZ248" i="3"/>
  <c r="AZ259" i="3"/>
  <c r="AZ280" i="3"/>
  <c r="AZ288" i="3"/>
  <c r="AZ114" i="3"/>
  <c r="AZ133" i="3"/>
  <c r="AZ21" i="3"/>
  <c r="AZ42" i="3"/>
  <c r="AZ53" i="3"/>
  <c r="AZ58" i="3"/>
  <c r="AZ69" i="3"/>
  <c r="AZ77" i="3"/>
  <c r="AZ82" i="3"/>
  <c r="AZ86" i="3"/>
  <c r="AZ94"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G29" i="6"/>
  <c r="AC26" i="33"/>
  <c r="W26" i="33"/>
  <c r="W27" i="34"/>
  <c r="AC27" i="34"/>
  <c r="AB34" i="36"/>
  <c r="U34" i="36"/>
  <c r="AB33" i="36"/>
  <c r="U33" i="36"/>
  <c r="AC12" i="39"/>
  <c r="W12" i="39"/>
  <c r="AC39" i="40"/>
  <c r="W39" i="40"/>
  <c r="AZ401" i="3"/>
  <c r="AZ417" i="3"/>
  <c r="AZ433" i="3"/>
  <c r="AZ465" i="3"/>
  <c r="W12" i="33"/>
  <c r="AC12" i="33"/>
  <c r="AA32" i="36"/>
  <c r="S32" i="36"/>
  <c r="AZ408" i="3"/>
  <c r="AZ457" i="3"/>
  <c r="AZ473" i="3"/>
  <c r="AZ490" i="3"/>
  <c r="AA39" i="34"/>
  <c r="F28" i="6"/>
  <c r="BL14" i="3"/>
  <c r="U30" i="33"/>
  <c r="AC13" i="34"/>
  <c r="AA47" i="34"/>
  <c r="W28" i="37"/>
  <c r="S19" i="39"/>
  <c r="F12" i="33"/>
  <c r="H12" i="39"/>
  <c r="AB12" i="39" s="1"/>
  <c r="F39" i="40"/>
  <c r="BA14" i="3"/>
  <c r="AZ14" i="3" s="1"/>
  <c r="AZ213" i="3"/>
  <c r="AZ234" i="3"/>
  <c r="AZ250" i="3"/>
  <c r="AZ281" i="3"/>
  <c r="AZ286" i="3"/>
  <c r="AZ157" i="3"/>
  <c r="AZ173" i="3"/>
  <c r="AZ189" i="3"/>
  <c r="AZ19" i="3"/>
  <c r="S12" i="1"/>
  <c r="AR12" i="1" s="1"/>
  <c r="R12" i="1"/>
  <c r="B12" i="1"/>
  <c r="E12" i="1" s="1"/>
  <c r="S10" i="1"/>
  <c r="AQ10" i="1" s="1"/>
  <c r="R10" i="1"/>
  <c r="B10" i="1"/>
  <c r="E10" i="1" s="1"/>
  <c r="AZ80" i="3"/>
  <c r="AZ84" i="3"/>
  <c r="AZ88" i="3"/>
  <c r="AZ107" i="3"/>
  <c r="AZ111" i="3"/>
  <c r="K12" i="1"/>
  <c r="M12" i="1" s="1"/>
  <c r="S13" i="1"/>
  <c r="AR13" i="1" s="1"/>
  <c r="R13" i="1"/>
  <c r="S11" i="1"/>
  <c r="AQ11" i="1" s="1"/>
  <c r="R11" i="1"/>
  <c r="S9" i="1"/>
  <c r="AR9" i="1" s="1"/>
  <c r="R9" i="1"/>
  <c r="J51" i="67"/>
  <c r="C42" i="1"/>
  <c r="C13" i="12" s="1"/>
  <c r="H100" i="43"/>
  <c r="AC34" i="33"/>
  <c r="B41" i="1"/>
  <c r="F48" i="9" s="1"/>
  <c r="O52" i="9" s="1"/>
  <c r="S22" i="31"/>
  <c r="J100" i="43"/>
  <c r="AB37" i="40"/>
  <c r="S35" i="40"/>
  <c r="U35" i="40"/>
  <c r="AC36" i="40"/>
  <c r="W38"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G13" i="3"/>
  <c r="BL17" i="3"/>
  <c r="AZ17" i="3" s="1"/>
  <c r="BL13" i="3"/>
  <c r="J56" i="9"/>
  <c r="J57" i="9" s="1"/>
  <c r="J59" i="9" s="1"/>
  <c r="J61" i="9" s="1"/>
  <c r="A24" i="51"/>
  <c r="B18" i="72" s="1"/>
  <c r="U29" i="34"/>
  <c r="E5" i="6"/>
  <c r="D9" i="11" s="1"/>
  <c r="C9" i="11" s="1"/>
  <c r="P10" i="1"/>
  <c r="D101" i="43"/>
  <c r="D109" i="43" s="1"/>
  <c r="G22" i="43"/>
  <c r="E32" i="6"/>
  <c r="L19" i="6"/>
  <c r="G1" i="68"/>
  <c r="K1" i="12"/>
  <c r="T10" i="1"/>
  <c r="E19" i="69"/>
  <c r="E1" i="73"/>
  <c r="G22" i="11"/>
  <c r="C100" i="43"/>
  <c r="E11" i="43"/>
  <c r="E10" i="43"/>
  <c r="E9" i="43"/>
  <c r="E8" i="43"/>
  <c r="E81" i="43"/>
  <c r="B79" i="43" s="1"/>
  <c r="AH11" i="43"/>
  <c r="Z11" i="43"/>
  <c r="AE11" i="43"/>
  <c r="AE13" i="43" s="1"/>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C52" i="37"/>
  <c r="D52" i="37" s="1"/>
  <c r="C4" i="12"/>
  <c r="H66" i="43"/>
  <c r="H65" i="43"/>
  <c r="H64" i="43"/>
  <c r="H63" i="43"/>
  <c r="H55" i="43"/>
  <c r="H56" i="43"/>
  <c r="H72" i="43"/>
  <c r="L20" i="6"/>
  <c r="B6" i="1"/>
  <c r="E6" i="1" s="1"/>
  <c r="S8" i="1"/>
  <c r="AQ8" i="1" s="1"/>
  <c r="K11" i="1"/>
  <c r="M11" i="1" s="1"/>
  <c r="O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F30" i="68"/>
  <c r="F48" i="68" s="1"/>
  <c r="F30" i="11"/>
  <c r="C48" i="11" s="1"/>
  <c r="F28" i="67"/>
  <c r="C28" i="67" s="1"/>
  <c r="F31" i="12"/>
  <c r="F52" i="9"/>
  <c r="M18" i="67"/>
  <c r="F32" i="67"/>
  <c r="F60" i="67" s="1"/>
  <c r="F30" i="69"/>
  <c r="F48" i="69" s="1"/>
  <c r="F32" i="15"/>
  <c r="F60" i="15" s="1"/>
  <c r="M18" i="15"/>
  <c r="F28" i="15"/>
  <c r="C28" i="15" s="1"/>
  <c r="D19" i="12"/>
  <c r="C19" i="12" s="1"/>
  <c r="AR11" i="1"/>
  <c r="T13" i="1"/>
  <c r="S7" i="1"/>
  <c r="AQ7" i="1" s="1"/>
  <c r="E7" i="70"/>
  <c r="AA39" i="40"/>
  <c r="S39" i="40"/>
  <c r="S12" i="33"/>
  <c r="AA12" i="33"/>
  <c r="D68" i="9"/>
  <c r="F54" i="9"/>
  <c r="J32" i="39"/>
  <c r="AC32" i="39" s="1"/>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R22" i="31"/>
  <c r="AP7" i="1"/>
  <c r="S33" i="21"/>
  <c r="AA33" i="21"/>
  <c r="W32" i="21"/>
  <c r="AB9" i="21"/>
  <c r="AA32" i="21"/>
  <c r="W9" i="21"/>
  <c r="AB32" i="21"/>
  <c r="AA10" i="21"/>
  <c r="U32" i="39"/>
  <c r="W32" i="39"/>
  <c r="W23" i="37"/>
  <c r="AC23" i="37"/>
  <c r="AB11" i="37"/>
  <c r="H63" i="37"/>
  <c r="I63" i="37" s="1"/>
  <c r="J63" i="37" s="1"/>
  <c r="K63" i="37" s="1"/>
  <c r="L63" i="37" s="1"/>
  <c r="M63" i="37" s="1"/>
  <c r="J11" i="37"/>
  <c r="W11" i="37" s="1"/>
  <c r="W10" i="37"/>
  <c r="AC10" i="37"/>
  <c r="AC10" i="34"/>
  <c r="W10" i="34"/>
  <c r="H70" i="34"/>
  <c r="I70" i="34" s="1"/>
  <c r="J70" i="34" s="1"/>
  <c r="K70" i="34" s="1"/>
  <c r="L70" i="34" s="1"/>
  <c r="M70" i="34" s="1"/>
  <c r="J11" i="34"/>
  <c r="AC11" i="34" s="1"/>
  <c r="AC36" i="33"/>
  <c r="W36" i="33"/>
  <c r="W27" i="33"/>
  <c r="AA23" i="33"/>
  <c r="S23" i="33"/>
  <c r="AB19" i="33"/>
  <c r="U17" i="33"/>
  <c r="AB17" i="33"/>
  <c r="U23" i="21"/>
  <c r="AB23" i="21"/>
  <c r="AC23" i="21"/>
  <c r="W11" i="34"/>
  <c r="R7" i="1"/>
  <c r="F34" i="68"/>
  <c r="R8" i="1"/>
  <c r="AE7" i="1"/>
  <c r="AE8" i="1"/>
  <c r="AG6" i="1"/>
  <c r="H109" i="9"/>
  <c r="D16" i="53" s="1"/>
  <c r="D124" i="9"/>
  <c r="H14" i="74" s="1"/>
  <c r="B7" i="74"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AB19" i="71"/>
  <c r="X17" i="71"/>
  <c r="X16" i="71"/>
  <c r="AA17" i="71"/>
  <c r="AA16" i="71"/>
  <c r="X20" i="71"/>
  <c r="Y16" i="71"/>
  <c r="Z16" i="71" s="1"/>
  <c r="AB17" i="71"/>
  <c r="AB16" i="71"/>
  <c r="C92" i="9"/>
  <c r="Y17" i="71"/>
  <c r="Z17" i="71" s="1"/>
  <c r="X3" i="71"/>
  <c r="G20" i="43"/>
  <c r="I59" i="34"/>
  <c r="J59" i="34" s="1"/>
  <c r="M24" i="15"/>
  <c r="F7" i="15"/>
  <c r="F20" i="31"/>
  <c r="M29" i="67"/>
  <c r="B12" i="76"/>
  <c r="M28" i="67"/>
  <c r="AO12" i="1"/>
  <c r="F6" i="67"/>
  <c r="B9" i="76"/>
  <c r="B10" i="76"/>
  <c r="AO10" i="1"/>
  <c r="F9" i="67"/>
  <c r="D2" i="21"/>
  <c r="D2" i="35"/>
  <c r="F40" i="67"/>
  <c r="E9" i="76"/>
  <c r="C76" i="15"/>
  <c r="M26" i="67"/>
  <c r="C76" i="67"/>
  <c r="F8" i="67"/>
  <c r="M6" i="67"/>
  <c r="F8" i="15"/>
  <c r="F38" i="15"/>
  <c r="F37" i="15"/>
  <c r="D7" i="73"/>
  <c r="F6" i="73"/>
  <c r="D5" i="73"/>
  <c r="F37" i="67"/>
  <c r="M8" i="15"/>
  <c r="F7" i="67"/>
  <c r="F42" i="67"/>
  <c r="F16" i="15"/>
  <c r="D2" i="33"/>
  <c r="L47" i="15"/>
  <c r="F36" i="67"/>
  <c r="F13" i="67"/>
  <c r="F4" i="73"/>
  <c r="F26" i="67"/>
  <c r="E10" i="76"/>
  <c r="J15" i="15"/>
  <c r="AO13" i="1"/>
  <c r="B7" i="76"/>
  <c r="F26" i="15"/>
  <c r="D2" i="36"/>
  <c r="F3" i="73"/>
  <c r="M22" i="15"/>
  <c r="E11" i="76"/>
  <c r="E12" i="76"/>
  <c r="F38" i="67"/>
  <c r="M24" i="67"/>
  <c r="L48" i="15"/>
  <c r="M26" i="15"/>
  <c r="E2" i="68"/>
  <c r="E2" i="69"/>
  <c r="AO8" i="1"/>
  <c r="M27" i="15"/>
  <c r="D4" i="73"/>
  <c r="M27" i="67"/>
  <c r="F7" i="73"/>
  <c r="F36" i="15"/>
  <c r="M29" i="15"/>
  <c r="D2" i="37"/>
  <c r="F9" i="15"/>
  <c r="L47" i="67"/>
  <c r="F13" i="15"/>
  <c r="F41" i="67"/>
  <c r="B8" i="76"/>
  <c r="M8" i="67"/>
  <c r="D3" i="73"/>
  <c r="D2" i="34"/>
  <c r="M23" i="67"/>
  <c r="M28" i="15"/>
  <c r="AO9" i="1"/>
  <c r="M23" i="15"/>
  <c r="F43" i="15"/>
  <c r="AO7" i="1"/>
  <c r="D6" i="73"/>
  <c r="F5" i="73"/>
  <c r="E7" i="76"/>
  <c r="M21" i="67"/>
  <c r="E8" i="76"/>
  <c r="M22" i="67"/>
  <c r="B11" i="76"/>
  <c r="J15" i="67"/>
  <c r="M9" i="67"/>
  <c r="L48" i="67"/>
  <c r="E13" i="76"/>
  <c r="AO11" i="1"/>
  <c r="F40" i="15"/>
  <c r="M6" i="15"/>
  <c r="F43" i="67"/>
  <c r="F16" i="67"/>
  <c r="F35" i="67"/>
  <c r="F42" i="15"/>
  <c r="F6" i="15"/>
  <c r="B13" i="76"/>
  <c r="M9" i="15"/>
  <c r="C30" i="69" l="1"/>
  <c r="P61" i="15"/>
  <c r="T9" i="1"/>
  <c r="AQ9" i="1"/>
  <c r="T11" i="1"/>
  <c r="E13" i="6"/>
  <c r="E10" i="6"/>
  <c r="E8" i="6"/>
  <c r="E11" i="6"/>
  <c r="E61" i="39" s="1"/>
  <c r="E15" i="6"/>
  <c r="E14" i="6"/>
  <c r="J22" i="43"/>
  <c r="AA11" i="43"/>
  <c r="AA13" i="43" s="1"/>
  <c r="AI11" i="43"/>
  <c r="AI13" i="43" s="1"/>
  <c r="AD11" i="43"/>
  <c r="AR10" i="1"/>
  <c r="I101" i="43"/>
  <c r="I109" i="43" s="1"/>
  <c r="H22" i="43"/>
  <c r="BA13" i="3"/>
  <c r="AZ13" i="3" s="1"/>
  <c r="AZ321" i="3"/>
  <c r="AB43" i="33"/>
  <c r="U43" i="33"/>
  <c r="S12" i="21"/>
  <c r="AA12" i="21"/>
  <c r="AB14" i="37"/>
  <c r="U14" i="37"/>
  <c r="AC12" i="40"/>
  <c r="W12" i="40"/>
  <c r="H110" i="9"/>
  <c r="D18" i="53" s="1"/>
  <c r="B35" i="72" s="1"/>
  <c r="AC11" i="37"/>
  <c r="AA17" i="33"/>
  <c r="W25" i="33"/>
  <c r="U36" i="33"/>
  <c r="AB11" i="34"/>
  <c r="W19" i="37"/>
  <c r="AC33" i="21"/>
  <c r="AC15" i="21"/>
  <c r="C7" i="43"/>
  <c r="F53" i="9"/>
  <c r="E28" i="6"/>
  <c r="K14" i="1" s="1"/>
  <c r="M14" i="1" s="1"/>
  <c r="AZ372" i="3"/>
  <c r="AZ311" i="3"/>
  <c r="AC12" i="37"/>
  <c r="AB12" i="37"/>
  <c r="U12" i="37"/>
  <c r="S25" i="21"/>
  <c r="AA25" i="21"/>
  <c r="U12" i="35"/>
  <c r="AB12" i="35"/>
  <c r="AC26" i="37"/>
  <c r="W26" i="37"/>
  <c r="AB40" i="40"/>
  <c r="U40" i="40"/>
  <c r="AZ362" i="3"/>
  <c r="AZ334" i="3"/>
  <c r="AZ306" i="3"/>
  <c r="AZ351" i="3"/>
  <c r="AZ329" i="3"/>
  <c r="AZ495" i="3"/>
  <c r="AZ513" i="3"/>
  <c r="AZ567" i="3"/>
  <c r="AZ575" i="3"/>
  <c r="AZ511" i="3"/>
  <c r="AZ515" i="3"/>
  <c r="AZ519" i="3"/>
  <c r="AZ565" i="3"/>
  <c r="AZ569" i="3"/>
  <c r="AZ573" i="3"/>
  <c r="AZ577" i="3"/>
  <c r="AZ504" i="3"/>
  <c r="AZ508" i="3"/>
  <c r="AZ520" i="3"/>
  <c r="AZ534" i="3"/>
  <c r="AZ542" i="3"/>
  <c r="AZ556" i="3"/>
  <c r="AA14" i="37"/>
  <c r="U46" i="33"/>
  <c r="BA551" i="3"/>
  <c r="AZ551" i="3" s="1"/>
  <c r="BL550" i="3"/>
  <c r="BA550" i="3"/>
  <c r="BL548" i="3"/>
  <c r="AZ583" i="3"/>
  <c r="AZ548" i="3"/>
  <c r="S34" i="34"/>
  <c r="J12" i="21"/>
  <c r="BL586" i="3"/>
  <c r="AZ586" i="3" s="1"/>
  <c r="BL585" i="3"/>
  <c r="AZ585" i="3" s="1"/>
  <c r="H12" i="34"/>
  <c r="J23" i="35"/>
  <c r="F9" i="36"/>
  <c r="J25" i="37"/>
  <c r="F26" i="37"/>
  <c r="G574" i="3"/>
  <c r="G558" i="3"/>
  <c r="G542" i="3"/>
  <c r="BL15" i="3"/>
  <c r="AZ15" i="3" s="1"/>
  <c r="A15" i="62"/>
  <c r="B61" i="72" s="1"/>
  <c r="AZ403" i="3"/>
  <c r="AZ418" i="3"/>
  <c r="AZ422" i="3"/>
  <c r="AZ434" i="3"/>
  <c r="AZ450" i="3"/>
  <c r="AZ454" i="3"/>
  <c r="AZ459" i="3"/>
  <c r="AZ477" i="3"/>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AZ425" i="3" s="1"/>
  <c r="BA426" i="3"/>
  <c r="AZ426" i="3" s="1"/>
  <c r="BL428" i="3"/>
  <c r="AZ428" i="3" s="1"/>
  <c r="BA429" i="3"/>
  <c r="AZ429" i="3" s="1"/>
  <c r="G432" i="3"/>
  <c r="BL432" i="3"/>
  <c r="AZ432" i="3" s="1"/>
  <c r="BA435" i="3"/>
  <c r="AZ435" i="3" s="1"/>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AZ451" i="3" s="1"/>
  <c r="BL451" i="3"/>
  <c r="BA452" i="3"/>
  <c r="AZ452" i="3" s="1"/>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G486" i="3"/>
  <c r="BL486" i="3"/>
  <c r="G489" i="3"/>
  <c r="BL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5" i="3" s="1"/>
  <c r="B3" i="3" s="1"/>
  <c r="E113" i="3" s="1"/>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AZ76" i="3"/>
  <c r="AZ90" i="3"/>
  <c r="G76" i="3"/>
  <c r="BL76" i="3"/>
  <c r="G79" i="3"/>
  <c r="G80" i="3"/>
  <c r="G81" i="3"/>
  <c r="BL81" i="3"/>
  <c r="AZ81" i="3" s="1"/>
  <c r="BL83" i="3"/>
  <c r="AZ83" i="3" s="1"/>
  <c r="BL85" i="3"/>
  <c r="AZ85" i="3" s="1"/>
  <c r="G88" i="3"/>
  <c r="G89" i="3"/>
  <c r="G90" i="3"/>
  <c r="BL90" i="3"/>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W21" i="33"/>
  <c r="B55" i="43"/>
  <c r="D57" i="71"/>
  <c r="D49" i="71"/>
  <c r="D37" i="71"/>
  <c r="Y27" i="71"/>
  <c r="Z27" i="71" s="1"/>
  <c r="Y26" i="71"/>
  <c r="Z26" i="71" s="1"/>
  <c r="F35" i="71"/>
  <c r="F36" i="71" s="1"/>
  <c r="F37" i="71" s="1"/>
  <c r="V37" i="71" s="1"/>
  <c r="AB34" i="71"/>
  <c r="T69" i="71"/>
  <c r="C68" i="71"/>
  <c r="D69" i="71"/>
  <c r="T77" i="71"/>
  <c r="C76" i="71"/>
  <c r="D77" i="71"/>
  <c r="D85" i="71"/>
  <c r="C84" i="71"/>
  <c r="AB22" i="71"/>
  <c r="F25" i="71"/>
  <c r="F24" i="71" s="1"/>
  <c r="F23" i="71" s="1"/>
  <c r="AB24" i="71"/>
  <c r="E25" i="71"/>
  <c r="AA22" i="71"/>
  <c r="AA24" i="71"/>
  <c r="C28" i="71"/>
  <c r="C25" i="71"/>
  <c r="Y23" i="71"/>
  <c r="Z23" i="71" s="1"/>
  <c r="Y25" i="71"/>
  <c r="Z25" i="71" s="1"/>
  <c r="X26" i="71"/>
  <c r="X22" i="71"/>
  <c r="X24" i="71"/>
  <c r="AB28" i="71"/>
  <c r="Y29" i="71"/>
  <c r="Z29" i="71" s="1"/>
  <c r="C31" i="71"/>
  <c r="Y30" i="71"/>
  <c r="Z30" i="71" s="1"/>
  <c r="F31" i="71"/>
  <c r="F32" i="71" s="1"/>
  <c r="F33" i="71" s="1"/>
  <c r="V33" i="71" s="1"/>
  <c r="AB30" i="71"/>
  <c r="Y31" i="71"/>
  <c r="Z31" i="71" s="1"/>
  <c r="AA30" i="71"/>
  <c r="AA31" i="71"/>
  <c r="X28" i="71"/>
  <c r="X29" i="71"/>
  <c r="AA32" i="71"/>
  <c r="C60" i="71"/>
  <c r="E20" i="71"/>
  <c r="E19" i="71" s="1"/>
  <c r="E18" i="71" s="1"/>
  <c r="E17" i="71" s="1"/>
  <c r="V21" i="71"/>
  <c r="E36" i="71"/>
  <c r="E37" i="71" s="1"/>
  <c r="U37" i="71" s="1"/>
  <c r="B37" i="71"/>
  <c r="S37" i="71" s="1"/>
  <c r="F28" i="71"/>
  <c r="F29" i="71" s="1"/>
  <c r="V29" i="71" s="1"/>
  <c r="Y28" i="71"/>
  <c r="Z28" i="71" s="1"/>
  <c r="AB29" i="71"/>
  <c r="AB31" i="71"/>
  <c r="Y32" i="71"/>
  <c r="Z32" i="71" s="1"/>
  <c r="AB33" i="71"/>
  <c r="P74" i="67"/>
  <c r="F19" i="71"/>
  <c r="F18" i="71" s="1"/>
  <c r="F17" i="71" s="1"/>
  <c r="F16" i="71" s="1"/>
  <c r="F15" i="71" s="1"/>
  <c r="F14" i="71" s="1"/>
  <c r="F22" i="43"/>
  <c r="E22" i="43"/>
  <c r="C18" i="9"/>
  <c r="D18" i="9" s="1"/>
  <c r="C24" i="12"/>
  <c r="C48" i="68"/>
  <c r="C30" i="68"/>
  <c r="C77" i="9"/>
  <c r="C74" i="9" s="1"/>
  <c r="C21" i="69"/>
  <c r="C23" i="12"/>
  <c r="E19" i="11"/>
  <c r="F34" i="11"/>
  <c r="C36" i="11" s="1"/>
  <c r="G22" i="68"/>
  <c r="G26" i="12"/>
  <c r="G22" i="69"/>
  <c r="C20" i="43"/>
  <c r="T7" i="1"/>
  <c r="L27" i="6"/>
  <c r="AQ12" i="1"/>
  <c r="T8" i="1"/>
  <c r="AR7" i="1"/>
  <c r="C36" i="69"/>
  <c r="AR8" i="1"/>
  <c r="BL5" i="3"/>
  <c r="Y11" i="43"/>
  <c r="Y13" i="43" s="1"/>
  <c r="AC11" i="43"/>
  <c r="AG11" i="43"/>
  <c r="Z7" i="43"/>
  <c r="AB11" i="43"/>
  <c r="AB13" i="43" s="1"/>
  <c r="AF11" i="43"/>
  <c r="AJ11" i="43"/>
  <c r="AJ13" i="43" s="1"/>
  <c r="T12" i="1"/>
  <c r="E101" i="43"/>
  <c r="M101" i="43"/>
  <c r="H101" i="43"/>
  <c r="L101" i="43"/>
  <c r="F101" i="43"/>
  <c r="D9" i="68"/>
  <c r="C9" i="68" s="1"/>
  <c r="D9" i="69"/>
  <c r="C9" i="69" s="1"/>
  <c r="I103" i="43"/>
  <c r="E12" i="6"/>
  <c r="E57" i="40" s="1"/>
  <c r="D104" i="43"/>
  <c r="I102" i="43"/>
  <c r="D107" i="43"/>
  <c r="D103" i="43"/>
  <c r="I106" i="43"/>
  <c r="B115" i="43"/>
  <c r="C115"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D102" i="43"/>
  <c r="D106" i="43"/>
  <c r="D105" i="43"/>
  <c r="I105" i="43"/>
  <c r="I107" i="43"/>
  <c r="I104" i="43"/>
  <c r="N104" i="46"/>
  <c r="J101" i="43"/>
  <c r="C101" i="43"/>
  <c r="G101" i="43"/>
  <c r="N101" i="43"/>
  <c r="K101" i="43"/>
  <c r="G11" i="1"/>
  <c r="G17" i="43"/>
  <c r="C16" i="43" s="1"/>
  <c r="B34" i="72"/>
  <c r="D17" i="53"/>
  <c r="B36" i="72" s="1"/>
  <c r="D125" i="9"/>
  <c r="D11" i="52" s="1"/>
  <c r="D10" i="52"/>
  <c r="D68" i="39"/>
  <c r="C70" i="39"/>
  <c r="P6" i="1"/>
  <c r="E287" i="3"/>
  <c r="O12" i="1"/>
  <c r="P12" i="1" s="1"/>
  <c r="F30" i="6"/>
  <c r="E29" i="6"/>
  <c r="E16" i="71"/>
  <c r="E15" i="71" s="1"/>
  <c r="E14" i="71" s="1"/>
  <c r="E13" i="71" s="1"/>
  <c r="V17" i="71"/>
  <c r="O14" i="1"/>
  <c r="P14" i="1" s="1"/>
  <c r="O7" i="1"/>
  <c r="P11" i="1"/>
  <c r="C31" i="12"/>
  <c r="K5" i="4"/>
  <c r="B47" i="48" s="1"/>
  <c r="AZ521" i="3"/>
  <c r="S12" i="34"/>
  <c r="AA12" i="34"/>
  <c r="E41" i="43"/>
  <c r="C41" i="43" s="1"/>
  <c r="D12" i="52"/>
  <c r="D127" i="9"/>
  <c r="D13" i="52" s="1"/>
  <c r="C34" i="69"/>
  <c r="C35" i="69" s="1"/>
  <c r="M16" i="1"/>
  <c r="C30" i="11"/>
  <c r="AB45" i="21"/>
  <c r="H16" i="1"/>
  <c r="Q16" i="1"/>
  <c r="C48" i="69"/>
  <c r="E56" i="40"/>
  <c r="AB27" i="36"/>
  <c r="U12" i="39"/>
  <c r="AA27" i="40"/>
  <c r="AA34" i="33"/>
  <c r="W9" i="34"/>
  <c r="AC9" i="34"/>
  <c r="AC34" i="35"/>
  <c r="W34" i="35"/>
  <c r="AZ409" i="3"/>
  <c r="AZ416" i="3"/>
  <c r="AZ486" i="3"/>
  <c r="W29" i="33"/>
  <c r="S45" i="33"/>
  <c r="AC30" i="34"/>
  <c r="W11" i="35"/>
  <c r="S11" i="36"/>
  <c r="AB26" i="33"/>
  <c r="AB11" i="36"/>
  <c r="AA14" i="33"/>
  <c r="AA44" i="33"/>
  <c r="H9" i="34"/>
  <c r="F34" i="35"/>
  <c r="H34" i="35"/>
  <c r="J36" i="35"/>
  <c r="AZ399" i="3"/>
  <c r="AZ404" i="3"/>
  <c r="AZ414" i="3"/>
  <c r="AZ421" i="3"/>
  <c r="AZ423" i="3"/>
  <c r="AZ427" i="3"/>
  <c r="AZ430" i="3"/>
  <c r="AZ440" i="3"/>
  <c r="AZ449" i="3"/>
  <c r="AZ453" i="3"/>
  <c r="AZ455" i="3"/>
  <c r="AZ460" i="3"/>
  <c r="AZ471" i="3"/>
  <c r="AZ476" i="3"/>
  <c r="AZ478" i="3"/>
  <c r="AZ484" i="3"/>
  <c r="AZ385" i="3"/>
  <c r="AZ210" i="3"/>
  <c r="AZ225" i="3"/>
  <c r="AZ239" i="3"/>
  <c r="AZ255" i="3"/>
  <c r="AZ270" i="3"/>
  <c r="AZ274" i="3"/>
  <c r="AZ277" i="3"/>
  <c r="AZ298" i="3"/>
  <c r="AZ301" i="3"/>
  <c r="AZ122" i="3"/>
  <c r="AZ125" i="3"/>
  <c r="AZ22" i="3"/>
  <c r="AZ54" i="3"/>
  <c r="AZ57" i="3"/>
  <c r="AZ70" i="3"/>
  <c r="AZ92" i="3"/>
  <c r="AZ103" i="3"/>
  <c r="AZ112" i="3"/>
  <c r="F3" i="35"/>
  <c r="D113" i="43"/>
  <c r="Y5" i="71"/>
  <c r="Z5" i="71" s="1"/>
  <c r="X5" i="71"/>
  <c r="AB5" i="71"/>
  <c r="AA5" i="71"/>
  <c r="X6" i="71"/>
  <c r="X7" i="71"/>
  <c r="X36" i="71"/>
  <c r="AJ10" i="43"/>
  <c r="M100" i="43"/>
  <c r="I100" i="43"/>
  <c r="E100" i="43"/>
  <c r="D100" i="43"/>
  <c r="C40" i="68"/>
  <c r="C21" i="68"/>
  <c r="C29" i="39"/>
  <c r="B66" i="43"/>
  <c r="E27" i="71"/>
  <c r="E28" i="71" s="1"/>
  <c r="E29" i="71" s="1"/>
  <c r="U29" i="71" s="1"/>
  <c r="AA26" i="71"/>
  <c r="AB6" i="71"/>
  <c r="AB36" i="71"/>
  <c r="S65" i="71"/>
  <c r="B64" i="71"/>
  <c r="Z12" i="43"/>
  <c r="Z13" i="43" s="1"/>
  <c r="Z10" i="43"/>
  <c r="AD12" i="43"/>
  <c r="AD13" i="43" s="1"/>
  <c r="AD10" i="43"/>
  <c r="AF12" i="43"/>
  <c r="AF10" i="43"/>
  <c r="AH12" i="43"/>
  <c r="AH13" i="43" s="1"/>
  <c r="AH10" i="43"/>
  <c r="Y6" i="71"/>
  <c r="Z6" i="71" s="1"/>
  <c r="Y7" i="71"/>
  <c r="Z7" i="71" s="1"/>
  <c r="AA6" i="71"/>
  <c r="AA7" i="71"/>
  <c r="AC12" i="43"/>
  <c r="AC10" i="43"/>
  <c r="AG12" i="43"/>
  <c r="AG10" i="43"/>
  <c r="X21" i="71"/>
  <c r="Y21" i="71"/>
  <c r="Z21" i="71" s="1"/>
  <c r="AA20" i="71"/>
  <c r="X19" i="71"/>
  <c r="AA18" i="71"/>
  <c r="X18" i="71"/>
  <c r="X14" i="71"/>
  <c r="Y14" i="71"/>
  <c r="Z14" i="71" s="1"/>
  <c r="AA14" i="71"/>
  <c r="AB15" i="71"/>
  <c r="Y11" i="71"/>
  <c r="Z11" i="71" s="1"/>
  <c r="AB7" i="71"/>
  <c r="Y19" i="71"/>
  <c r="Z19" i="71" s="1"/>
  <c r="AB20" i="71"/>
  <c r="Y15" i="71"/>
  <c r="Z15" i="71" s="1"/>
  <c r="X15" i="71"/>
  <c r="AA15" i="71"/>
  <c r="Y18" i="71"/>
  <c r="Z18" i="71" s="1"/>
  <c r="AA19" i="71"/>
  <c r="AB18" i="71"/>
  <c r="X12" i="71"/>
  <c r="AA12" i="71"/>
  <c r="AB8" i="71"/>
  <c r="AB10" i="71"/>
  <c r="Y8" i="71"/>
  <c r="Z8" i="71" s="1"/>
  <c r="Y10" i="71"/>
  <c r="Z10" i="71" s="1"/>
  <c r="AA10" i="71"/>
  <c r="AA11" i="71"/>
  <c r="X10" i="71"/>
  <c r="AA21" i="71"/>
  <c r="AB21" i="71"/>
  <c r="B21" i="71"/>
  <c r="C21" i="71"/>
  <c r="Y20" i="71"/>
  <c r="Z20" i="71" s="1"/>
  <c r="AB12" i="71"/>
  <c r="AB14" i="71"/>
  <c r="AB9" i="71"/>
  <c r="AB11" i="71"/>
  <c r="Y9" i="71"/>
  <c r="Z9" i="71" s="1"/>
  <c r="AA8" i="71"/>
  <c r="AA9" i="71"/>
  <c r="X8" i="71"/>
  <c r="X9" i="71"/>
  <c r="X11" i="71"/>
  <c r="C5" i="43"/>
  <c r="T11" i="43" s="1"/>
  <c r="V11" i="43" s="1"/>
  <c r="D5" i="43"/>
  <c r="C36" i="43" s="1"/>
  <c r="T14" i="43"/>
  <c r="V14" i="43" s="1"/>
  <c r="G16" i="1"/>
  <c r="F10" i="39" s="1"/>
  <c r="D23" i="67"/>
  <c r="G25" i="12"/>
  <c r="G41" i="11"/>
  <c r="G27" i="12"/>
  <c r="G41" i="68"/>
  <c r="K59" i="34"/>
  <c r="J46" i="36"/>
  <c r="E52"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C35" i="43"/>
  <c r="E35" i="43" s="1"/>
  <c r="X13" i="71"/>
  <c r="AB13" i="71"/>
  <c r="Z12" i="71"/>
  <c r="Y3" i="71"/>
  <c r="Z3" i="71" s="1"/>
  <c r="F13" i="71"/>
  <c r="F12" i="71" s="1"/>
  <c r="F11" i="71" s="1"/>
  <c r="F10" i="71" s="1"/>
  <c r="F9" i="71" s="1"/>
  <c r="F8" i="71" s="1"/>
  <c r="F7" i="71" s="1"/>
  <c r="F6" i="71" s="1"/>
  <c r="F5" i="71" s="1"/>
  <c r="AF3" i="71"/>
  <c r="P22" i="43" s="1"/>
  <c r="C33"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7" i="67"/>
  <c r="C14" i="67"/>
  <c r="C16" i="15"/>
  <c r="E83" i="3" l="1"/>
  <c r="E102" i="3"/>
  <c r="AG13" i="43"/>
  <c r="E16" i="6"/>
  <c r="E64" i="39"/>
  <c r="E59" i="40"/>
  <c r="E60" i="40"/>
  <c r="E65" i="39"/>
  <c r="F27" i="6"/>
  <c r="F31" i="6" s="1"/>
  <c r="E51" i="40"/>
  <c r="E56" i="39"/>
  <c r="E58" i="40"/>
  <c r="E63" i="39"/>
  <c r="K46" i="36"/>
  <c r="L59" i="34"/>
  <c r="M59" i="34" s="1"/>
  <c r="N59" i="34" s="1"/>
  <c r="O59" i="34" s="1"/>
  <c r="F7" i="34"/>
  <c r="H7" i="34"/>
  <c r="E326" i="3"/>
  <c r="C39" i="43"/>
  <c r="F52" i="37"/>
  <c r="G52" i="37" s="1"/>
  <c r="H52" i="37" s="1"/>
  <c r="I52" i="37" s="1"/>
  <c r="J52" i="37" s="1"/>
  <c r="K52" i="37" s="1"/>
  <c r="L52" i="37" s="1"/>
  <c r="M52" i="37" s="1"/>
  <c r="N52" i="37" s="1"/>
  <c r="O52" i="37" s="1"/>
  <c r="J7" i="37"/>
  <c r="J7" i="34"/>
  <c r="AT6"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58" i="3"/>
  <c r="E514" i="3"/>
  <c r="E559" i="3"/>
  <c r="E551" i="3"/>
  <c r="E506" i="3"/>
  <c r="E407" i="3"/>
  <c r="E338" i="3"/>
  <c r="E321" i="3"/>
  <c r="E215" i="3"/>
  <c r="E189" i="3"/>
  <c r="E185" i="3"/>
  <c r="E135" i="3"/>
  <c r="E221" i="3"/>
  <c r="E149" i="3"/>
  <c r="E212" i="3"/>
  <c r="E167" i="3"/>
  <c r="E141" i="3"/>
  <c r="E330" i="3"/>
  <c r="K6" i="3"/>
  <c r="E534" i="3"/>
  <c r="E560" i="3"/>
  <c r="E437" i="3"/>
  <c r="E472" i="3"/>
  <c r="E481" i="3"/>
  <c r="E512" i="3"/>
  <c r="E408" i="3"/>
  <c r="E451" i="3"/>
  <c r="E360" i="3"/>
  <c r="E562" i="3"/>
  <c r="E497" i="3"/>
  <c r="E577" i="3"/>
  <c r="E429" i="3"/>
  <c r="E468" i="3"/>
  <c r="E496" i="3"/>
  <c r="E454" i="3"/>
  <c r="E55" i="3"/>
  <c r="E106" i="3"/>
  <c r="E41" i="3"/>
  <c r="E115" i="3"/>
  <c r="E198" i="3"/>
  <c r="E139" i="3"/>
  <c r="E225" i="3"/>
  <c r="E279" i="3"/>
  <c r="E243" i="3"/>
  <c r="E351" i="3"/>
  <c r="E357" i="3"/>
  <c r="E318" i="3"/>
  <c r="E14" i="3"/>
  <c r="E42" i="3"/>
  <c r="E94" i="3"/>
  <c r="E75" i="3"/>
  <c r="E473" i="3"/>
  <c r="E455" i="3"/>
  <c r="E38" i="3"/>
  <c r="E170" i="3"/>
  <c r="E194" i="3"/>
  <c r="E219" i="3"/>
  <c r="E339" i="3"/>
  <c r="E342" i="3"/>
  <c r="E52" i="3"/>
  <c r="E34" i="3"/>
  <c r="E206" i="3"/>
  <c r="E251" i="3"/>
  <c r="AF6" i="3"/>
  <c r="E20" i="3"/>
  <c r="E176" i="3"/>
  <c r="E265" i="3"/>
  <c r="E524" i="3"/>
  <c r="E311" i="3"/>
  <c r="E523" i="3"/>
  <c r="V6" i="3"/>
  <c r="E418" i="3"/>
  <c r="E320" i="3"/>
  <c r="E294" i="3"/>
  <c r="E216" i="3"/>
  <c r="E134" i="3"/>
  <c r="E91" i="3"/>
  <c r="E117" i="3"/>
  <c r="E252" i="3"/>
  <c r="E204" i="3"/>
  <c r="E164" i="3"/>
  <c r="E369" i="3"/>
  <c r="E525" i="3"/>
  <c r="Q6" i="3"/>
  <c r="T6" i="3"/>
  <c r="E405" i="3"/>
  <c r="E456" i="3"/>
  <c r="E469" i="3"/>
  <c r="E406" i="3"/>
  <c r="E424" i="3"/>
  <c r="E465" i="3"/>
  <c r="E376" i="3"/>
  <c r="AH6" i="3"/>
  <c r="AE6" i="3"/>
  <c r="E13" i="3"/>
  <c r="E494" i="3"/>
  <c r="E452" i="3"/>
  <c r="E470" i="3"/>
  <c r="E420" i="3"/>
  <c r="E26" i="3"/>
  <c r="E104" i="3"/>
  <c r="E73" i="3"/>
  <c r="E146" i="3"/>
  <c r="E203" i="3"/>
  <c r="E171" i="3"/>
  <c r="E256" i="3"/>
  <c r="E214" i="3"/>
  <c r="E274" i="3"/>
  <c r="E346" i="3"/>
  <c r="E333" i="3"/>
  <c r="E372" i="3"/>
  <c r="L6" i="3"/>
  <c r="E74" i="3"/>
  <c r="E32" i="3"/>
  <c r="E428" i="3"/>
  <c r="E412" i="3"/>
  <c r="E96" i="3"/>
  <c r="E129" i="3"/>
  <c r="E174" i="3"/>
  <c r="E275" i="3"/>
  <c r="E324" i="3"/>
  <c r="E392" i="3"/>
  <c r="E35" i="3"/>
  <c r="E112" i="3"/>
  <c r="E147" i="3"/>
  <c r="E340"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90" i="3"/>
  <c r="E533" i="3"/>
  <c r="S6" i="3"/>
  <c r="E570" i="3"/>
  <c r="M6" i="3"/>
  <c r="E538" i="3"/>
  <c r="E387" i="3"/>
  <c r="E380" i="3"/>
  <c r="E231" i="3"/>
  <c r="E230" i="3"/>
  <c r="E130" i="3"/>
  <c r="E61" i="3"/>
  <c r="E290" i="3"/>
  <c r="E180" i="3"/>
  <c r="E77" i="3"/>
  <c r="E253" i="3"/>
  <c r="E199" i="3"/>
  <c r="E313" i="3"/>
  <c r="E519" i="3"/>
  <c r="E532" i="3"/>
  <c r="E573" i="3"/>
  <c r="E529" i="3"/>
  <c r="E458" i="3"/>
  <c r="E474" i="3"/>
  <c r="E527" i="3"/>
  <c r="E422" i="3"/>
  <c r="E440" i="3"/>
  <c r="E490" i="3"/>
  <c r="E344" i="3"/>
  <c r="E587" i="3"/>
  <c r="E571" i="3"/>
  <c r="E537" i="3"/>
  <c r="E450" i="3"/>
  <c r="E471" i="3"/>
  <c r="E433" i="3"/>
  <c r="E475" i="3"/>
  <c r="E72" i="3"/>
  <c r="E25" i="3"/>
  <c r="E108" i="3"/>
  <c r="E178" i="3"/>
  <c r="E119" i="3"/>
  <c r="E202" i="3"/>
  <c r="E242" i="3"/>
  <c r="E226" i="3"/>
  <c r="E276" i="3"/>
  <c r="E315" i="3"/>
  <c r="E394" i="3"/>
  <c r="E362" i="3"/>
  <c r="E580" i="3"/>
  <c r="E60" i="3"/>
  <c r="E43" i="3"/>
  <c r="E409" i="3"/>
  <c r="E15" i="3"/>
  <c r="E79" i="3"/>
  <c r="E100" i="3"/>
  <c r="E137" i="3"/>
  <c r="E234" i="3"/>
  <c r="E299" i="3"/>
  <c r="E383" i="3"/>
  <c r="E522" i="3"/>
  <c r="E36" i="3"/>
  <c r="E49" i="3"/>
  <c r="E232" i="3"/>
  <c r="E370" i="3"/>
  <c r="E50" i="3"/>
  <c r="E62" i="3"/>
  <c r="E218" i="3"/>
  <c r="E365" i="3"/>
  <c r="E101" i="3"/>
  <c r="AR6" i="3"/>
  <c r="E561" i="3"/>
  <c r="AB6" i="3"/>
  <c r="E439" i="3"/>
  <c r="E335" i="3"/>
  <c r="E298" i="3"/>
  <c r="E169" i="3"/>
  <c r="E254" i="3"/>
  <c r="E161" i="3"/>
  <c r="E207" i="3"/>
  <c r="E271" i="3"/>
  <c r="E145" i="3"/>
  <c r="E107" i="3"/>
  <c r="E393" i="3"/>
  <c r="E493" i="3"/>
  <c r="E564" i="3"/>
  <c r="E543" i="3"/>
  <c r="E427" i="3"/>
  <c r="E486" i="3"/>
  <c r="E507" i="3"/>
  <c r="E438" i="3"/>
  <c r="E457" i="3"/>
  <c r="E288" i="3"/>
  <c r="E556" i="3"/>
  <c r="W6" i="3"/>
  <c r="J6" i="3"/>
  <c r="E498" i="3"/>
  <c r="E419" i="3"/>
  <c r="E483" i="3"/>
  <c r="E401" i="3"/>
  <c r="E463" i="3"/>
  <c r="E40" i="3"/>
  <c r="E54" i="3"/>
  <c r="E111" i="3"/>
  <c r="E168" i="3"/>
  <c r="E150" i="3"/>
  <c r="E208" i="3"/>
  <c r="E281" i="3"/>
  <c r="E257" i="3"/>
  <c r="E332" i="3"/>
  <c r="E391" i="3"/>
  <c r="E356" i="3"/>
  <c r="AL6" i="3"/>
  <c r="E31" i="3"/>
  <c r="E93" i="3"/>
  <c r="E488" i="3"/>
  <c r="E482" i="3"/>
  <c r="E18" i="3"/>
  <c r="E78" i="3"/>
  <c r="E190" i="3"/>
  <c r="E220" i="3"/>
  <c r="E235" i="3"/>
  <c r="E325" i="3"/>
  <c r="AQ6" i="3"/>
  <c r="E86" i="3"/>
  <c r="E123" i="3"/>
  <c r="E289" i="3"/>
  <c r="E364" i="3"/>
  <c r="E80" i="3"/>
  <c r="E158" i="3"/>
  <c r="E308" i="3"/>
  <c r="E22" i="3"/>
  <c r="C61" i="71"/>
  <c r="D60" i="71"/>
  <c r="D31" i="71"/>
  <c r="C32" i="71"/>
  <c r="C24" i="71"/>
  <c r="D25" i="71"/>
  <c r="U25" i="71" s="1"/>
  <c r="T25" i="71"/>
  <c r="E24" i="71"/>
  <c r="E23" i="71" s="1"/>
  <c r="V25" i="71"/>
  <c r="C83" i="71"/>
  <c r="D83" i="71" s="1"/>
  <c r="D84" i="71"/>
  <c r="D68" i="71"/>
  <c r="C67" i="71"/>
  <c r="D67" i="71" s="1"/>
  <c r="AZ23" i="3"/>
  <c r="AZ5" i="3" s="1"/>
  <c r="BA5" i="3"/>
  <c r="E27" i="6" s="1"/>
  <c r="AZ469" i="3"/>
  <c r="AC25" i="37"/>
  <c r="W25" i="37"/>
  <c r="AC23" i="35"/>
  <c r="W23" i="35"/>
  <c r="AC12" i="21"/>
  <c r="W12" i="21"/>
  <c r="C29" i="71"/>
  <c r="D28" i="71"/>
  <c r="C75" i="71"/>
  <c r="D75" i="71" s="1"/>
  <c r="D76" i="71"/>
  <c r="AA26" i="37"/>
  <c r="S26" i="37"/>
  <c r="AA9" i="36"/>
  <c r="S9" i="36"/>
  <c r="U12" i="34"/>
  <c r="AB12" i="34"/>
  <c r="AZ550" i="3"/>
  <c r="D22" i="43"/>
  <c r="AC13" i="43"/>
  <c r="AF13" i="43"/>
  <c r="O16" i="1"/>
  <c r="F104" i="43"/>
  <c r="F107" i="43"/>
  <c r="F106" i="43"/>
  <c r="F105" i="43"/>
  <c r="F109" i="43"/>
  <c r="F102" i="43"/>
  <c r="F103" i="43"/>
  <c r="H102" i="43"/>
  <c r="H103" i="43"/>
  <c r="H104" i="43"/>
  <c r="H107" i="43"/>
  <c r="H106" i="43"/>
  <c r="H105" i="43"/>
  <c r="H109" i="43"/>
  <c r="E102" i="43"/>
  <c r="E106" i="43"/>
  <c r="E103" i="43"/>
  <c r="E104" i="43"/>
  <c r="E107" i="43"/>
  <c r="E105" i="43"/>
  <c r="E109" i="43"/>
  <c r="L109" i="43"/>
  <c r="L106" i="43"/>
  <c r="L107" i="43"/>
  <c r="L103" i="43"/>
  <c r="L102" i="43"/>
  <c r="L105" i="43"/>
  <c r="L104" i="43"/>
  <c r="M109" i="43"/>
  <c r="M102" i="43"/>
  <c r="M106" i="43"/>
  <c r="M103" i="43"/>
  <c r="M104" i="43"/>
  <c r="M107" i="43"/>
  <c r="M105" i="43"/>
  <c r="E62" i="39"/>
  <c r="E66" i="39" s="1"/>
  <c r="AC6" i="3"/>
  <c r="H6" i="3"/>
  <c r="K103" i="43"/>
  <c r="K102" i="43"/>
  <c r="K106" i="43"/>
  <c r="K107" i="43"/>
  <c r="K104" i="43"/>
  <c r="K105" i="43"/>
  <c r="K109" i="43"/>
  <c r="G105" i="43"/>
  <c r="G102" i="43"/>
  <c r="G107" i="43"/>
  <c r="G104" i="43"/>
  <c r="G109" i="43"/>
  <c r="G103" i="43"/>
  <c r="G106" i="43"/>
  <c r="J104" i="43"/>
  <c r="J107" i="43"/>
  <c r="J102" i="43"/>
  <c r="J106" i="43"/>
  <c r="J105" i="43"/>
  <c r="J103" i="43"/>
  <c r="J109" i="43"/>
  <c r="N102" i="43"/>
  <c r="N105" i="43"/>
  <c r="N107" i="43"/>
  <c r="N103" i="43"/>
  <c r="N106" i="43"/>
  <c r="N104" i="43"/>
  <c r="N109" i="43"/>
  <c r="C104" i="43"/>
  <c r="C106" i="43"/>
  <c r="C107" i="43"/>
  <c r="C103" i="43"/>
  <c r="C102" i="43"/>
  <c r="C109" i="43"/>
  <c r="C105" i="43"/>
  <c r="J10" i="40"/>
  <c r="AC10" i="40" s="1"/>
  <c r="H10" i="39"/>
  <c r="U10" i="39" s="1"/>
  <c r="F10" i="40"/>
  <c r="AA10" i="40" s="1"/>
  <c r="J10" i="39"/>
  <c r="AC10" i="39" s="1"/>
  <c r="H10" i="40"/>
  <c r="U10" i="40" s="1"/>
  <c r="E36" i="43"/>
  <c r="G36" i="43"/>
  <c r="I36" i="43" s="1"/>
  <c r="C34" i="43"/>
  <c r="G34" i="43" s="1"/>
  <c r="I34" i="43" s="1"/>
  <c r="C37" i="43"/>
  <c r="E37" i="43" s="1"/>
  <c r="C38" i="43"/>
  <c r="G38" i="43" s="1"/>
  <c r="I38" i="43" s="1"/>
  <c r="D70" i="39"/>
  <c r="E68" i="39"/>
  <c r="C20" i="71"/>
  <c r="T21" i="71"/>
  <c r="D21" i="71"/>
  <c r="U21" i="71" s="1"/>
  <c r="W36" i="35"/>
  <c r="AC36" i="35"/>
  <c r="S34" i="35"/>
  <c r="AA34" i="35"/>
  <c r="F28" i="12"/>
  <c r="C29" i="12" s="1"/>
  <c r="D28" i="12" s="1"/>
  <c r="F27" i="11"/>
  <c r="F27" i="69"/>
  <c r="F27" i="68"/>
  <c r="N16" i="1"/>
  <c r="L16" i="1"/>
  <c r="K15" i="1"/>
  <c r="K16" i="1" s="1"/>
  <c r="E30" i="6"/>
  <c r="E31" i="6" s="1"/>
  <c r="C34" i="11"/>
  <c r="T13" i="43"/>
  <c r="V13" i="43" s="1"/>
  <c r="T10" i="43"/>
  <c r="V10" i="43" s="1"/>
  <c r="C38" i="69"/>
  <c r="T9" i="43"/>
  <c r="V9" i="43" s="1"/>
  <c r="T12" i="43"/>
  <c r="V12" i="43" s="1"/>
  <c r="B20" i="71"/>
  <c r="B19" i="71" s="1"/>
  <c r="B18" i="71" s="1"/>
  <c r="B17" i="71" s="1"/>
  <c r="S21" i="71"/>
  <c r="B63" i="71"/>
  <c r="N64" i="71"/>
  <c r="AB34" i="35"/>
  <c r="U34" i="35"/>
  <c r="U9" i="34"/>
  <c r="AB9" i="34"/>
  <c r="C34" i="68"/>
  <c r="P7" i="1"/>
  <c r="P16" i="1" s="1"/>
  <c r="C11" i="12" s="1"/>
  <c r="E12" i="71"/>
  <c r="E11" i="71" s="1"/>
  <c r="E10" i="71" s="1"/>
  <c r="E9" i="71" s="1"/>
  <c r="V13" i="71"/>
  <c r="T8" i="43"/>
  <c r="V8" i="43" s="1"/>
  <c r="T16" i="43"/>
  <c r="V16" i="43" s="1"/>
  <c r="T15" i="43"/>
  <c r="V15" i="43" s="1"/>
  <c r="F59" i="67"/>
  <c r="G35" i="43"/>
  <c r="I35" i="43" s="1"/>
  <c r="H7" i="37"/>
  <c r="AB7" i="37" s="1"/>
  <c r="T42" i="37" s="1"/>
  <c r="G42" i="37" s="1"/>
  <c r="B40" i="1"/>
  <c r="AB10" i="40"/>
  <c r="S10" i="39"/>
  <c r="AA10" i="39"/>
  <c r="H7" i="33"/>
  <c r="J7" i="33"/>
  <c r="D65" i="40"/>
  <c r="E63" i="40"/>
  <c r="F48" i="35"/>
  <c r="AC7" i="37"/>
  <c r="V42" i="37" s="1"/>
  <c r="I42" i="37" s="1"/>
  <c r="W7" i="37"/>
  <c r="U7" i="37"/>
  <c r="AB7" i="34"/>
  <c r="T49" i="34" s="1"/>
  <c r="G49" i="34" s="1"/>
  <c r="U7" i="34"/>
  <c r="AA7" i="34"/>
  <c r="R49" i="34" s="1"/>
  <c r="S7" i="34"/>
  <c r="W10" i="40"/>
  <c r="S10" i="40"/>
  <c r="F7" i="33"/>
  <c r="E58" i="21"/>
  <c r="F7" i="37"/>
  <c r="W7" i="34"/>
  <c r="AC7" i="34"/>
  <c r="V49" i="34" s="1"/>
  <c r="I49" i="34" s="1"/>
  <c r="G37" i="43"/>
  <c r="I37" i="43" s="1"/>
  <c r="M17" i="67"/>
  <c r="M17" i="15"/>
  <c r="F59" i="15"/>
  <c r="P24" i="43"/>
  <c r="B66" i="40" s="1"/>
  <c r="P21" i="43"/>
  <c r="C49" i="67"/>
  <c r="E39" i="43"/>
  <c r="G39" i="43"/>
  <c r="I39" i="43" s="1"/>
  <c r="P25" i="43"/>
  <c r="P23" i="43"/>
  <c r="B71" i="39" s="1"/>
  <c r="E38" i="43"/>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Y6" i="3" l="1"/>
  <c r="E3" i="6"/>
  <c r="C33" i="71"/>
  <c r="D32" i="71"/>
  <c r="T29" i="71"/>
  <c r="D29" i="71"/>
  <c r="K22" i="6"/>
  <c r="M22" i="6" s="1"/>
  <c r="I22" i="6" s="1"/>
  <c r="S22" i="6" s="1"/>
  <c r="K23" i="6"/>
  <c r="M23" i="6" s="1"/>
  <c r="I23" i="6" s="1"/>
  <c r="S23" i="6" s="1"/>
  <c r="K26" i="6"/>
  <c r="M26" i="6" s="1"/>
  <c r="I26" i="6" s="1"/>
  <c r="S26" i="6" s="1"/>
  <c r="K19" i="6"/>
  <c r="K21" i="6"/>
  <c r="M21" i="6" s="1"/>
  <c r="I21" i="6" s="1"/>
  <c r="S21" i="6" s="1"/>
  <c r="K24" i="6"/>
  <c r="M24" i="6" s="1"/>
  <c r="I24" i="6" s="1"/>
  <c r="S24" i="6" s="1"/>
  <c r="K25" i="6"/>
  <c r="M25" i="6" s="1"/>
  <c r="I25" i="6" s="1"/>
  <c r="S25" i="6" s="1"/>
  <c r="K20" i="6"/>
  <c r="M20" i="6" s="1"/>
  <c r="I20" i="6" s="1"/>
  <c r="S20" i="6" s="1"/>
  <c r="C23" i="71"/>
  <c r="D23" i="71" s="1"/>
  <c r="D24" i="71"/>
  <c r="T61" i="71"/>
  <c r="D61" i="71"/>
  <c r="L46" i="36"/>
  <c r="AB10" i="39"/>
  <c r="W10" i="39"/>
  <c r="E6" i="3"/>
  <c r="S6" i="43"/>
  <c r="T6" i="43" s="1"/>
  <c r="V6" i="43" s="1"/>
  <c r="S2" i="43"/>
  <c r="T2" i="43" s="1"/>
  <c r="V2" i="43" s="1"/>
  <c r="S5" i="43"/>
  <c r="T5" i="43" s="1"/>
  <c r="V5" i="43" s="1"/>
  <c r="C23" i="43"/>
  <c r="C21" i="43" s="1"/>
  <c r="C29" i="43" s="1"/>
  <c r="S3" i="43"/>
  <c r="T3" i="43" s="1"/>
  <c r="V3" i="43" s="1"/>
  <c r="S4" i="43"/>
  <c r="T4" i="43" s="1"/>
  <c r="V4" i="43" s="1"/>
  <c r="S7" i="43"/>
  <c r="T7" i="43" s="1"/>
  <c r="V7" i="43" s="1"/>
  <c r="C26" i="43"/>
  <c r="F68" i="39"/>
  <c r="E70" i="39"/>
  <c r="C15" i="12"/>
  <c r="C12" i="12"/>
  <c r="E8" i="71"/>
  <c r="E7" i="71" s="1"/>
  <c r="E6" i="71" s="1"/>
  <c r="E5" i="71" s="1"/>
  <c r="V9" i="71"/>
  <c r="C35" i="68"/>
  <c r="C38" i="68"/>
  <c r="N62" i="71"/>
  <c r="N63" i="71"/>
  <c r="B16" i="71"/>
  <c r="B15" i="71" s="1"/>
  <c r="B14" i="71" s="1"/>
  <c r="B13" i="71" s="1"/>
  <c r="S17" i="71"/>
  <c r="C38" i="11"/>
  <c r="C35" i="11"/>
  <c r="F50" i="69"/>
  <c r="F50" i="68"/>
  <c r="F50" i="11"/>
  <c r="F45" i="69"/>
  <c r="C47" i="69"/>
  <c r="D45" i="69" s="1"/>
  <c r="C29" i="69"/>
  <c r="D27" i="69" s="1"/>
  <c r="D3" i="34"/>
  <c r="D3" i="33"/>
  <c r="E6" i="6"/>
  <c r="D37" i="11"/>
  <c r="C37" i="11" s="1"/>
  <c r="D14" i="12"/>
  <c r="M18" i="9"/>
  <c r="B118" i="9" s="1"/>
  <c r="B14" i="74" s="1"/>
  <c r="B1" i="74" s="1"/>
  <c r="D19" i="11"/>
  <c r="C19" i="11" s="1"/>
  <c r="C17" i="4"/>
  <c r="B4" i="52" s="1"/>
  <c r="B43" i="72" s="1"/>
  <c r="L18" i="9"/>
  <c r="D3" i="37"/>
  <c r="D3" i="21"/>
  <c r="F45" i="68"/>
  <c r="C29" i="68"/>
  <c r="D27" i="68" s="1"/>
  <c r="C47" i="68"/>
  <c r="D45" i="68" s="1"/>
  <c r="C47" i="11"/>
  <c r="D45" i="11" s="1"/>
  <c r="C29" i="11"/>
  <c r="D27" i="11" s="1"/>
  <c r="C19" i="71"/>
  <c r="D2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43" i="3"/>
  <c r="AY199" i="3"/>
  <c r="AY116" i="3"/>
  <c r="AY269" i="3"/>
  <c r="AY229" i="3"/>
  <c r="AY244" i="3"/>
  <c r="AY212" i="3"/>
  <c r="AY390" i="3"/>
  <c r="AY379" i="3"/>
  <c r="AY355" i="3"/>
  <c r="AY343" i="3"/>
  <c r="AY311" i="3"/>
  <c r="AY326" i="3"/>
  <c r="AY481" i="3"/>
  <c r="AY478" i="3"/>
  <c r="AY447" i="3"/>
  <c r="AY436" i="3"/>
  <c r="AY417" i="3"/>
  <c r="AY535" i="3"/>
  <c r="AY557" i="3"/>
  <c r="AY562" i="3"/>
  <c r="AY573" i="3"/>
  <c r="AY574" i="3"/>
  <c r="BO6" i="3"/>
  <c r="AY539" i="3"/>
  <c r="AY555" i="3"/>
  <c r="AY89" i="3"/>
  <c r="AY100" i="3"/>
  <c r="AY69" i="3"/>
  <c r="AY84" i="3"/>
  <c r="AY52" i="3"/>
  <c r="AY36" i="3"/>
  <c r="AY25" i="3"/>
  <c r="AY182" i="3"/>
  <c r="AY178" i="3"/>
  <c r="AY146" i="3"/>
  <c r="AY173" i="3"/>
  <c r="AY141" i="3"/>
  <c r="AY134" i="3"/>
  <c r="AY117" i="3"/>
  <c r="AY302" i="3"/>
  <c r="AY271" i="3"/>
  <c r="AY239" i="3"/>
  <c r="AY254" i="3"/>
  <c r="AY238" i="3"/>
  <c r="AY227" i="3"/>
  <c r="AY211" i="3"/>
  <c r="AY389" i="3"/>
  <c r="AY373" i="3"/>
  <c r="AY368" i="3"/>
  <c r="AY507" i="3"/>
  <c r="BB6" i="3"/>
  <c r="AY93" i="3"/>
  <c r="AY57" i="3"/>
  <c r="AY40" i="3"/>
  <c r="AY186" i="3"/>
  <c r="AY181" i="3"/>
  <c r="AY161" i="3"/>
  <c r="AY121" i="3"/>
  <c r="AY275" i="3"/>
  <c r="AY243" i="3"/>
  <c r="AY226" i="3"/>
  <c r="AY393" i="3"/>
  <c r="AY356" i="3"/>
  <c r="AY341" i="3"/>
  <c r="AY309" i="3"/>
  <c r="AY340" i="3"/>
  <c r="AY308" i="3"/>
  <c r="AY483" i="3"/>
  <c r="AY480" i="3"/>
  <c r="AY464" i="3"/>
  <c r="AY454" i="3"/>
  <c r="AY422" i="3"/>
  <c r="AY435" i="3"/>
  <c r="AY403" i="3"/>
  <c r="AY525" i="3"/>
  <c r="AY580" i="3"/>
  <c r="AY572" i="3"/>
  <c r="BN6" i="3"/>
  <c r="AY527" i="3"/>
  <c r="AY518" i="3"/>
  <c r="AY559" i="3"/>
  <c r="AY508" i="3"/>
  <c r="AY532" i="3"/>
  <c r="AY496" i="3"/>
  <c r="AY523" i="3"/>
  <c r="AY112" i="3"/>
  <c r="AY49" i="3"/>
  <c r="AY64" i="3"/>
  <c r="AY21" i="3"/>
  <c r="AY205" i="3"/>
  <c r="AY142" i="3"/>
  <c r="AY153" i="3"/>
  <c r="AY113" i="3"/>
  <c r="AY298" i="3"/>
  <c r="AY267" i="3"/>
  <c r="AY250" i="3"/>
  <c r="AY396" i="3"/>
  <c r="AY361" i="3"/>
  <c r="AY337" i="3"/>
  <c r="AY321" i="3"/>
  <c r="AY336" i="3"/>
  <c r="AY320" i="3"/>
  <c r="AY304" i="3"/>
  <c r="AY479" i="3"/>
  <c r="AY476" i="3"/>
  <c r="AY445" i="3"/>
  <c r="AY434" i="3"/>
  <c r="AY402" i="3"/>
  <c r="AY431" i="3"/>
  <c r="AY399" i="3"/>
  <c r="AY505" i="3"/>
  <c r="AY538" i="3"/>
  <c r="AY564" i="3"/>
  <c r="AY575" i="3"/>
  <c r="AY515" i="3"/>
  <c r="AY551" i="3"/>
  <c r="AY545" i="3"/>
  <c r="BP6" i="3"/>
  <c r="AY563" i="3"/>
  <c r="AY110" i="3"/>
  <c r="AY79" i="3"/>
  <c r="AY62" i="3"/>
  <c r="AY30" i="3"/>
  <c r="AY203" i="3"/>
  <c r="AY140" i="3"/>
  <c r="AY120" i="3"/>
  <c r="AY296" i="3"/>
  <c r="AY265" i="3"/>
  <c r="AY248" i="3"/>
  <c r="AY216" i="3"/>
  <c r="AY383" i="3"/>
  <c r="AY347" i="3"/>
  <c r="AY330" i="3"/>
  <c r="AY485" i="3"/>
  <c r="AY451" i="3"/>
  <c r="AY408" i="3"/>
  <c r="AY500" i="3"/>
  <c r="AY547" i="3"/>
  <c r="AY568" i="3"/>
  <c r="AY107" i="3"/>
  <c r="AY71" i="3"/>
  <c r="AY39" i="3"/>
  <c r="AY22" i="3"/>
  <c r="AY195" i="3"/>
  <c r="AY175" i="3"/>
  <c r="AY143" i="3"/>
  <c r="AY293" i="3"/>
  <c r="AY257" i="3"/>
  <c r="AY272" i="3"/>
  <c r="AY208" i="3"/>
  <c r="AY375" i="3"/>
  <c r="AY339" i="3"/>
  <c r="AY322" i="3"/>
  <c r="AY477" i="3"/>
  <c r="AY443" i="3"/>
  <c r="AY400" i="3"/>
  <c r="AY521" i="3"/>
  <c r="AY566" i="3"/>
  <c r="AY583" i="3"/>
  <c r="AY567" i="3"/>
  <c r="AY526" i="3"/>
  <c r="AY404" i="3"/>
  <c r="AY540" i="3"/>
  <c r="AY105" i="3"/>
  <c r="AY85" i="3"/>
  <c r="AY53" i="3"/>
  <c r="AY68" i="3"/>
  <c r="AY20" i="3"/>
  <c r="AY198" i="3"/>
  <c r="AY193" i="3"/>
  <c r="AY162" i="3"/>
  <c r="AY157" i="3"/>
  <c r="AY126" i="3"/>
  <c r="AY291" i="3"/>
  <c r="AY286" i="3"/>
  <c r="AY255" i="3"/>
  <c r="AY270" i="3"/>
  <c r="AY222" i="3"/>
  <c r="AY384" i="3"/>
  <c r="AY365" i="3"/>
  <c r="BS6" i="3"/>
  <c r="BI6" i="3"/>
  <c r="AY88" i="3"/>
  <c r="AY72" i="3"/>
  <c r="AY29" i="3"/>
  <c r="AY150" i="3"/>
  <c r="AY130" i="3"/>
  <c r="AY279" i="3"/>
  <c r="AY258" i="3"/>
  <c r="AY215" i="3"/>
  <c r="AY370" i="3"/>
  <c r="AY325" i="3"/>
  <c r="AY324" i="3"/>
  <c r="AY467" i="3"/>
  <c r="AY449" i="3"/>
  <c r="AY438" i="3"/>
  <c r="AY406" i="3"/>
  <c r="AY419" i="3"/>
  <c r="AY503" i="3"/>
  <c r="AY516" i="3"/>
  <c r="AY536" i="3"/>
  <c r="AY520" i="3"/>
  <c r="AY552" i="3"/>
  <c r="AY543" i="3"/>
  <c r="AY556" i="3"/>
  <c r="AY577" i="3"/>
  <c r="AY81" i="3"/>
  <c r="AY32" i="3"/>
  <c r="AY174" i="3"/>
  <c r="AY122" i="3"/>
  <c r="AY235" i="3"/>
  <c r="AY218" i="3"/>
  <c r="AY385" i="3"/>
  <c r="AY352" i="3"/>
  <c r="AY305" i="3"/>
  <c r="AY492" i="3"/>
  <c r="AY461" i="3"/>
  <c r="AY450" i="3"/>
  <c r="AY418" i="3"/>
  <c r="AY415" i="3"/>
  <c r="AY17" i="3"/>
  <c r="AY522" i="3"/>
  <c r="AY537" i="3"/>
  <c r="AY530" i="3"/>
  <c r="AY548" i="3"/>
  <c r="AY493" i="3"/>
  <c r="AY47" i="3"/>
  <c r="AY19" i="3"/>
  <c r="AY172" i="3"/>
  <c r="AY151" i="3"/>
  <c r="AY301" i="3"/>
  <c r="AY233" i="3"/>
  <c r="AY394" i="3"/>
  <c r="AY359" i="3"/>
  <c r="AY315" i="3"/>
  <c r="AY482" i="3"/>
  <c r="AY440" i="3"/>
  <c r="AY421" i="3"/>
  <c r="AY13" i="3"/>
  <c r="AY528" i="3"/>
  <c r="AY576" i="3"/>
  <c r="AY102" i="3"/>
  <c r="AY54" i="3"/>
  <c r="AY200" i="3"/>
  <c r="AY164" i="3"/>
  <c r="AY136" i="3"/>
  <c r="AY288" i="3"/>
  <c r="AY240" i="3"/>
  <c r="AY386" i="3"/>
  <c r="AY351" i="3"/>
  <c r="AY307" i="3"/>
  <c r="AY474" i="3"/>
  <c r="AY432" i="3"/>
  <c r="AY413" i="3"/>
  <c r="AY15" i="3"/>
  <c r="BT6" i="3"/>
  <c r="I53" i="34"/>
  <c r="J53" i="34" s="1"/>
  <c r="F58" i="21"/>
  <c r="F63" i="40"/>
  <c r="E65" i="40"/>
  <c r="W7" i="33"/>
  <c r="AC7" i="33"/>
  <c r="V48" i="33" s="1"/>
  <c r="I48" i="33" s="1"/>
  <c r="AA7" i="37"/>
  <c r="R42" i="37" s="1"/>
  <c r="S7" i="37"/>
  <c r="S7" i="33"/>
  <c r="AA7" i="33"/>
  <c r="R48" i="33" s="1"/>
  <c r="R50" i="34"/>
  <c r="E49" i="34"/>
  <c r="G53" i="34"/>
  <c r="H53" i="34" s="1"/>
  <c r="G54" i="34"/>
  <c r="H54" i="34"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S6" i="1" l="1"/>
  <c r="K27" i="6"/>
  <c r="M19" i="6"/>
  <c r="M46" i="36"/>
  <c r="T33" i="71"/>
  <c r="D33" i="71"/>
  <c r="F69" i="15"/>
  <c r="J29" i="15"/>
  <c r="E29" i="43"/>
  <c r="C30" i="43"/>
  <c r="E30" i="43" s="1"/>
  <c r="C27" i="43" s="1"/>
  <c r="G68" i="39"/>
  <c r="F70" i="39"/>
  <c r="C18" i="71"/>
  <c r="D19" i="71"/>
  <c r="C20" i="11"/>
  <c r="C28" i="11" s="1"/>
  <c r="C27" i="11" s="1"/>
  <c r="D17" i="12"/>
  <c r="C17" i="12" s="1"/>
  <c r="C14" i="12"/>
  <c r="C16" i="12" s="1"/>
  <c r="D10" i="11"/>
  <c r="C10" i="11" s="1"/>
  <c r="D20" i="12"/>
  <c r="C20" i="12" s="1"/>
  <c r="D10" i="68"/>
  <c r="D10" i="69"/>
  <c r="B12" i="71"/>
  <c r="B11" i="71" s="1"/>
  <c r="B10" i="71" s="1"/>
  <c r="B9" i="71" s="1"/>
  <c r="S13"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D30" i="6" s="1"/>
  <c r="E61" i="40"/>
  <c r="H23" i="6"/>
  <c r="H26" i="6"/>
  <c r="C8" i="74"/>
  <c r="C7" i="74"/>
  <c r="C33" i="11"/>
  <c r="C39" i="11" s="1"/>
  <c r="C46" i="11" s="1"/>
  <c r="C45" i="11" s="1"/>
  <c r="E54" i="34"/>
  <c r="F54" i="34" s="1"/>
  <c r="E53" i="34"/>
  <c r="F53" i="34" s="1"/>
  <c r="R49" i="33"/>
  <c r="E48" i="33"/>
  <c r="I52" i="33"/>
  <c r="J52" i="33" s="1"/>
  <c r="I53" i="33"/>
  <c r="J53" i="33" s="1"/>
  <c r="I54" i="34"/>
  <c r="J54" i="34" s="1"/>
  <c r="G52" i="33"/>
  <c r="H52" i="33" s="1"/>
  <c r="G53" i="33"/>
  <c r="H53" i="33" s="1"/>
  <c r="H48" i="35"/>
  <c r="C49" i="34"/>
  <c r="C50" i="34"/>
  <c r="B2" i="34" s="1"/>
  <c r="B3" i="34" s="1"/>
  <c r="R43" i="37"/>
  <c r="E42" i="37"/>
  <c r="G63" i="40"/>
  <c r="F65" i="40"/>
  <c r="G58" i="21"/>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17" i="15"/>
  <c r="N46" i="36" l="1"/>
  <c r="I19" i="6"/>
  <c r="M27" i="6"/>
  <c r="AQ6" i="1"/>
  <c r="E6" i="70"/>
  <c r="E2" i="70" s="1"/>
  <c r="S16" i="1"/>
  <c r="T6" i="1"/>
  <c r="AR6" i="1"/>
  <c r="C42" i="11"/>
  <c r="C43" i="11"/>
  <c r="C25" i="11"/>
  <c r="C22" i="11" s="1"/>
  <c r="C31" i="11" s="1"/>
  <c r="D16" i="6"/>
  <c r="E2" i="76"/>
  <c r="H68" i="39"/>
  <c r="G70" i="39"/>
  <c r="R26" i="6"/>
  <c r="D8" i="74"/>
  <c r="D7" i="74"/>
  <c r="R20" i="6"/>
  <c r="R21" i="6"/>
  <c r="C10" i="69"/>
  <c r="C8" i="69" s="1"/>
  <c r="C5" i="69" s="1"/>
  <c r="D19" i="69"/>
  <c r="R23" i="6"/>
  <c r="A7" i="51"/>
  <c r="B7" i="72" s="1"/>
  <c r="C4" i="52"/>
  <c r="B45" i="72" s="1"/>
  <c r="A10" i="51"/>
  <c r="B9" i="72" s="1"/>
  <c r="D27" i="6"/>
  <c r="D31" i="6" s="1"/>
  <c r="R24" i="6"/>
  <c r="R22" i="6"/>
  <c r="R25" i="6"/>
  <c r="B8" i="71"/>
  <c r="B7" i="71" s="1"/>
  <c r="B6" i="71" s="1"/>
  <c r="B5" i="71" s="1"/>
  <c r="S9" i="71"/>
  <c r="C10" i="68"/>
  <c r="D19" i="68"/>
  <c r="D18" i="71"/>
  <c r="C17"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4" i="15"/>
  <c r="B29" i="1" l="1"/>
  <c r="C8" i="68" s="1"/>
  <c r="C18" i="15"/>
  <c r="C15" i="15"/>
  <c r="T16" i="1"/>
  <c r="I27" i="6"/>
  <c r="H19" i="6"/>
  <c r="S19" i="6"/>
  <c r="S27" i="6" s="1"/>
  <c r="O46" i="36"/>
  <c r="J7" i="36" s="1"/>
  <c r="F7" i="36"/>
  <c r="H7" i="36"/>
  <c r="B3" i="76"/>
  <c r="C41" i="11"/>
  <c r="C49" i="11" s="1"/>
  <c r="C51" i="11" s="1"/>
  <c r="C52" i="11" s="1"/>
  <c r="B2" i="11" s="1"/>
  <c r="B3" i="11" s="1"/>
  <c r="C18" i="12"/>
  <c r="C21" i="12" s="1"/>
  <c r="C22" i="12" s="1"/>
  <c r="C30" i="12" s="1"/>
  <c r="C28" i="12" s="1"/>
  <c r="I68" i="39"/>
  <c r="H70" i="39"/>
  <c r="C16" i="71"/>
  <c r="T17" i="71"/>
  <c r="D17" i="71"/>
  <c r="U17" i="71" s="1"/>
  <c r="C19" i="68"/>
  <c r="D37" i="68"/>
  <c r="C37" i="68" s="1"/>
  <c r="C33" i="68" s="1"/>
  <c r="I6" i="6"/>
  <c r="I5" i="6"/>
  <c r="C19" i="69"/>
  <c r="C24" i="69" s="1"/>
  <c r="D37" i="69"/>
  <c r="C37" i="69" s="1"/>
  <c r="C33" i="69" s="1"/>
  <c r="C23" i="69"/>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19" i="15" l="1"/>
  <c r="C20" i="15" s="1"/>
  <c r="U7" i="36"/>
  <c r="AB7" i="36"/>
  <c r="T36" i="36" s="1"/>
  <c r="G36" i="36" s="1"/>
  <c r="W7" i="36"/>
  <c r="AC7" i="36"/>
  <c r="V36" i="36" s="1"/>
  <c r="I36" i="36" s="1"/>
  <c r="H27" i="6"/>
  <c r="R19" i="6"/>
  <c r="S7" i="36"/>
  <c r="AA7" i="36"/>
  <c r="R36" i="36" s="1"/>
  <c r="C20" i="69"/>
  <c r="C25" i="69" s="1"/>
  <c r="C22" i="69" s="1"/>
  <c r="C27" i="12"/>
  <c r="C25" i="12" s="1"/>
  <c r="C32" i="12" s="1"/>
  <c r="B2" i="12" s="1"/>
  <c r="B3" i="12" s="1"/>
  <c r="I70" i="39"/>
  <c r="J68" i="39"/>
  <c r="C24" i="68"/>
  <c r="C39" i="69"/>
  <c r="C43" i="69" s="1"/>
  <c r="C42" i="69"/>
  <c r="C39" i="68"/>
  <c r="C42" i="68"/>
  <c r="C15" i="71"/>
  <c r="D16" i="71"/>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26" i="15" l="1"/>
  <c r="C23" i="15"/>
  <c r="R37" i="36"/>
  <c r="E36" i="36"/>
  <c r="R6" i="1"/>
  <c r="R27" i="6"/>
  <c r="I40" i="36"/>
  <c r="J40" i="36" s="1"/>
  <c r="I41" i="36"/>
  <c r="J41" i="36" s="1"/>
  <c r="G41" i="36"/>
  <c r="H41" i="36" s="1"/>
  <c r="G40" i="36"/>
  <c r="H40" i="36" s="1"/>
  <c r="C28" i="69"/>
  <c r="C27" i="69" s="1"/>
  <c r="C31" i="69" s="1"/>
  <c r="C41" i="69"/>
  <c r="K68" i="39"/>
  <c r="J70" i="39"/>
  <c r="C14" i="71"/>
  <c r="D15" i="71"/>
  <c r="C46" i="68"/>
  <c r="C45" i="68" s="1"/>
  <c r="C43" i="68"/>
  <c r="C41" i="68" s="1"/>
  <c r="C46" i="69"/>
  <c r="C45" i="69" s="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F35" i="15"/>
  <c r="M21" i="15"/>
  <c r="C29" i="15" l="1"/>
  <c r="J19" i="15" s="1"/>
  <c r="J20" i="15"/>
  <c r="F63" i="15"/>
  <c r="C62" i="15" s="1"/>
  <c r="C34" i="15"/>
  <c r="C31" i="15" s="1"/>
  <c r="R16" i="1"/>
  <c r="C36" i="36"/>
  <c r="C37" i="36"/>
  <c r="B2" i="36" s="1"/>
  <c r="B3" i="36" s="1"/>
  <c r="E40" i="36"/>
  <c r="F40" i="36" s="1"/>
  <c r="E41" i="36"/>
  <c r="F41" i="36" s="1"/>
  <c r="C49" i="69"/>
  <c r="C51" i="69" s="1"/>
  <c r="C52" i="69" s="1"/>
  <c r="B2" i="69" s="1"/>
  <c r="B3" i="69" s="1"/>
  <c r="C49" i="68"/>
  <c r="C51" i="68" s="1"/>
  <c r="K70" i="39"/>
  <c r="L68" i="39"/>
  <c r="C13" i="71"/>
  <c r="D14"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36" i="15" l="1"/>
  <c r="C13" i="15"/>
  <c r="C75" i="15" s="1"/>
  <c r="J14" i="15"/>
  <c r="J59" i="15"/>
  <c r="J60" i="15" s="1"/>
  <c r="C57" i="15"/>
  <c r="Q49" i="15"/>
  <c r="J17" i="15"/>
  <c r="L70" i="39"/>
  <c r="M68" i="39"/>
  <c r="C57" i="69"/>
  <c r="C56" i="69" s="1"/>
  <c r="C12" i="71"/>
  <c r="T13" i="71"/>
  <c r="D13" i="71"/>
  <c r="U13" i="71" s="1"/>
  <c r="R39" i="35"/>
  <c r="E38" i="35"/>
  <c r="M63" i="40"/>
  <c r="L65" i="40"/>
  <c r="C37" i="15" l="1"/>
  <c r="C30" i="15" s="1"/>
  <c r="C39" i="15" s="1"/>
  <c r="C80" i="15" s="1"/>
  <c r="C79" i="15" s="1"/>
  <c r="C56" i="15"/>
  <c r="C65" i="15" s="1"/>
  <c r="Q70" i="15"/>
  <c r="Q48" i="15"/>
  <c r="L46" i="15"/>
  <c r="C64" i="15"/>
  <c r="C61" i="15"/>
  <c r="C59" i="15" s="1"/>
  <c r="J22" i="15"/>
  <c r="J13" i="15"/>
  <c r="J23" i="15" s="1"/>
  <c r="M70" i="39"/>
  <c r="N68" i="39"/>
  <c r="D12" i="71"/>
  <c r="C11" i="71"/>
  <c r="C39" i="35"/>
  <c r="B2" i="35" s="1"/>
  <c r="B3" i="35" s="1"/>
  <c r="C38" i="35"/>
  <c r="N63" i="40"/>
  <c r="M65" i="40"/>
  <c r="E43" i="35"/>
  <c r="F43" i="35" s="1"/>
  <c r="E42" i="35"/>
  <c r="F42" i="35" s="1"/>
  <c r="I43" i="35"/>
  <c r="J43" i="35" s="1"/>
  <c r="L51" i="15"/>
  <c r="Q69" i="15" l="1"/>
  <c r="Q68" i="15" s="1"/>
  <c r="C40" i="15"/>
  <c r="Q56" i="15" s="1"/>
  <c r="Q62" i="15" s="1"/>
  <c r="C58" i="15"/>
  <c r="C67" i="15" s="1"/>
  <c r="C68" i="15" s="1"/>
  <c r="C71" i="15" s="1"/>
  <c r="J16" i="15"/>
  <c r="J25" i="15" s="1"/>
  <c r="Q67" i="15"/>
  <c r="C83" i="15"/>
  <c r="C82" i="15" s="1"/>
  <c r="N70" i="39"/>
  <c r="F7" i="39" s="1"/>
  <c r="O68" i="39"/>
  <c r="O70" i="39" s="1"/>
  <c r="H7" i="39"/>
  <c r="J7" i="39"/>
  <c r="D11" i="71"/>
  <c r="C10" i="71"/>
  <c r="O63" i="40"/>
  <c r="O65" i="40" s="1"/>
  <c r="N65" i="40"/>
  <c r="C43" i="15" l="1"/>
  <c r="Q65" i="15"/>
  <c r="Q75" i="15" s="1"/>
  <c r="Q47" i="15"/>
  <c r="Q53" i="15" s="1"/>
  <c r="B2" i="15"/>
  <c r="B3" i="15" s="1"/>
  <c r="C46" i="15"/>
  <c r="W7" i="39"/>
  <c r="AC7" i="39"/>
  <c r="V47" i="39" s="1"/>
  <c r="I47" i="39" s="1"/>
  <c r="U7" i="39"/>
  <c r="AB7" i="39"/>
  <c r="T47" i="39" s="1"/>
  <c r="G47" i="39" s="1"/>
  <c r="S7" i="39"/>
  <c r="AA7" i="39"/>
  <c r="R47" i="39" s="1"/>
  <c r="D10" i="71"/>
  <c r="C9" i="71"/>
  <c r="J7" i="40"/>
  <c r="F7" i="40"/>
  <c r="H7" i="40"/>
  <c r="D20" i="9"/>
  <c r="D19" i="9"/>
  <c r="AO6" i="1"/>
  <c r="B6" i="70" l="1"/>
  <c r="B2" i="70" s="1"/>
  <c r="B3" i="70" s="1"/>
  <c r="D21" i="9"/>
  <c r="D102" i="9"/>
  <c r="D103" i="9"/>
  <c r="E47" i="39"/>
  <c r="R48" i="39"/>
  <c r="G52" i="39"/>
  <c r="H52" i="39" s="1"/>
  <c r="G51" i="39"/>
  <c r="H51" i="39" s="1"/>
  <c r="I52" i="39"/>
  <c r="J52" i="39" s="1"/>
  <c r="I51" i="39"/>
  <c r="J51" i="39" s="1"/>
  <c r="C8" i="71"/>
  <c r="T9" i="71"/>
  <c r="D9" i="71"/>
  <c r="U9" i="71" s="1"/>
  <c r="U7" i="40"/>
  <c r="AB7" i="40"/>
  <c r="T42" i="40" s="1"/>
  <c r="G42" i="40" s="1"/>
  <c r="AA7" i="40"/>
  <c r="R42" i="40" s="1"/>
  <c r="S7" i="40"/>
  <c r="AC7" i="40"/>
  <c r="V42" i="40" s="1"/>
  <c r="I42" i="40" s="1"/>
  <c r="W7" i="40"/>
  <c r="C47" i="39" l="1"/>
  <c r="C48" i="39"/>
  <c r="E51" i="39"/>
  <c r="F51" i="39" s="1"/>
  <c r="E52" i="39"/>
  <c r="F52" i="39" s="1"/>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J19" i="9" l="1"/>
  <c r="C6" i="68" l="1"/>
  <c r="C7" i="68" s="1"/>
  <c r="C5" i="68" s="1"/>
  <c r="C23" i="68" l="1"/>
  <c r="C20" i="68"/>
  <c r="C25" i="68" s="1"/>
  <c r="C28" i="68" l="1"/>
  <c r="C27" i="68" s="1"/>
  <c r="C22" i="68"/>
  <c r="C31" i="68" l="1"/>
  <c r="C52" i="68" s="1"/>
  <c r="B2" i="68" s="1"/>
  <c r="C19" i="9"/>
  <c r="C57" i="68" l="1"/>
  <c r="C56" i="68" s="1"/>
  <c r="G19" i="9"/>
  <c r="D22" i="9"/>
  <c r="C102" i="9"/>
  <c r="C21" i="9"/>
  <c r="B3" i="68"/>
  <c r="D34" i="9"/>
  <c r="D35" i="9"/>
  <c r="C20" i="9"/>
  <c r="C103" i="9" l="1"/>
  <c r="G20" i="9"/>
  <c r="J20" i="9"/>
  <c r="G21" i="9"/>
  <c r="C32" i="9"/>
  <c r="C35" i="9" l="1"/>
  <c r="F118" i="9" s="1"/>
  <c r="H118" i="9"/>
  <c r="C34" i="9"/>
  <c r="D118" i="9" s="1"/>
  <c r="J38" i="1"/>
  <c r="AK22" i="1"/>
  <c r="D14" i="74" l="1"/>
  <c r="H119" i="9"/>
  <c r="H5" i="52" s="1"/>
  <c r="C104" i="9"/>
  <c r="H101" i="9"/>
  <c r="H4" i="52"/>
  <c r="I118" i="9"/>
  <c r="D4" i="52"/>
  <c r="B47" i="72" s="1"/>
  <c r="D119" i="9"/>
  <c r="D5" i="52" s="1"/>
  <c r="B49" i="72" s="1"/>
  <c r="F4" i="52"/>
  <c r="B51" i="72" s="1"/>
  <c r="G118" i="9"/>
  <c r="G4" i="52" s="1"/>
  <c r="B52" i="72" s="1"/>
  <c r="F119" i="9"/>
  <c r="F5" i="52" s="1"/>
  <c r="B53" i="72" s="1"/>
  <c r="H102" i="9" l="1"/>
  <c r="D7" i="53" s="1"/>
  <c r="B21" i="72" s="1"/>
  <c r="I4" i="52"/>
  <c r="C105" i="9"/>
  <c r="E118" i="9"/>
  <c r="E4" i="52" s="1"/>
  <c r="B48" i="72" s="1"/>
  <c r="D5" i="53"/>
  <c r="M48" i="9"/>
  <c r="H107" i="9"/>
  <c r="D45" i="9"/>
  <c r="F14" i="74"/>
  <c r="B5" i="74"/>
  <c r="E14" i="74"/>
  <c r="D5" i="74" l="1"/>
  <c r="C5" i="74"/>
  <c r="C78" i="9"/>
  <c r="C73" i="9" s="1"/>
  <c r="D55" i="9"/>
  <c r="M53" i="9" s="1"/>
  <c r="C85" i="9"/>
  <c r="C64" i="9"/>
  <c r="C63" i="9" s="1"/>
  <c r="C67" i="9" s="1"/>
  <c r="D53" i="9"/>
  <c r="D52" i="9"/>
  <c r="C93" i="9"/>
  <c r="C86" i="9" s="1"/>
  <c r="C72" i="9"/>
  <c r="C79" i="9" s="1"/>
  <c r="D122" i="9"/>
  <c r="M49" i="9"/>
  <c r="D13" i="53"/>
  <c r="H108" i="9"/>
  <c r="D15" i="53" s="1"/>
  <c r="B31" i="72" s="1"/>
  <c r="D6" i="53"/>
  <c r="B22" i="72" s="1"/>
  <c r="B20" i="72"/>
  <c r="L65" i="9" l="1"/>
  <c r="M65" i="9" s="1"/>
  <c r="L63" i="9"/>
  <c r="M63" i="9" s="1"/>
  <c r="L67" i="9"/>
  <c r="M67" i="9" s="1"/>
  <c r="L66" i="9"/>
  <c r="M66" i="9" s="1"/>
  <c r="L64" i="9"/>
  <c r="M64" i="9" s="1"/>
  <c r="L68" i="9"/>
  <c r="M68" i="9" s="1"/>
  <c r="C80" i="9"/>
  <c r="E80" i="9" s="1"/>
  <c r="E81" i="9" s="1"/>
  <c r="C68" i="9"/>
  <c r="D54" i="9" s="1"/>
  <c r="D59" i="9"/>
  <c r="M55" i="9" s="1"/>
  <c r="D14" i="53"/>
  <c r="B32" i="72" s="1"/>
  <c r="B30" i="72"/>
  <c r="D123" i="9"/>
  <c r="D9" i="52" s="1"/>
  <c r="D8" i="52"/>
  <c r="G14" i="74"/>
  <c r="B6" i="74" s="1"/>
  <c r="C95" i="9"/>
  <c r="M69" i="9" l="1"/>
  <c r="N69" i="9" s="1"/>
  <c r="C6" i="74"/>
  <c r="D6" i="74"/>
  <c r="C96" i="9"/>
  <c r="E96" i="9" s="1"/>
  <c r="E97" i="9" s="1"/>
  <c r="C81" i="9"/>
  <c r="C97" i="9" l="1"/>
  <c r="D58" i="9" s="1"/>
  <c r="D56" i="9" s="1"/>
  <c r="M54" i="9" s="1"/>
  <c r="N57" i="9" s="1"/>
  <c r="P57"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<sst xmlns="http://schemas.openxmlformats.org/spreadsheetml/2006/main" count="7410" uniqueCount="3173">
  <si>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</si>
  <si>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</si>
  <si>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</si>
  <si>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</si>
  <si>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</si>
  <si>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</si>
  <si>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</si>
  <si>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</si>
  <si>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</si>
  <si>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</si>
  <si>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</si>
  <si>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</si>
  <si>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</si>
  <si>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</si>
  <si>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</si>
  <si>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</si>
  <si>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</si>
  <si>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</si>
  <si>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</si>
  <si>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</si>
  <si>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</si>
  <si>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</si>
  <si>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</si>
  <si>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</si>
  <si>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</si>
  <si>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</si>
  <si>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</si>
  <si>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</si>
  <si>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</si>
  <si>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</si>
  <si>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</si>
  <si>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</si>
  <si>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</si>
  <si>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</si>
  <si>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</si>
  <si>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</si>
  <si>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</si>
  <si>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</si>
  <si>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</si>
  <si>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</si>
  <si>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</si>
  <si>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</si>
  <si>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</si>
  <si>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</si>
  <si>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</si>
  <si>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</si>
  <si>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</si>
  <si>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</si>
  <si>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</si>
  <si>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</si>
  <si>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</si>
  <si>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</si>
  <si>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</si>
  <si>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</si>
  <si>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</si>
  <si>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</si>
  <si>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</si>
  <si>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</si>
  <si>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</si>
  <si>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</si>
  <si>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</si>
  <si>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</si>
  <si>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</si>
  <si>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</si>
  <si>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</si>
  <si>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</si>
  <si>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</si>
  <si>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</si>
  <si>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</si>
  <si>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</si>
  <si>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</si>
  <si>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</si>
  <si>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</si>
  <si>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</si>
  <si>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</si>
  <si>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</si>
  <si>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</si>
  <si>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</si>
  <si>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</si>
  <si>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</si>
  <si>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</si>
  <si>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</si>
  <si>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</si>
  <si>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</si>
  <si>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</si>
  <si>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</si>
  <si>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</si>
  <si>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</si>
  <si>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</si>
  <si>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</si>
  <si>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</si>
  <si>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</si>
  <si>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</si>
  <si>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</si>
  <si>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</si>
  <si>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</si>
  <si>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</si>
  <si>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</si>
  <si>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</si>
  <si>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</si>
  <si>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</si>
  <si>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</si>
  <si>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</si>
  <si>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</si>
  <si>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</si>
  <si>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</si>
  <si>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</si>
  <si>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</si>
  <si>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</si>
  <si>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</si>
  <si>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</si>
  <si>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</si>
  <si>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</si>
  <si>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</si>
  <si>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</si>
  <si>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</si>
  <si>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</si>
  <si>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</si>
  <si>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</si>
  <si>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</si>
  <si>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</si>
  <si>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</si>
  <si>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</si>
  <si>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</si>
  <si>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</si>
  <si>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</si>
  <si>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</si>
  <si>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</si>
  <si>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</si>
  <si>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</si>
  <si>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</si>
  <si>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</si>
  <si>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</si>
  <si>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</si>
  <si>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</si>
  <si>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</si>
  <si>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</si>
  <si>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</si>
  <si>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</si>
  <si>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</si>
  <si>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</si>
  <si>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</si>
  <si>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</si>
  <si>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</si>
  <si>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</si>
  <si>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</si>
  <si>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</si>
  <si>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</si>
  <si>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</si>
  <si>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</si>
  <si>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</si>
  <si>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</si>
  <si>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</si>
  <si>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</si>
  <si>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</si>
  <si>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</si>
  <si>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</si>
  <si>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</si>
  <si>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</si>
  <si>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</si>
  <si>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</si>
  <si>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</si>
  <si>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</si>
  <si>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</si>
  <si>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</si>
  <si>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</si>
  <si>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</si>
  <si>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</si>
  <si>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</si>
  <si>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</si>
  <si>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</si>
  <si>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</si>
  <si>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</si>
  <si>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</si>
  <si>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</si>
  <si>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</si>
  <si>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</si>
  <si>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</si>
  <si>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</si>
  <si>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</si>
  <si>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</si>
  <si>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</si>
  <si>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</si>
  <si>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</si>
  <si>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</si>
  <si>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</si>
  <si>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</si>
  <si>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</si>
  <si>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</si>
  <si>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</si>
  <si>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</si>
  <si>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</si>
  <si>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</si>
  <si>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</si>
  <si>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</si>
  <si>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</si>
  <si>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</si>
  <si>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</si>
  <si>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</si>
  <si>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</si>
  <si>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</si>
  <si>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</si>
  <si>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</si>
  <si>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</si>
  <si>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</si>
  <si>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</si>
  <si>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</si>
  <si>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</si>
  <si>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</si>
  <si>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</si>
  <si>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</si>
  <si>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</si>
  <si>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</si>
  <si>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</si>
  <si>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</si>
  <si>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</si>
  <si>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</si>
  <si>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</si>
  <si>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</si>
  <si>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</si>
  <si>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</si>
  <si>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</si>
  <si>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</si>
  <si>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</si>
  <si>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</si>
  <si>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</si>
  <si>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</si>
  <si>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</si>
  <si>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</si>
  <si>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</si>
  <si>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</si>
  <si>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</si>
  <si>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</si>
  <si>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</si>
  <si>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</si>
  <si>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</si>
  <si>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</si>
  <si>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</si>
  <si>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</si>
  <si>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</si>
  <si>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</si>
  <si>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</si>
  <si>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</si>
  <si>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</si>
  <si>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</si>
  <si>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</si>
  <si>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</si>
  <si>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</si>
  <si>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</si>
  <si>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</si>
  <si>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</si>
  <si>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</si>
  <si>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</si>
  <si>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</si>
  <si>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</si>
  <si>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</si>
  <si>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</si>
  <si>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</si>
  <si>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</si>
  <si>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</si>
  <si>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</si>
  <si>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</si>
  <si>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</si>
  <si>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</si>
  <si>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</si>
  <si>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</si>
  <si>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</si>
  <si>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</si>
  <si>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</si>
  <si>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</si>
  <si>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</si>
  <si>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</si>
  <si>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</si>
  <si>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</si>
  <si>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</si>
  <si>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</si>
  <si>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</si>
  <si>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</si>
  <si>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</si>
  <si>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</si>
  <si>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</si>
  <si>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</si>
  <si>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</si>
  <si>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</si>
  <si>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</si>
  <si>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</si>
  <si>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</si>
  <si>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</si>
  <si>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</si>
  <si>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</si>
  <si>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</si>
  <si>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</si>
  <si>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</si>
  <si>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</si>
  <si>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</si>
  <si>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</si>
  <si>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</si>
  <si>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</si>
  <si>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</si>
  <si>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</si>
  <si>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</si>
  <si>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</si>
  <si>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</si>
  <si>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</si>
  <si>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</si>
  <si>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</si>
  <si>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</si>
  <si>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</si>
  <si>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</si>
  <si>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</si>
  <si>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</si>
  <si>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</si>
  <si>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</si>
  <si>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</si>
  <si>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</si>
  <si>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</si>
  <si>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</si>
  <si>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</si>
  <si>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</si>
  <si>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</si>
  <si>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</si>
  <si>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</si>
  <si>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</si>
  <si>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</si>
  <si>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</si>
  <si>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</si>
  <si>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</si>
  <si>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</si>
  <si>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</si>
  <si>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</si>
  <si>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</si>
  <si>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</si>
  <si>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</si>
  <si>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</si>
  <si>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</si>
  <si>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</si>
  <si>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</si>
  <si>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</si>
  <si>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</si>
  <si>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</si>
  <si>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</si>
  <si>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</si>
  <si>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</si>
  <si>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</si>
  <si>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</si>
  <si>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</si>
  <si>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</si>
  <si>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</si>
  <si>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</si>
  <si>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</si>
  <si>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</si>
  <si>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</si>
  <si>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</si>
  <si>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</si>
  <si>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</si>
  <si>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</si>
  <si>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</si>
  <si>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</si>
  <si>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</si>
  <si>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</si>
  <si>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</si>
  <si>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</si>
  <si>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</si>
  <si>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</si>
  <si>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</si>
  <si>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</si>
  <si>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</si>
  <si>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</si>
  <si>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</si>
  <si>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</si>
  <si>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</si>
  <si>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</si>
  <si>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</si>
  <si>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</si>
  <si>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</si>
  <si>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</si>
  <si>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</si>
  <si>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</si>
  <si>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</si>
  <si>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</si>
  <si>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</si>
  <si>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</si>
  <si>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</si>
  <si>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</si>
  <si>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</si>
  <si>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</si>
  <si>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</si>
  <si>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</si>
  <si>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</si>
  <si>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</si>
  <si>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</si>
  <si>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</si>
  <si>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</si>
  <si>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</si>
  <si>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</si>
  <si>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</si>
  <si>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</si>
  <si>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</si>
  <si>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</si>
  <si>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</si>
  <si>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</si>
  <si>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</si>
  <si>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</si>
  <si>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</si>
  <si>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</si>
  <si>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</si>
  <si>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</si>
  <si>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</si>
  <si>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</si>
  <si>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</si>
  <si>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</si>
  <si>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</si>
  <si>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</si>
  <si>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</si>
  <si>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</si>
  <si>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</si>
  <si>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</si>
  <si>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</si>
  <si>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</si>
  <si>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</si>
  <si>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</si>
  <si>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</si>
  <si>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</si>
  <si>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</si>
  <si>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</si>
  <si>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</si>
  <si>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</si>
  <si>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</si>
  <si>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</si>
  <si>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</si>
  <si>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</si>
  <si>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</si>
  <si>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</si>
  <si>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</si>
  <si>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</si>
  <si>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</si>
  <si>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</si>
  <si>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</si>
  <si>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</si>
  <si>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</si>
  <si>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</si>
  <si>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</si>
  <si>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</si>
  <si>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</si>
  <si>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</si>
  <si>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</si>
  <si>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</si>
  <si>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</si>
  <si>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</si>
  <si>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</si>
  <si>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</si>
  <si>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</si>
  <si>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</si>
  <si>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</si>
  <si>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</si>
  <si>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</si>
  <si>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</si>
  <si>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</si>
  <si>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</si>
  <si>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</si>
  <si>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</si>
  <si>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</si>
  <si>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</si>
  <si>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</si>
  <si>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</si>
  <si>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</si>
  <si>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</si>
  <si>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</si>
  <si>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</si>
  <si>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</si>
  <si>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</si>
  <si>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</si>
  <si>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</si>
  <si>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</si>
  <si>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</si>
  <si>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</si>
  <si>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</si>
  <si>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</si>
  <si>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</si>
  <si>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</si>
  <si>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</si>
  <si>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</si>
  <si>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</si>
  <si>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</si>
  <si>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</si>
  <si>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</si>
  <si>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</si>
  <si>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</si>
  <si>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</si>
  <si>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</si>
  <si>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</si>
  <si>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</si>
  <si>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</si>
  <si>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</si>
  <si>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</si>
  <si>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</si>
  <si>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</si>
  <si>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</si>
  <si>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</si>
  <si>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</si>
  <si>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</si>
  <si>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</si>
  <si>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</si>
  <si>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</si>
  <si>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</si>
  <si>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</si>
  <si>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</si>
  <si>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</si>
  <si>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</si>
  <si>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</si>
  <si>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</si>
  <si>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</si>
  <si>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</si>
  <si>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</si>
  <si>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</si>
  <si>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</si>
  <si>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</si>
  <si>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</si>
  <si>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</si>
  <si>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</si>
  <si>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</si>
  <si>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</si>
  <si>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</si>
  <si>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</si>
  <si>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</si>
  <si>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</si>
  <si>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</si>
  <si>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</si>
  <si>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</si>
  <si>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</si>
  <si>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</si>
  <si>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</si>
  <si>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</si>
  <si>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</si>
  <si>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</si>
  <si>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</si>
  <si>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</si>
  <si>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</si>
  <si>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</si>
  <si>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</si>
  <si>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</si>
  <si>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</si>
  <si>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</si>
  <si>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</si>
  <si>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</si>
  <si>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</si>
  <si>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</si>
  <si>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</si>
  <si>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</si>
  <si>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</si>
  <si>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</si>
  <si>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</si>
  <si>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</si>
  <si>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</si>
  <si>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</si>
  <si>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</si>
  <si>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</si>
  <si>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</si>
  <si>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</si>
  <si>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</si>
  <si>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</si>
  <si>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</si>
  <si>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</si>
  <si>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</si>
  <si>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</si>
  <si>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</si>
  <si>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</si>
  <si>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</si>
  <si>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</si>
  <si>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</si>
  <si>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</si>
  <si>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</si>
  <si>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</si>
  <si>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</si>
  <si>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</si>
  <si>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</si>
  <si>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</si>
  <si>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</si>
  <si>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</si>
  <si>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</si>
  <si>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</si>
  <si>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</si>
  <si>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</si>
  <si>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</si>
  <si>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</si>
  <si>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</si>
  <si>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</si>
  <si>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</si>
  <si>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</si>
  <si>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</si>
  <si>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</si>
  <si>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</si>
  <si>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</si>
  <si>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</si>
  <si>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</si>
  <si>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</si>
  <si>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</si>
  <si>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</si>
  <si>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</si>
  <si>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</si>
  <si>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</si>
  <si>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</si>
  <si>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</si>
  <si>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</si>
  <si>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</si>
  <si>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</si>
  <si>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</si>
  <si>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</si>
  <si>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</si>
  <si>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</si>
  <si>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</si>
  <si>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</si>
  <si>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</si>
  <si>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</si>
  <si>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</si>
  <si>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</si>
  <si>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</si>
  <si>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</si>
  <si>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</si>
  <si>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</si>
  <si>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</si>
  <si>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</si>
  <si>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</si>
  <si>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</si>
  <si>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</si>
  <si>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</si>
  <si>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</si>
  <si>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</si>
  <si>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</si>
  <si>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</si>
  <si>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</si>
  <si>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</si>
  <si>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</si>
  <si>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</si>
  <si>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</si>
  <si>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</si>
  <si>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</si>
  <si>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</si>
  <si>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</si>
  <si>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</si>
  <si>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</si>
  <si>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</si>
  <si>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</si>
  <si>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</si>
  <si>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</si>
  <si>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</si>
  <si>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</si>
  <si>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</si>
  <si>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</si>
  <si>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</si>
  <si>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</si>
  <si>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</si>
  <si>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</si>
  <si>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</si>
  <si>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</si>
  <si>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</si>
  <si>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</si>
  <si>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</si>
  <si>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</si>
  <si>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</si>
  <si>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</si>
  <si>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</si>
  <si>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</si>
  <si>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</si>
  <si>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</si>
  <si>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</si>
  <si>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</si>
  <si>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</si>
  <si>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</si>
  <si>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</si>
  <si>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</si>
  <si>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</si>
  <si>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</si>
  <si>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</si>
  <si>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</si>
  <si>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</si>
  <si>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</si>
  <si>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</si>
  <si>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</si>
  <si>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</si>
  <si>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</si>
  <si>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</si>
  <si>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</si>
  <si>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</si>
  <si>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</si>
  <si>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</si>
  <si>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</si>
  <si>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</si>
  <si>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</si>
  <si>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</si>
  <si>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</si>
  <si>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</si>
  <si>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</si>
  <si>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</si>
  <si>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</si>
  <si>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</si>
  <si>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</si>
  <si>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</si>
  <si>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</si>
  <si>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</si>
  <si>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</si>
  <si>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</si>
  <si>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</si>
  <si>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</si>
  <si>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</si>
  <si>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</si>
  <si>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</si>
  <si>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</si>
  <si>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</si>
  <si>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</si>
  <si>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</si>
  <si>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</si>
  <si>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</si>
  <si>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</si>
  <si>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</si>
  <si>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</si>
  <si>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</si>
  <si>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</si>
  <si>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</si>
  <si>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</si>
  <si>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</si>
  <si>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</si>
  <si>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</si>
  <si>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</si>
  <si>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</si>
  <si>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</si>
  <si>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</si>
  <si>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</si>
  <si>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</si>
  <si>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</si>
  <si>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</si>
  <si>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</si>
  <si>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</si>
  <si>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</si>
  <si>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</si>
  <si>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</si>
  <si>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</si>
  <si>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</si>
  <si>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</si>
  <si>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</si>
  <si>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</si>
  <si>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</si>
  <si>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</si>
  <si>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</si>
  <si>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</si>
  <si>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</si>
  <si>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</si>
  <si>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</si>
  <si>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</si>
  <si>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</si>
  <si>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</si>
  <si>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</si>
  <si>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</si>
  <si>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</si>
  <si>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</si>
  <si>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</si>
  <si>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</si>
  <si>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</si>
  <si>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</si>
  <si>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</si>
  <si>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</si>
  <si>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</si>
  <si>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</si>
  <si>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</si>
  <si>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</si>
  <si>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</si>
  <si>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</si>
  <si>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</si>
  <si>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</si>
  <si>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</si>
  <si>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</si>
  <si>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</si>
  <si>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</si>
  <si>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</si>
  <si>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</si>
  <si>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</si>
  <si>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</si>
  <si>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</si>
  <si>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</si>
  <si>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</si>
  <si>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</si>
  <si>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</si>
  <si>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</si>
  <si>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</si>
  <si>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</si>
  <si>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</si>
  <si>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</si>
  <si>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</si>
  <si>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</si>
  <si>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</si>
  <si>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</si>
  <si>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</si>
  <si>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</si>
  <si>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</si>
  <si>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</si>
  <si>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</si>
  <si>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</si>
  <si>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</si>
  <si>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</si>
  <si>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</si>
  <si>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</si>
  <si>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</si>
  <si>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</si>
  <si>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</si>
  <si>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</si>
  <si>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</si>
  <si>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</si>
  <si>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</si>
  <si>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</si>
  <si>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</si>
  <si>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</si>
  <si>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</si>
  <si>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</si>
  <si>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</si>
  <si>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</si>
  <si>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</si>
  <si>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</si>
  <si>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</si>
  <si>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</si>
  <si>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</si>
  <si>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</si>
  <si>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</si>
  <si>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</si>
  <si>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</si>
  <si>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</si>
  <si>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</si>
  <si>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</si>
  <si>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</si>
  <si>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</si>
  <si>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</si>
  <si>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</si>
  <si>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</si>
  <si>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</si>
  <si>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</si>
  <si>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</si>
  <si>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</si>
  <si>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</si>
  <si>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</si>
  <si>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</si>
  <si>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</si>
  <si>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</si>
  <si>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</si>
  <si>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</si>
  <si>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</si>
  <si>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</si>
  <si>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</si>
  <si>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</si>
  <si>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</si>
  <si>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</si>
  <si>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</si>
  <si>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</si>
  <si>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</si>
  <si>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</si>
  <si>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</si>
  <si>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</si>
  <si>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</si>
  <si>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</si>
  <si>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</si>
  <si>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</si>
  <si>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</si>
  <si>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</si>
  <si>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</si>
  <si>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</si>
  <si>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</si>
  <si>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</si>
  <si>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</si>
  <si>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</si>
  <si>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</si>
  <si>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</si>
  <si>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</si>
  <si>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</si>
  <si>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</si>
  <si>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</si>
  <si>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</si>
  <si>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</si>
  <si>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</si>
  <si>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</si>
  <si>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</si>
  <si>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</si>
  <si>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</si>
  <si>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</si>
  <si>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</si>
  <si>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</si>
  <si>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</si>
  <si>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</si>
  <si>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</si>
  <si>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</si>
  <si>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</si>
  <si>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</si>
  <si>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</si>
  <si>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</si>
  <si>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</si>
  <si>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</si>
  <si>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</si>
  <si>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</si>
  <si>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</si>
  <si>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</si>
  <si>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</si>
  <si>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</si>
  <si>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</si>
  <si>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</si>
  <si>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</si>
  <si>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</si>
  <si>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</si>
  <si>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</si>
  <si>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</si>
  <si>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</si>
  <si>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</si>
  <si>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</si>
  <si>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</si>
  <si>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</si>
  <si>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</si>
  <si>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</si>
  <si>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</si>
  <si>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</si>
  <si>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</si>
  <si>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</si>
  <si>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</si>
  <si>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</si>
  <si>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</si>
  <si>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</si>
  <si>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</si>
  <si>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</si>
  <si>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</si>
  <si>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</si>
  <si>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</si>
  <si>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</si>
  <si>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</si>
  <si>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</si>
  <si>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</si>
  <si>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</si>
  <si>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</si>
  <si>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</si>
  <si>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</si>
  <si>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</si>
  <si>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</si>
  <si>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</si>
  <si>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</si>
  <si>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</si>
  <si>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</si>
  <si>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</si>
  <si>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</si>
  <si>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</si>
  <si>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</si>
  <si>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</si>
  <si>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</si>
  <si>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</si>
  <si>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</si>
  <si>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</si>
  <si>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</si>
  <si>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</si>
  <si>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</si>
  <si>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</si>
  <si>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</si>
  <si>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</si>
  <si>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</si>
  <si>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</si>
  <si>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</si>
  <si>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</si>
  <si>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</si>
  <si>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</si>
  <si>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</si>
  <si>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</si>
  <si>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</si>
  <si>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</si>
  <si>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</si>
  <si>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</si>
  <si>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</si>
  <si>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</si>
  <si>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</si>
  <si>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</si>
  <si>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</si>
  <si>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</si>
  <si>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</si>
  <si>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</si>
  <si>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</si>
  <si>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</si>
  <si>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</si>
  <si>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</si>
  <si>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</si>
  <si>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</si>
  <si>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</si>
  <si>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</si>
  <si>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</si>
  <si>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</si>
  <si>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</si>
  <si>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</si>
  <si>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</si>
  <si>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</si>
  <si>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</si>
  <si>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</si>
  <si>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</si>
  <si>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</si>
  <si>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</si>
  <si>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</si>
  <si>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</si>
  <si>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</si>
  <si>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</si>
  <si>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</si>
  <si>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</si>
  <si>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</si>
  <si>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</si>
  <si>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</si>
  <si>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</si>
  <si>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</si>
  <si>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</si>
  <si>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</si>
  <si>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</si>
  <si>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</si>
  <si>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</si>
  <si>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</si>
  <si>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</si>
  <si>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</si>
  <si>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</si>
  <si>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</si>
  <si>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</si>
  <si>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</si>
  <si>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</si>
  <si>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</si>
  <si>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</si>
  <si>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</si>
  <si>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</si>
  <si>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</si>
  <si>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</si>
  <si>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</si>
  <si>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</si>
  <si>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</si>
  <si>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</si>
  <si>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</si>
  <si>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</si>
  <si>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</si>
  <si>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</si>
  <si>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</si>
  <si>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</si>
  <si>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</si>
  <si>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</si>
  <si>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</si>
  <si>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</si>
  <si>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</si>
  <si>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</si>
  <si>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</si>
  <si>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</si>
  <si>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</si>
  <si>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</si>
  <si>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</si>
  <si>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</si>
  <si>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</si>
  <si>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</si>
  <si>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</si>
  <si>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</si>
  <si>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</si>
  <si>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</si>
  <si>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</si>
  <si>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</si>
  <si>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</si>
  <si>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</si>
  <si>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</si>
  <si>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</si>
  <si>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</si>
  <si>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</si>
  <si>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</si>
  <si>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</si>
  <si>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</si>
  <si>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</si>
  <si>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</si>
  <si>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</si>
  <si>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</si>
  <si>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</si>
  <si>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</si>
  <si>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</si>
  <si>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</si>
  <si>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</si>
  <si>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</si>
  <si>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</si>
  <si>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</si>
  <si>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</si>
  <si>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</si>
  <si>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</si>
  <si>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</si>
  <si>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</si>
  <si>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</si>
  <si>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</si>
  <si>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</si>
  <si>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</si>
  <si>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</si>
  <si>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</si>
  <si>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</si>
  <si>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</si>
  <si>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</si>
  <si>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</si>
  <si>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</si>
  <si>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</si>
  <si>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</si>
  <si>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</si>
  <si>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</si>
  <si>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</si>
  <si>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</si>
  <si>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</si>
  <si>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</si>
  <si>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</si>
  <si>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</si>
  <si>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</si>
  <si>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</si>
  <si>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</si>
  <si>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</si>
  <si>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</si>
  <si>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</si>
  <si>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</si>
  <si>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</si>
  <si>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</si>
  <si>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</si>
  <si>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</si>
  <si>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</si>
  <si>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</si>
  <si>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</si>
  <si>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</si>
  <si>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</si>
  <si>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</si>
  <si>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</si>
  <si>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</si>
  <si>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</si>
  <si>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</si>
  <si>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</si>
  <si>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</si>
  <si>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</si>
  <si>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</si>
  <si>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</si>
  <si>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</si>
  <si>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</si>
  <si>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</si>
  <si>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</si>
  <si>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</si>
  <si>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</si>
  <si>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</si>
  <si>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</si>
  <si>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</si>
  <si>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</si>
  <si>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</si>
  <si>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</si>
  <si>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</si>
  <si>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</si>
  <si>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</si>
  <si>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</si>
  <si>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</si>
  <si>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</si>
  <si>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</si>
  <si>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</si>
  <si>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</si>
  <si>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</si>
  <si>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</si>
  <si>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</si>
  <si>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</si>
  <si>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</si>
  <si>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</si>
  <si>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</si>
  <si>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</si>
  <si>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</si>
  <si>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</si>
  <si>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</si>
  <si>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</si>
  <si>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</si>
  <si>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</si>
  <si>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</si>
  <si>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</si>
  <si>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</si>
  <si>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</si>
  <si>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</si>
  <si>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</si>
  <si>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</si>
  <si>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</si>
  <si>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</si>
  <si>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</si>
  <si>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</si>
  <si>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</si>
  <si>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</si>
  <si>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</si>
  <si>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</si>
  <si>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</si>
  <si>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</si>
  <si>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</si>
  <si>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</si>
  <si>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</si>
  <si>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</si>
  <si>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</si>
  <si>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</si>
  <si>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</si>
  <si>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</si>
  <si>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</si>
  <si>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</si>
  <si>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</si>
  <si>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</si>
  <si>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</si>
  <si>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</si>
  <si>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</si>
  <si>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</si>
  <si>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</si>
  <si>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</si>
  <si>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</si>
  <si>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</si>
  <si>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</si>
  <si>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</si>
  <si>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</si>
  <si>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</si>
  <si>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</si>
  <si>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</si>
  <si>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</si>
  <si>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</si>
  <si>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</si>
  <si>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</si>
  <si>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</si>
  <si>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</si>
  <si>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</si>
  <si>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</si>
  <si>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</si>
  <si>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</si>
  <si>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</si>
  <si>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</si>
  <si>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</si>
  <si>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</si>
  <si>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</si>
  <si>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</si>
  <si>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</si>
  <si>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</si>
  <si>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</si>
  <si>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</si>
  <si>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</si>
  <si>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</si>
  <si>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</si>
  <si>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</si>
  <si>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</si>
  <si>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</si>
  <si>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</si>
  <si>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</si>
  <si>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</si>
  <si>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</si>
  <si>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</si>
  <si>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</si>
  <si>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</si>
  <si>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</si>
  <si>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</si>
  <si>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</si>
  <si>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</si>
  <si>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</si>
  <si>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</si>
  <si>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</si>
  <si>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</si>
  <si>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</si>
  <si>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</si>
  <si>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</si>
  <si>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</si>
  <si>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</si>
  <si>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</si>
  <si>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</si>
  <si>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</si>
  <si>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</si>
  <si>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</si>
  <si>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</si>
  <si>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</si>
  <si>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</si>
  <si>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</si>
  <si>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</si>
  <si>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</si>
  <si>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</si>
  <si>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</si>
  <si>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</si>
  <si>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</si>
  <si>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</si>
  <si>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</si>
  <si>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</si>
  <si>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</si>
  <si>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</si>
  <si>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</si>
  <si>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</si>
  <si>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</si>
  <si>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</si>
  <si>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</si>
  <si>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</si>
  <si>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</si>
  <si>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</si>
  <si>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</si>
  <si>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</si>
  <si>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</si>
  <si>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</si>
  <si>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</si>
  <si>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</si>
  <si>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</si>
  <si>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</si>
  <si>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</si>
  <si>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</si>
  <si>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</si>
  <si>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</si>
  <si>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</si>
  <si>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</si>
  <si>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</si>
  <si>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</si>
  <si>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</si>
  <si>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</si>
  <si>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</si>
  <si>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</si>
  <si>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</si>
  <si>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</si>
  <si>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</si>
  <si>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</si>
  <si>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</si>
  <si>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</si>
  <si>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</si>
  <si>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</si>
  <si>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</si>
  <si>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</si>
  <si>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</si>
  <si>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</si>
  <si>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</si>
  <si>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</si>
  <si>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</si>
  <si>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</si>
  <si>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</si>
  <si>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</si>
  <si>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</si>
  <si>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</si>
  <si>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</si>
  <si>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</si>
  <si>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</si>
  <si>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</si>
  <si>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</si>
  <si>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</si>
  <si>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</si>
  <si>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</si>
  <si>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</si>
  <si>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</si>
  <si>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</si>
  <si>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</si>
  <si>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</si>
  <si>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</si>
  <si>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</si>
  <si>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</si>
  <si>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</si>
  <si>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</si>
  <si>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</si>
  <si>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</si>
  <si>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</si>
  <si>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</si>
  <si>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</si>
  <si>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</si>
  <si>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</si>
  <si>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</si>
  <si>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</si>
  <si>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</si>
  <si>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</si>
  <si>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</si>
  <si>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</si>
  <si>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</si>
  <si>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</si>
  <si>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</si>
  <si>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</si>
  <si>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</si>
  <si>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</si>
  <si>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</si>
  <si>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</si>
  <si>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</si>
  <si>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</si>
  <si>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</si>
  <si>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</si>
  <si>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</si>
  <si>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</si>
  <si>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</si>
  <si>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</si>
  <si>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</si>
  <si>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</si>
  <si>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</si>
  <si>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</si>
  <si>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</si>
  <si>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</si>
  <si>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</si>
  <si>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</si>
  <si>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</si>
  <si>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</si>
  <si>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</si>
  <si>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</si>
  <si>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</si>
  <si>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</si>
  <si>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</si>
  <si>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</si>
  <si>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</si>
  <si>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</si>
  <si>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</si>
  <si>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</si>
  <si>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</si>
  <si>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</si>
  <si>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</si>
  <si>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</si>
  <si>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</si>
  <si>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</si>
  <si>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</si>
  <si>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</si>
  <si>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</si>
  <si>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</si>
  <si>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</si>
  <si>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</si>
  <si>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</si>
  <si>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</si>
  <si>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</si>
  <si>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</si>
  <si>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</si>
  <si>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</si>
  <si>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</si>
  <si>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</si>
  <si>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</si>
  <si>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</si>
  <si>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</si>
  <si>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</si>
  <si>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</si>
  <si>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</si>
  <si>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</si>
  <si>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</si>
  <si>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</si>
  <si>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</si>
  <si>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</si>
  <si>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</si>
  <si>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</si>
  <si>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</si>
  <si>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</si>
  <si>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</si>
  <si>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</si>
  <si>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</si>
  <si>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</si>
  <si>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</si>
  <si>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</si>
  <si>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</si>
  <si>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</si>
  <si>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</si>
  <si>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</si>
  <si>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</si>
  <si>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</si>
  <si>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</si>
  <si>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</si>
  <si>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</si>
  <si>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</si>
  <si>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</si>
  <si>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</si>
  <si>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</si>
  <si>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</si>
  <si>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</si>
  <si>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</si>
  <si>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</si>
  <si>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</si>
  <si>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</si>
  <si>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</si>
  <si>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</si>
  <si>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</si>
  <si>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</si>
  <si>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</si>
  <si>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</si>
  <si>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</si>
  <si>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</si>
  <si>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</si>
  <si>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</si>
  <si>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</si>
  <si>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</si>
  <si>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</si>
  <si>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</si>
  <si>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</si>
  <si>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</si>
  <si>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</si>
  <si>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</si>
  <si>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</si>
  <si>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</si>
  <si>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</si>
  <si>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</si>
  <si>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</si>
  <si>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</si>
  <si>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</si>
  <si>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</si>
  <si>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</si>
  <si>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</si>
  <si>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</si>
  <si>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</si>
  <si>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</si>
  <si>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</si>
  <si>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</si>
  <si>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</si>
  <si>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</si>
  <si>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</si>
  <si>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</si>
  <si>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</si>
  <si>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</si>
  <si>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</si>
  <si>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</si>
  <si>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</si>
  <si>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</si>
  <si>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</si>
  <si>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</si>
  <si>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</si>
  <si>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</si>
  <si>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</si>
  <si>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</si>
  <si>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</si>
  <si>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</si>
  <si>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</si>
  <si>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</si>
  <si>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</si>
  <si>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</si>
  <si>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</si>
  <si>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</si>
  <si>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</si>
  <si>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</si>
  <si>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</si>
  <si>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</si>
  <si>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</si>
  <si>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</si>
  <si>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</si>
  <si>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</si>
  <si>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</si>
  <si>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</si>
  <si>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</si>
  <si>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</si>
  <si>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</si>
  <si>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</si>
  <si>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</si>
  <si>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</si>
  <si>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</si>
  <si>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</si>
  <si>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</si>
  <si>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</si>
  <si>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</si>
  <si>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</si>
  <si>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</si>
  <si>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</si>
  <si>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</si>
  <si>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</si>
  <si>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</si>
  <si>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</si>
  <si>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</si>
  <si>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</si>
  <si>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</si>
  <si>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</si>
  <si>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</si>
  <si>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</si>
  <si>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</si>
  <si>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</si>
  <si>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</si>
  <si>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</si>
  <si>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</si>
  <si>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</si>
  <si>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</si>
  <si>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</si>
  <si>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</si>
  <si>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</si>
  <si>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</si>
  <si>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</si>
  <si>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</si>
  <si>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</si>
  <si>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</si>
  <si>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</si>
  <si>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</si>
  <si>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</si>
  <si>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</si>
  <si>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</si>
  <si>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</si>
  <si>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</si>
  <si>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</si>
  <si>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</si>
  <si>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</si>
  <si>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</si>
  <si>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</si>
  <si>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</si>
  <si>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</si>
  <si>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</si>
  <si>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</si>
  <si>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</si>
  <si>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</si>
  <si>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</si>
  <si>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</si>
  <si>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</si>
  <si>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</si>
  <si>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</si>
  <si>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</si>
  <si>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</si>
  <si>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</si>
  <si>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</si>
  <si>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</si>
  <si>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</si>
  <si>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</si>
  <si>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</si>
  <si>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</si>
  <si>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</si>
  <si>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</si>
  <si>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</si>
  <si>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</si>
  <si>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</si>
  <si>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</si>
  <si>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</si>
  <si>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</si>
  <si>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</si>
  <si>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</si>
  <si>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</si>
  <si>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</si>
  <si>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</si>
  <si>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</si>
  <si>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</si>
  <si>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</si>
  <si>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</si>
  <si>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</si>
  <si>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</si>
  <si>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</si>
  <si>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</si>
  <si>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</si>
  <si>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</si>
  <si>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</si>
  <si>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</si>
  <si>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</si>
  <si>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</si>
  <si>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</si>
  <si>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</si>
  <si>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</si>
  <si>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</si>
  <si>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</si>
  <si>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</si>
  <si>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</si>
  <si>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</si>
  <si>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</si>
  <si>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</si>
  <si>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</si>
  <si>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</si>
  <si>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</si>
  <si>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</si>
  <si>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</si>
  <si>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</si>
  <si>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</si>
  <si>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</si>
  <si>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</si>
  <si>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</si>
  <si>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</si>
  <si>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</si>
  <si>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</si>
  <si>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</si>
  <si>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</si>
  <si>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</si>
  <si>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</si>
  <si>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</si>
  <si>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</si>
  <si>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</si>
  <si>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</si>
  <si>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</si>
  <si>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</si>
  <si>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</si>
  <si>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</si>
  <si>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</si>
  <si>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</si>
  <si>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</si>
  <si>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</si>
  <si>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</si>
  <si>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</si>
  <si>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</si>
  <si>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</si>
  <si>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</si>
  <si>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</si>
  <si>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</si>
  <si>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</si>
  <si>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</si>
  <si>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</si>
  <si>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</si>
  <si>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</si>
  <si>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</si>
  <si>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</si>
  <si>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</si>
  <si>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</si>
  <si>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</si>
  <si>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</si>
  <si>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</si>
  <si>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</si>
  <si>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</si>
  <si>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</si>
  <si>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</si>
  <si>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</si>
  <si>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</si>
  <si>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</si>
  <si>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</si>
  <si>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</si>
  <si>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</si>
  <si>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</si>
  <si>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</si>
  <si>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</si>
  <si>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</si>
  <si>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</si>
  <si>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</si>
  <si>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</si>
  <si>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</si>
  <si>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</si>
  <si>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</si>
  <si>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</si>
  <si>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</si>
  <si>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</si>
  <si>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</si>
  <si>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</si>
  <si>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</si>
  <si>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</si>
  <si>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</si>
  <si>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</si>
  <si>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</si>
  <si>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</si>
  <si>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</si>
  <si>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</si>
  <si>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</si>
  <si>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</si>
  <si>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</si>
  <si>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</si>
  <si>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</si>
  <si>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</si>
  <si>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</si>
  <si>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</si>
  <si>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</si>
  <si>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</si>
  <si>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</si>
  <si>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</si>
  <si>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</si>
  <si>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</si>
  <si>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</si>
  <si>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</si>
  <si>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</si>
  <si>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</si>
  <si>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</si>
  <si>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</si>
  <si>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</si>
  <si>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</si>
  <si>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</si>
  <si>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</si>
  <si>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</si>
  <si>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</si>
  <si>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</si>
  <si>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</si>
  <si>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</si>
  <si>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</si>
  <si>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</si>
  <si>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</si>
  <si>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</si>
  <si>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</si>
  <si>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</si>
  <si>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</si>
  <si>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</si>
  <si>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</si>
  <si>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</si>
  <si>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</si>
  <si>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</si>
  <si>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</si>
  <si>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</si>
  <si>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</si>
  <si>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</si>
  <si>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</si>
  <si>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</si>
  <si>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</si>
  <si>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</si>
  <si>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</si>
  <si>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</si>
  <si>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</si>
  <si>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</si>
  <si>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</si>
  <si>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</si>
  <si>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</si>
  <si>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</si>
  <si>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</si>
  <si>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</si>
  <si>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</si>
  <si>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</si>
  <si>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</si>
  <si>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</si>
  <si>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</si>
  <si>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</si>
  <si>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</si>
  <si>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</si>
  <si>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</si>
  <si>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</si>
  <si>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</si>
  <si>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</si>
  <si>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</si>
  <si>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</si>
  <si>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</si>
  <si>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</si>
  <si>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</si>
  <si>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</si>
  <si>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</si>
  <si>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</si>
  <si>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</si>
  <si>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</si>
  <si>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</si>
  <si>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</si>
  <si>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</si>
  <si>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</si>
  <si>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</si>
  <si>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</si>
  <si>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</si>
  <si>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</si>
  <si>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</si>
  <si>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</si>
  <si>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</si>
  <si>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</si>
  <si>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</si>
  <si>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</si>
  <si>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</si>
  <si>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</si>
  <si>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</si>
  <si>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</si>
  <si>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</si>
  <si>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</si>
  <si>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</si>
  <si>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</si>
  <si>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</si>
  <si>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</si>
  <si>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</si>
  <si>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</si>
  <si>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</si>
  <si>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</si>
  <si>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</si>
  <si>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</si>
  <si>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</si>
  <si>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</si>
  <si>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</si>
  <si>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</si>
  <si>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</si>
  <si>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</si>
  <si>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</si>
  <si>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</si>
  <si>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</si>
  <si>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</si>
  <si>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</si>
  <si>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</si>
  <si>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</si>
  <si>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</si>
  <si>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</si>
  <si>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</si>
  <si>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</si>
  <si>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</si>
  <si>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</si>
  <si>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</si>
  <si>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</si>
  <si>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</si>
  <si>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</si>
  <si>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</si>
  <si>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</si>
  <si>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</si>
  <si>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</si>
  <si>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</si>
  <si>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</si>
  <si>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</si>
  <si>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</si>
  <si>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</si>
  <si>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</si>
  <si>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</si>
  <si>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</si>
  <si>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</si>
  <si>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</si>
  <si>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</si>
  <si>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</si>
  <si>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</si>
  <si>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</si>
  <si>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</si>
  <si>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</si>
  <si>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</si>
  <si>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</si>
  <si>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</si>
  <si>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</si>
  <si>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</si>
  <si>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</si>
  <si>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</si>
  <si>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</si>
  <si>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</si>
  <si>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</si>
  <si>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</si>
  <si>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</si>
  <si>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</si>
  <si>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</si>
  <si>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</si>
  <si>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</si>
  <si>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</si>
  <si>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</si>
  <si>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</si>
  <si>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</si>
  <si>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</si>
  <si>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</si>
  <si>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</si>
  <si>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</si>
  <si>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</si>
  <si>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</si>
  <si>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</si>
  <si>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</si>
  <si>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</si>
  <si>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</si>
  <si>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</si>
  <si>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</si>
  <si>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</si>
  <si>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</si>
  <si>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</si>
  <si>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</si>
  <si>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</si>
  <si>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</si>
  <si>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</si>
  <si>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</si>
  <si>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</si>
  <si>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</si>
  <si>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</si>
  <si>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</si>
  <si>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</si>
  <si>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</si>
  <si>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</si>
  <si>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</si>
  <si>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</si>
  <si>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</si>
  <si>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</si>
  <si>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</si>
  <si>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</si>
  <si>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</si>
  <si>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</si>
  <si>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</si>
  <si>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</si>
  <si>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</si>
  <si>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</si>
  <si>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</si>
  <si>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</si>
  <si>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</si>
  <si>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</si>
  <si>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</si>
  <si>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</si>
  <si>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</si>
  <si>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</si>
  <si>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</si>
  <si>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</si>
  <si>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</si>
  <si>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</si>
  <si>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</si>
  <si>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</si>
  <si>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</si>
  <si>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</si>
  <si>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</si>
  <si>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</si>
  <si>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</si>
  <si>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</si>
  <si>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</si>
  <si>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</si>
  <si>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</si>
  <si>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</si>
  <si>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</si>
  <si>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</si>
  <si>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</si>
  <si>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</si>
  <si>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</si>
  <si>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</si>
  <si>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</si>
  <si>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</si>
  <si>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</si>
  <si>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</si>
  <si>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</si>
  <si>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</si>
  <si>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</si>
  <si>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</si>
  <si>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</si>
  <si>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</si>
  <si>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</si>
  <si>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</si>
  <si>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</si>
  <si>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</si>
  <si>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</si>
  <si>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</si>
  <si>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</si>
  <si>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</si>
  <si>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</si>
  <si>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</si>
  <si>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</si>
  <si>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</si>
  <si>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</si>
  <si>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</si>
  <si>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</si>
  <si>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</si>
  <si>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</si>
  <si>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</si>
  <si>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</si>
  <si>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</si>
  <si>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</si>
  <si>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</si>
  <si>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</si>
  <si>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</si>
  <si>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</si>
  <si>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</si>
  <si>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</si>
  <si>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</si>
  <si>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</si>
  <si>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</si>
  <si>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</si>
  <si>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</si>
  <si>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</si>
  <si>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</si>
  <si>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</si>
  <si>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</si>
  <si>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</si>
  <si>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</si>
  <si>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</si>
  <si>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</si>
  <si>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</si>
  <si>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</si>
  <si>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</si>
  <si>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</si>
  <si>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</si>
  <si>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</si>
  <si>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</si>
  <si>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</si>
  <si>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</si>
  <si>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</si>
  <si>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</si>
  <si>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</si>
  <si>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</si>
  <si>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</si>
  <si>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</si>
  <si>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</si>
  <si>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</si>
  <si>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</si>
  <si>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</si>
  <si>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</si>
  <si>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</si>
  <si>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</si>
  <si>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</si>
  <si>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</si>
  <si>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</si>
  <si>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</si>
  <si>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</si>
  <si>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</si>
  <si>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</si>
  <si>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</si>
  <si>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</si>
  <si>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</si>
  <si>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</si>
  <si>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</si>
  <si>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</si>
  <si>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</si>
  <si>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</si>
  <si>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</si>
  <si>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</si>
  <si>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</si>
  <si>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</si>
  <si>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</si>
  <si>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</si>
  <si>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</si>
  <si>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</si>
  <si>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</si>
  <si>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</si>
  <si>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</si>
  <si>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</si>
  <si>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</si>
  <si>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</si>
  <si>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</si>
  <si>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</si>
  <si>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</si>
  <si>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</si>
  <si>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</si>
  <si>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</si>
  <si>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</si>
  <si>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</si>
  <si>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</si>
  <si>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</si>
  <si>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</si>
  <si>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</si>
  <si>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</si>
  <si>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</si>
  <si>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</si>
  <si>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</si>
  <si>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</si>
  <si>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</si>
  <si>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</si>
  <si>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</si>
  <si>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</si>
  <si>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</si>
  <si>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</si>
  <si>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</si>
  <si>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</si>
  <si>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</si>
  <si>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</si>
  <si>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</si>
  <si>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</si>
  <si>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</si>
  <si>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</si>
  <si>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</si>
  <si>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</si>
  <si>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</si>
  <si>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</si>
  <si>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</si>
  <si>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</si>
  <si>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</si>
  <si>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</si>
  <si>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</si>
  <si>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</si>
  <si>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</si>
  <si>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</si>
  <si>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</si>
  <si>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</si>
  <si>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</si>
  <si>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</si>
  <si>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</si>
  <si>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</si>
  <si>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</si>
  <si>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</si>
  <si>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</si>
  <si>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</si>
  <si>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</si>
  <si>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</si>
  <si>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</si>
  <si>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</si>
  <si>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</si>
  <si>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</si>
  <si>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</si>
  <si>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</si>
  <si>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</si>
  <si>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</si>
  <si>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</si>
  <si>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</si>
  <si>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</si>
  <si>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</si>
  <si>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</si>
  <si>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</si>
  <si>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</si>
  <si>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</si>
  <si>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</si>
  <si>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</si>
  <si>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</si>
  <si>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</si>
  <si>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</si>
  <si>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</si>
  <si>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</si>
  <si>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</si>
  <si>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</si>
  <si>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</si>
  <si>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</si>
  <si>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</si>
  <si>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</si>
  <si>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</si>
  <si>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</si>
  <si>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</si>
  <si>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</si>
  <si>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</si>
  <si>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</si>
  <si>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</si>
  <si>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</si>
  <si>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</si>
  <si>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</si>
  <si>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</si>
  <si>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</si>
  <si>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</si>
  <si>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</si>
  <si>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</si>
  <si>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</si>
  <si>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</si>
  <si>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</si>
  <si>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</si>
  <si>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</si>
  <si>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</si>
  <si>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</si>
  <si>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</si>
  <si>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</si>
  <si>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</si>
  <si>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</si>
  <si>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</si>
  <si>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</si>
  <si>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</si>
  <si>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</si>
  <si>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</si>
  <si>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</si>
  <si>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</si>
  <si>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</si>
  <si>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</si>
  <si>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</si>
  <si>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</si>
  <si>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</si>
  <si>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</si>
  <si>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</si>
  <si>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</si>
  <si>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</si>
  <si>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</si>
  <si>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</si>
  <si>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</si>
  <si>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</si>
  <si>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</si>
  <si>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</si>
  <si>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</si>
  <si>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</si>
  <si>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</si>
  <si>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</si>
  <si>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</si>
  <si>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</si>
  <si>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</si>
  <si>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</si>
  <si>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</si>
  <si>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</si>
  <si>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</si>
  <si>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</si>
  <si>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</si>
  <si>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</si>
  <si>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</si>
  <si>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</si>
  <si>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</si>
  <si>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</si>
  <si>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</si>
  <si>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</si>
  <si>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</si>
  <si>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</si>
  <si>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</si>
  <si>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</si>
  <si>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</si>
  <si>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</si>
  <si>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</si>
  <si>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</si>
  <si>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</si>
  <si>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</si>
  <si>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</si>
  <si>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</si>
  <si>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</si>
  <si>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</si>
  <si>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</si>
  <si>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</si>
  <si>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</si>
  <si>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</si>
  <si>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</si>
  <si>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</si>
  <si>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</si>
  <si>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</si>
  <si>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</si>
  <si>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</si>
  <si>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</si>
  <si>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</si>
  <si>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</si>
  <si>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</si>
  <si>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</si>
  <si>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</si>
  <si>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</si>
  <si>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</si>
  <si>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</si>
  <si>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</si>
  <si>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</si>
  <si>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</si>
  <si>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</si>
  <si>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</si>
  <si>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</si>
  <si>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</si>
  <si>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</si>
  <si>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</si>
  <si>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</si>
  <si>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</si>
  <si>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</si>
  <si>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</si>
  <si>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</si>
  <si>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</si>
  <si>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</si>
  <si>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</si>
  <si>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</si>
  <si>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</si>
  <si>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</si>
  <si>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</si>
  <si>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</si>
  <si>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</si>
  <si>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</si>
  <si>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</si>
  <si>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</si>
  <si>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</si>
  <si>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</si>
  <si>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</si>
  <si>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</si>
  <si>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</si>
  <si>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</si>
  <si>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</si>
  <si>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</si>
  <si>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</si>
  <si>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</si>
  <si>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</si>
  <si>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</si>
  <si>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</si>
  <si>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</si>
  <si>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</si>
  <si>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</si>
  <si>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</si>
  <si>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</si>
  <si>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</si>
  <si>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</si>
  <si>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</si>
  <si>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</si>
  <si>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</si>
  <si>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</si>
  <si>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</si>
  <si>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</si>
  <si>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</si>
  <si>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</si>
  <si>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</si>
  <si>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</si>
  <si>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</si>
  <si>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</si>
  <si>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</si>
  <si>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</si>
  <si>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</si>
  <si>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</si>
  <si>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</si>
  <si>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</si>
  <si>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</si>
  <si>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</si>
  <si>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</si>
  <si>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</si>
  <si>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</si>
  <si>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</si>
  <si>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</si>
  <si>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</si>
  <si>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</si>
  <si>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</si>
  <si>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</si>
  <si>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</si>
  <si>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</si>
  <si>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</si>
  <si>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</si>
  <si>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</si>
  <si>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</si>
  <si>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</si>
  <si>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</si>
  <si>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</si>
  <si>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</si>
  <si>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</si>
  <si>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</si>
  <si>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</si>
  <si>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</si>
  <si>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</si>
  <si>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</si>
  <si>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</si>
  <si>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</si>
  <si>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</si>
  <si>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</si>
  <si>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</si>
  <si>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</si>
  <si>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</si>
  <si>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</si>
  <si>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</si>
  <si>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</si>
  <si>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</si>
  <si>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</si>
  <si>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</si>
  <si>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</si>
  <si>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</si>
  <si>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</si>
  <si>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</si>
  <si>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</si>
  <si>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</si>
  <si>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</si>
  <si>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</si>
  <si>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</si>
  <si>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</si>
  <si>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</si>
  <si>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</si>
  <si>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</si>
  <si>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</si>
  <si>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</si>
  <si>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</si>
  <si>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</si>
  <si>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</si>
  <si>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</si>
  <si>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</si>
  <si>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</si>
  <si>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</si>
  <si>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</si>
  <si>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</si>
  <si>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</si>
  <si>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</si>
  <si>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</si>
  <si>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</si>
  <si>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</si>
  <si>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</si>
  <si>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</si>
  <si>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</si>
  <si>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</si>
  <si>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</si>
  <si>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</si>
  <si>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</si>
  <si>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</si>
  <si>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</si>
  <si>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</si>
  <si>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</si>
  <si>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</si>
  <si>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</si>
  <si>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</si>
  <si>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</si>
  <si>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</si>
  <si>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</si>
  <si>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</si>
  <si>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</si>
  <si>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</si>
  <si>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</si>
  <si>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</si>
  <si>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</si>
  <si>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</si>
  <si>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</si>
  <si>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</si>
  <si>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</si>
  <si>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</si>
  <si>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</si>
  <si>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</si>
  <si>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</si>
  <si>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</si>
  <si>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</si>
  <si>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</si>
  <si>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</si>
  <si>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</si>
  <si>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</si>
  <si>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</si>
  <si>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</si>
  <si>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</si>
  <si>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</si>
  <si>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</si>
  <si>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</si>
  <si>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</si>
  <si>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</si>
  <si>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</si>
  <si>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</si>
  <si>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</si>
  <si>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</si>
  <si>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</si>
  <si>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</si>
  <si>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</si>
  <si>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</si>
  <si>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</si>
  <si>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</si>
  <si>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</si>
  <si>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</si>
  <si>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</si>
  <si>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</si>
  <si>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</si>
  <si>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</si>
  <si>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</si>
  <si>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</si>
  <si>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</si>
  <si>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</si>
  <si>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</si>
  <si>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</si>
  <si>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</si>
  <si>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</si>
  <si>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</si>
  <si>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</si>
  <si>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</si>
  <si>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</si>
  <si>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</si>
  <si>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</si>
  <si>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</si>
  <si>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</si>
  <si>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</si>
  <si>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</si>
  <si>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</si>
  <si>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</si>
  <si>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</si>
  <si>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</si>
  <si>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</si>
  <si>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</si>
  <si>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</si>
  <si>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</si>
  <si>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</si>
  <si>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</si>
  <si>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</si>
  <si>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</si>
  <si>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</si>
  <si>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</si>
  <si>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</si>
  <si>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</si>
  <si>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</si>
  <si>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</si>
  <si>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</si>
  <si>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</si>
  <si>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</si>
  <si>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</si>
  <si>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</si>
  <si>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</si>
  <si>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</si>
  <si>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</si>
  <si>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</si>
  <si>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</si>
  <si>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</si>
  <si>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</si>
  <si>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</si>
  <si>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</si>
  <si>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</si>
  <si>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</si>
  <si>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</si>
  <si>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</si>
  <si>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</si>
  <si>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</si>
  <si>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</si>
  <si>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</si>
  <si>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</si>
  <si>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</si>
  <si>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</si>
  <si>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</si>
  <si>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</si>
  <si>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</si>
  <si>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</si>
  <si>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</si>
  <si>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</si>
  <si>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</si>
  <si>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</si>
  <si>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</si>
  <si>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</si>
  <si>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</si>
  <si>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</si>
  <si>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</si>
  <si>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</si>
  <si>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</si>
  <si>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</si>
  <si>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</si>
  <si>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</si>
  <si>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</si>
  <si>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</si>
  <si>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</si>
  <si>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</si>
  <si>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</si>
  <si>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</si>
  <si>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</si>
  <si>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</si>
  <si>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</si>
  <si>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</si>
  <si>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</si>
  <si>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</si>
  <si>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</si>
  <si>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</si>
  <si>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</si>
  <si>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</si>
  <si>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</si>
  <si>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</si>
  <si>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</si>
  <si>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</si>
  <si>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</si>
  <si>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</si>
  <si>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</si>
  <si>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</si>
  <si>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</si>
  <si>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</si>
  <si>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</si>
  <si>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</si>
  <si>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</si>
  <si>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</si>
  <si>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</si>
  <si>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</si>
  <si>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</si>
  <si>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</si>
  <si>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</si>
  <si>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</si>
  <si>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</si>
  <si>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</si>
  <si>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</si>
  <si>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</si>
  <si>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</si>
  <si>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</si>
  <si>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</si>
  <si>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</si>
  <si>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</si>
  <si>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</si>
  <si>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</si>
  <si>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</si>
  <si>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</si>
  <si>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</si>
  <si>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</si>
  <si>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</si>
  <si>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</si>
  <si>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</si>
  <si>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</si>
  <si>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</si>
  <si>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</si>
  <si>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</si>
  <si>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</si>
  <si>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</si>
  <si>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</si>
  <si>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</si>
  <si>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</si>
  <si>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</si>
  <si>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</si>
  <si>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</si>
  <si>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</si>
  <si>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</si>
  <si>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</si>
  <si>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</si>
  <si>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</si>
  <si>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</si>
  <si>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</si>
  <si>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</si>
  <si>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</si>
  <si>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</si>
  <si>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</si>
  <si>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</si>
  <si>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</si>
  <si>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</si>
  <si>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</si>
  <si>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</si>
  <si>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</si>
  <si>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</si>
  <si>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</si>
  <si>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</si>
  <si>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</si>
  <si>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</si>
  <si>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</si>
  <si>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</si>
  <si>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</si>
  <si>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</si>
  <si>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</si>
  <si>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</si>
  <si>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</si>
  <si>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</si>
  <si>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</si>
  <si>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</si>
  <si>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</si>
  <si>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</si>
  <si>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</si>
  <si>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</si>
  <si>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</si>
  <si>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</si>
  <si>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</si>
  <si>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</si>
  <si>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</si>
  <si>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</si>
  <si>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</si>
  <si>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</si>
  <si>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</si>
  <si>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</si>
  <si>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</si>
  <si>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</si>
  <si>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</si>
  <si>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</si>
  <si>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</si>
  <si>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</si>
  <si>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</si>
  <si>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</si>
  <si>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</si>
  <si>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</si>
  <si>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</si>
  <si>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</si>
  <si>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</si>
  <si>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</si>
  <si>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</si>
  <si>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</si>
  <si>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</si>
  <si>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</si>
  <si>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</si>
  <si>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</si>
  <si>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</si>
  <si>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</si>
  <si>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</si>
  <si>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</si>
  <si>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</si>
  <si>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</si>
  <si>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</si>
  <si>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</si>
  <si>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</si>
  <si>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</si>
  <si>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</si>
  <si>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</si>
  <si>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</si>
  <si>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</si>
  <si>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</si>
  <si>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</si>
  <si>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</si>
  <si>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</si>
  <si>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</si>
  <si>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</si>
  <si>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</si>
  <si>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</si>
  <si>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</si>
  <si>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</si>
  <si>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</si>
  <si>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</si>
  <si>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</si>
  <si>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</si>
  <si>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</si>
  <si>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</si>
  <si>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</si>
  <si>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</si>
  <si>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</si>
  <si>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</si>
  <si>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</si>
  <si>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</si>
  <si>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</si>
  <si>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</si>
  <si>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</si>
  <si>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</si>
  <si>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</si>
  <si>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</si>
  <si>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</si>
  <si>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</si>
  <si>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</si>
  <si>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</si>
  <si>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</si>
  <si>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</si>
  <si>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</si>
  <si>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</si>
  <si>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</si>
  <si>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</si>
  <si>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</si>
  <si>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</si>
  <si>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</si>
  <si>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</si>
  <si>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</si>
  <si>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</si>
  <si>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</si>
  <si>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</si>
  <si>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</si>
  <si>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</si>
  <si>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</si>
  <si>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</si>
  <si>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</si>
  <si>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</si>
  <si>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</si>
  <si>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</si>
  <si>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</si>
  <si>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</si>
  <si>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</si>
  <si>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</si>
  <si>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</si>
  <si>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</si>
  <si>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</si>
  <si>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</si>
  <si>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</si>
  <si>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</si>
  <si>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</si>
  <si>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</si>
  <si>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</si>
  <si>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</si>
  <si>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</si>
  <si>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</si>
  <si>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</si>
  <si>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</si>
  <si>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</si>
  <si>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</si>
  <si>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</si>
  <si>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</si>
  <si>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</si>
  <si>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</si>
  <si>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</si>
  <si>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</si>
  <si>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</si>
  <si>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</si>
  <si>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</si>
  <si>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</si>
  <si>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</si>
  <si>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</si>
  <si>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</si>
  <si>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</si>
  <si>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</si>
  <si>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</si>
  <si>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</si>
  <si>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</si>
  <si>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</si>
  <si>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</si>
  <si>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</si>
  <si>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</si>
  <si>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</si>
  <si>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</si>
  <si>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</si>
  <si>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</si>
  <si>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</si>
  <si>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</si>
  <si>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</si>
  <si>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</si>
  <si>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</si>
  <si>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</si>
  <si>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</si>
  <si>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</si>
  <si>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</si>
  <si>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</si>
  <si>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</si>
  <si>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</si>
  <si>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</si>
  <si>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</si>
  <si>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</si>
  <si>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</si>
  <si>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</si>
  <si>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</si>
  <si>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</si>
  <si>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</si>
  <si>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</si>
  <si>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</si>
  <si>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</si>
  <si>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</si>
  <si>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</si>
  <si>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</si>
  <si>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</si>
  <si>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</si>
  <si>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</si>
  <si>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</si>
  <si>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</si>
  <si>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</si>
  <si>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</si>
  <si>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</si>
  <si>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</si>
  <si>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</si>
  <si>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</si>
  <si>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</si>
  <si>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</si>
  <si>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</si>
  <si>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</si>
  <si>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</si>
  <si>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</si>
  <si>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</si>
  <si>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</si>
  <si>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</si>
  <si>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</si>
  <si>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</si>
  <si>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</si>
  <si>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</si>
  <si>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</si>
  <si>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</si>
  <si>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</si>
  <si>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</si>
  <si>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</si>
  <si>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</si>
  <si>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</si>
  <si>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</si>
  <si>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</si>
  <si>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</si>
  <si>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</si>
  <si>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</si>
  <si>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</si>
  <si>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</si>
  <si>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</si>
  <si>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</si>
  <si>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</si>
  <si>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</si>
  <si>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</si>
  <si>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</si>
  <si>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</si>
  <si>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</si>
  <si>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</si>
  <si>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</si>
  <si>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</si>
  <si>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</si>
  <si>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</si>
  <si>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</si>
  <si>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</si>
  <si>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</si>
  <si>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</si>
  <si>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</si>
  <si>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</si>
  <si>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</si>
  <si>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</si>
  <si>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</si>
  <si>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</si>
  <si>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</si>
  <si>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</si>
  <si>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</si>
  <si>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</si>
  <si>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</si>
  <si>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</si>
  <si>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</si>
  <si>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</si>
  <si>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</si>
  <si>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</si>
  <si>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</si>
  <si>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</si>
  <si>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</si>
  <si>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</si>
  <si>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</si>
  <si>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</si>
  <si>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</si>
  <si>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</si>
  <si>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</si>
  <si>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</si>
  <si>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</si>
  <si>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</si>
  <si>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</si>
  <si>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</si>
  <si>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</si>
  <si>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</si>
  <si>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</si>
  <si>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</si>
  <si>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</si>
  <si>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</si>
  <si>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</si>
  <si>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</si>
  <si>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</si>
  <si>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</si>
  <si>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</si>
  <si>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</si>
  <si>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</si>
  <si>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</si>
  <si>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</si>
  <si>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</si>
  <si>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</si>
  <si>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</si>
  <si>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</si>
  <si>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</si>
  <si>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</si>
  <si>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</si>
  <si>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</si>
  <si>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</si>
  <si>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</si>
  <si>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</si>
  <si>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</si>
  <si>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</si>
  <si>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</si>
  <si>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</si>
  <si>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</si>
  <si>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</si>
  <si>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</si>
  <si>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</si>
  <si>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</si>
  <si>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</si>
  <si>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</si>
  <si>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</si>
  <si>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</si>
  <si>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</si>
  <si>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</si>
  <si>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</si>
  <si>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</si>
  <si>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</si>
  <si>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</si>
  <si>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</si>
  <si>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</si>
  <si>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</si>
  <si>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</si>
  <si>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</si>
  <si>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</si>
  <si>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</si>
  <si>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</si>
  <si>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</si>
  <si>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</si>
  <si>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</si>
  <si>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</si>
  <si>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</si>
  <si>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</si>
  <si>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</si>
  <si>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</si>
  <si>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</si>
  <si>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</si>
  <si>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</si>
  <si>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</si>
  <si>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</si>
  <si>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</si>
  <si>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</si>
  <si>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</si>
  <si>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</si>
  <si>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</si>
  <si>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</si>
  <si>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</si>
  <si>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</si>
  <si>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</si>
  <si>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</si>
  <si>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</si>
  <si>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</si>
  <si>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</si>
  <si>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</si>
  <si>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</si>
  <si>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</si>
  <si>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</si>
  <si>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</si>
  <si>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</si>
  <si>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</si>
  <si>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</si>
  <si>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</si>
  <si>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</si>
  <si>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</si>
  <si>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</si>
  <si>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</si>
  <si>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</si>
  <si>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</si>
  <si>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</si>
  <si>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</si>
  <si>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</si>
  <si>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</si>
  <si>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</si>
  <si>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</si>
  <si>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</si>
  <si>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</si>
  <si>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</si>
  <si>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</si>
  <si>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</si>
  <si>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</si>
  <si>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</si>
  <si>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</si>
  <si>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</si>
  <si>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</si>
  <si>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</si>
  <si>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</si>
  <si>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</si>
  <si>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</si>
  <si>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</si>
  <si>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</si>
  <si>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</si>
  <si>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</si>
  <si>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</si>
  <si>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</si>
  <si>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</si>
  <si>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</si>
  <si>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</si>
  <si>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</si>
  <si>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</si>
  <si>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</si>
  <si>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</si>
  <si>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</si>
  <si>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</si>
  <si>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</si>
  <si>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</si>
  <si>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</si>
  <si>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</si>
  <si>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</si>
  <si>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</si>
  <si>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</si>
  <si>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</si>
  <si>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</si>
  <si>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</si>
  <si>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</si>
  <si>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</si>
  <si>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</si>
  <si>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</si>
  <si>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</si>
  <si>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</si>
  <si>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</si>
  <si>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</si>
  <si>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</si>
  <si>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</si>
  <si>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</si>
  <si>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</si>
  <si>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</si>
  <si>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</si>
  <si>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</si>
  <si>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</si>
  <si>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</si>
  <si>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</si>
  <si>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</si>
  <si>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</si>
  <si>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</si>
  <si>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</si>
  <si>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</si>
  <si>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</si>
  <si>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</si>
  <si>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</si>
  <si>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</si>
  <si>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</si>
  <si>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</si>
  <si>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</si>
  <si>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</si>
  <si>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</si>
  <si>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</si>
  <si>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</si>
  <si>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</si>
  <si>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</si>
  <si>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</si>
  <si>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</si>
  <si>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</si>
  <si>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</si>
  <si>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</si>
  <si>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</si>
  <si>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</si>
  <si>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</si>
  <si>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</si>
  <si>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</si>
  <si>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</si>
  <si>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</si>
  <si>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</si>
  <si>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</si>
  <si>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</si>
  <si>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</si>
  <si>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</si>
  <si>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</si>
  <si>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</si>
  <si>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</si>
  <si>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</si>
  <si>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</si>
  <si>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</si>
  <si>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</si>
  <si>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</si>
  <si>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</si>
  <si>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</si>
  <si>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</si>
  <si>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</si>
  <si>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</si>
  <si>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</si>
  <si>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</si>
  <si>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</si>
  <si>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</si>
  <si>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</si>
  <si>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</si>
  <si>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</si>
  <si>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</si>
  <si>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</si>
  <si>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</si>
  <si>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</si>
  <si>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</si>
  <si>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</si>
  <si>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</si>
  <si>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</si>
  <si>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</si>
  <si>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</si>
  <si>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</si>
  <si>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</si>
  <si>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</si>
  <si>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</si>
  <si>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</si>
  <si>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</si>
  <si>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</si>
  <si>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</si>
  <si>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</si>
  <si>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</si>
  <si>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</si>
  <si>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</si>
  <si>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</si>
  <si>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</si>
  <si>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</si>
  <si>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</si>
  <si>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</si>
  <si>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</si>
  <si>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</si>
  <si>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</si>
  <si>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</si>
  <si>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</si>
  <si>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</si>
  <si>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</si>
  <si>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</si>
  <si>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</si>
  <si>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</si>
  <si>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</si>
  <si>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</si>
  <si>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</si>
  <si>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</si>
  <si>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</si>
  <si>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</si>
  <si>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</si>
  <si>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</si>
  <si>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</si>
  <si>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</si>
  <si>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</si>
  <si>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</si>
  <si>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</si>
  <si>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</si>
  <si>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</si>
  <si>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</si>
  <si>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</si>
  <si>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</si>
  <si>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</si>
  <si>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</si>
  <si>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</si>
  <si>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</si>
  <si>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Ⅵ-BDA核心</t>
  </si>
  <si>
    <t>出让</t>
  </si>
  <si>
    <t>北京德鑫泉物联网科技股份有限公司</t>
    <phoneticPr fontId="140" type="noConversion"/>
  </si>
  <si>
    <t>坐落</t>
    <phoneticPr fontId="140" type="noConversion"/>
  </si>
  <si>
    <r>
      <t>北京经济技术开发区永昌东四路6号院</t>
    </r>
    <r>
      <rPr>
        <sz val="11"/>
        <color theme="1"/>
        <rFont val="宋体"/>
        <family val="3"/>
        <charset val="134"/>
        <scheme val="minor"/>
      </rPr>
      <t>4号1层01等4套</t>
    </r>
    <phoneticPr fontId="140" type="noConversion"/>
  </si>
  <si>
    <t>用途</t>
    <phoneticPr fontId="140" type="noConversion"/>
  </si>
  <si>
    <t>工业用地</t>
    <phoneticPr fontId="140" type="noConversion"/>
  </si>
  <si>
    <t>门房、研发楼、生产车间</t>
    <phoneticPr fontId="140" type="noConversion"/>
  </si>
  <si>
    <t>面积</t>
    <phoneticPr fontId="140" type="noConversion"/>
  </si>
  <si>
    <t>土地终止年期</t>
    <phoneticPr fontId="140" type="noConversion"/>
  </si>
  <si>
    <t>建筑面积</t>
    <phoneticPr fontId="140" type="noConversion"/>
  </si>
  <si>
    <t>地下</t>
    <phoneticPr fontId="140" type="noConversion"/>
  </si>
  <si>
    <t>地上</t>
    <phoneticPr fontId="140" type="noConversion"/>
  </si>
  <si>
    <t>地上其他</t>
    <phoneticPr fontId="140" type="noConversion"/>
  </si>
  <si>
    <t>1号楼</t>
    <phoneticPr fontId="140" type="noConversion"/>
  </si>
  <si>
    <r>
      <t>5（</t>
    </r>
    <r>
      <rPr>
        <sz val="11"/>
        <color theme="1"/>
        <rFont val="宋体"/>
        <family val="3"/>
        <charset val="134"/>
        <scheme val="minor"/>
      </rPr>
      <t>-01</t>
    </r>
    <r>
      <rPr>
        <sz val="11"/>
        <color theme="1"/>
        <rFont val="宋体"/>
        <family val="3"/>
        <charset val="134"/>
        <scheme val="minor"/>
      </rPr>
      <t>）</t>
    </r>
    <phoneticPr fontId="140" type="noConversion"/>
  </si>
  <si>
    <t>钢混</t>
    <phoneticPr fontId="140" type="noConversion"/>
  </si>
  <si>
    <t>2号楼</t>
    <phoneticPr fontId="140" type="noConversion"/>
  </si>
  <si>
    <r>
      <t>4（</t>
    </r>
    <r>
      <rPr>
        <sz val="11"/>
        <color theme="1"/>
        <rFont val="宋体"/>
        <family val="3"/>
        <charset val="134"/>
        <scheme val="minor"/>
      </rPr>
      <t>-01</t>
    </r>
    <r>
      <rPr>
        <sz val="11"/>
        <color theme="1"/>
        <rFont val="宋体"/>
        <family val="3"/>
        <charset val="134"/>
        <scheme val="minor"/>
      </rPr>
      <t>）</t>
    </r>
    <phoneticPr fontId="140" type="noConversion"/>
  </si>
  <si>
    <t>3号楼</t>
    <phoneticPr fontId="140" type="noConversion"/>
  </si>
  <si>
    <t>4号</t>
    <phoneticPr fontId="140" type="noConversion"/>
  </si>
  <si>
    <t>是</t>
  </si>
  <si>
    <t>地上</t>
  </si>
  <si>
    <t>地下</t>
  </si>
  <si>
    <t>工业</t>
    <phoneticPr fontId="7" type="noConversion"/>
  </si>
  <si>
    <t>利息：取LPR加浮动点数</t>
  </si>
  <si>
    <t>成新度</t>
  </si>
  <si>
    <t>收益法</t>
  </si>
  <si>
    <t>未包含在土地购买价格中</t>
  </si>
  <si>
    <t>全部缴纳</t>
  </si>
  <si>
    <t>已包含在土地取得成本中</t>
  </si>
  <si>
    <t>总价</t>
  </si>
  <si>
    <t>押一</t>
  </si>
  <si>
    <t>按租金收入计税</t>
  </si>
  <si>
    <t>钢混</t>
  </si>
  <si>
    <t>非生产用房</t>
  </si>
  <si>
    <t>否</t>
  </si>
  <si>
    <t>成本法</t>
  </si>
  <si>
    <t>崔锴</t>
  </si>
  <si>
    <t>郑燚</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</si>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</sst>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31"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0" fontId="46" fillId="20" borderId="1" xfId="0" applyNumberFormat="1" applyFont="1" applyFill="1" applyBorder="1" applyAlignment="1" applyProtection="1">
      <alignment horizontal="center" vertical="center"/>
      <protection locked="0"/>
    </xf>
    <xf numFmtId="183" fontId="46" fillId="20"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10" fontId="46" fillId="5" borderId="6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4;&#24196;&#39033;&#3044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1616;&#34920;03(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信息"/>
      <sheetName val="抵押物清单（分楼）"/>
      <sheetName val="数据-汇总表"/>
      <sheetName val="数据-取费表"/>
      <sheetName val="估价对象房地状况"/>
      <sheetName val="系统读取表"/>
      <sheetName val="结果表"/>
      <sheetName val="成本法"/>
      <sheetName val="基准地价修正"/>
      <sheetName val="收益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31355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4417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估价对象为北京市房地产，为所有。根据《国有土地使用证》[]，估价对象（分摊）出让国有建设用地使用权面积为13382.273平方米，建筑面积为24804.47平方米。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估价对象为北京市房地产,属开发建设的，该项目尚在开发建设中。根据《国有土地使用证》[]，估价对象（分摊）出让国有建设用地使用权面积为13382.273平方米，规划建筑面积为24804.47平方米。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2022年3月22日</v>
      </c>
    </row>
    <row r="13" spans="1:2" s="1335" customFormat="1">
      <c r="A13" s="1333" t="s">
        <v>1135</v>
      </c>
      <c r="B13" s="1334"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31660</v>
      </c>
    </row>
    <row r="21" spans="1:2" s="1335" customFormat="1">
      <c r="A21" s="1333" t="s">
        <v>1143</v>
      </c>
      <c r="B21" s="1334">
        <f ca="1">'预评函-2'!D7</f>
        <v>12764</v>
      </c>
    </row>
    <row r="22" spans="1:2" s="1335" customFormat="1">
      <c r="A22" s="1333" t="s">
        <v>1144</v>
      </c>
      <c r="B22" s="1334" t="str">
        <f ca="1">'预评函-2'!D6</f>
        <v>叁亿壹仟陆佰陆拾万元整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31660</v>
      </c>
    </row>
    <row r="31" spans="1:2" s="1335" customFormat="1">
      <c r="A31" s="1333" t="s">
        <v>1182</v>
      </c>
      <c r="B31" s="1334">
        <f ca="1">'预评函-2'!D15</f>
        <v>12764</v>
      </c>
    </row>
    <row r="32" spans="1:2" s="1335" customFormat="1">
      <c r="A32" s="1333" t="s">
        <v>1149</v>
      </c>
      <c r="B32" s="1334" t="str">
        <f ca="1">'预评函-2'!D14</f>
        <v>叁亿壹仟陆佰陆拾万元整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24804.469999999998</v>
      </c>
    </row>
    <row r="44" spans="1:2" s="1335" customFormat="1">
      <c r="A44" s="1333" t="s">
        <v>1181</v>
      </c>
      <c r="B44" s="1334" t="str">
        <f>'预评函-3'!C2</f>
        <v>(分摊)土地面积</v>
      </c>
    </row>
    <row r="45" spans="1:2" s="1335" customFormat="1">
      <c r="A45" s="1333" t="s">
        <v>1153</v>
      </c>
      <c r="B45" s="1334">
        <f>'预评函-3'!C4</f>
        <v>13382.272999999997</v>
      </c>
    </row>
    <row r="46" spans="1:2" s="1335" customFormat="1">
      <c r="A46" s="1333" t="s">
        <v>1179</v>
      </c>
      <c r="B46" s="1334" t="str">
        <f>'预评函-3'!D2</f>
        <v>出让国有建设用地使用权价值</v>
      </c>
    </row>
    <row r="47" spans="1:2" s="1335" customFormat="1">
      <c r="A47" s="1333" t="s">
        <v>1154</v>
      </c>
      <c r="B47" s="1334">
        <f ca="1">'预评函-3'!D4</f>
        <v>11493</v>
      </c>
    </row>
    <row r="48" spans="1:2" s="1335" customFormat="1">
      <c r="A48" s="1333" t="s">
        <v>1155</v>
      </c>
      <c r="B48" s="1334">
        <f ca="1">'预评函-3'!E4</f>
        <v>4634</v>
      </c>
    </row>
    <row r="49" spans="1:2" s="1335" customFormat="1">
      <c r="A49" s="1333" t="s">
        <v>1156</v>
      </c>
      <c r="B49" s="1334" t="str">
        <f ca="1">'预评函-3'!D5</f>
        <v>壹亿壹仟肆佰玖拾叁万元整</v>
      </c>
    </row>
    <row r="50" spans="1:2" s="1335" customFormat="1">
      <c r="A50" s="1333" t="s">
        <v>1180</v>
      </c>
      <c r="B50" s="1334" t="str">
        <f>'预评函-3'!F2</f>
        <v>在建建筑物价值</v>
      </c>
    </row>
    <row r="51" spans="1:2" s="1335" customFormat="1">
      <c r="A51" s="1333" t="s">
        <v>1157</v>
      </c>
      <c r="B51" s="1334">
        <f ca="1">'预评函-3'!F4</f>
        <v>20167</v>
      </c>
    </row>
    <row r="52" spans="1:2" s="1335" customFormat="1">
      <c r="A52" s="1333" t="s">
        <v>1158</v>
      </c>
      <c r="B52" s="1334">
        <f ca="1">'预评函-3'!G4</f>
        <v>8130</v>
      </c>
    </row>
    <row r="53" spans="1:2" s="1335" customFormat="1">
      <c r="A53" s="1333" t="s">
        <v>1186</v>
      </c>
      <c r="B53" s="1334" t="str">
        <f ca="1">'预评函-3'!F5</f>
        <v>贰亿零壹佰陆拾柒万元整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2979</v>
      </c>
      <c r="C17" s="1700"/>
    </row>
    <row r="18" spans="1:3">
      <c r="A18" s="1699" t="s">
        <v>1672</v>
      </c>
      <c r="B18" s="1699" t="s">
        <v>3123</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252"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7" t="s">
        <v>832</v>
      </c>
      <c r="C54" s="1704" t="s">
        <v>1189</v>
      </c>
    </row>
    <row r="55" spans="1:4">
      <c r="A55" s="3252"/>
      <c r="B55" s="1707" t="s">
        <v>833</v>
      </c>
      <c r="C55" s="1704" t="s">
        <v>1190</v>
      </c>
    </row>
    <row r="56" spans="1:4">
      <c r="A56" s="3252"/>
      <c r="B56" s="1707" t="s">
        <v>834</v>
      </c>
      <c r="C56" s="1704" t="s">
        <v>1194</v>
      </c>
    </row>
    <row r="57" spans="1:4">
      <c r="A57" s="3252"/>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3" sqref="H23"/>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2854</v>
      </c>
      <c r="B1" s="3253" t="str">
        <f>IF(B10="北京市","北京市",C10)&amp;F10&amp;IF(结果表!G1="在建","出让国有建设用地使用权及在建建筑物",IF(结果表!G1="土地","出让国有建设用地使用权",))&amp;B9&amp;"预评估"</f>
        <v>北京市房地产抵押价值预评估</v>
      </c>
      <c r="C1" s="3254"/>
      <c r="D1" s="3254"/>
      <c r="E1" s="3254"/>
      <c r="F1" s="3254"/>
      <c r="G1" s="3254"/>
      <c r="H1" s="3254"/>
      <c r="I1" s="3255"/>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2855</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2856</v>
      </c>
      <c r="B3" s="2565"/>
      <c r="C3" s="2566" t="s">
        <v>2857</v>
      </c>
      <c r="D3" s="2565">
        <v>44642</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0" t="s">
        <v>2858</v>
      </c>
      <c r="B4" s="2567" t="s">
        <v>3170</v>
      </c>
      <c r="C4" s="2568">
        <f ca="1">SUMIF(注册房地产估价师,B4,估价师及机构信息!B3:B24)</f>
        <v>1120100036</v>
      </c>
      <c r="D4" s="2567" t="s">
        <v>3171</v>
      </c>
      <c r="E4" s="2569">
        <f ca="1">SUMIF(注册房地产估价师,D4,估价师及机构信息!B3:B24)</f>
        <v>1120070131</v>
      </c>
      <c r="F4" s="2567"/>
      <c r="G4" s="2569">
        <f>SUMIF(注册房地产估价师,F4,估价师及机构信息!B3:B24)</f>
        <v>0</v>
      </c>
      <c r="H4" s="2567"/>
      <c r="I4" s="2569">
        <f>SUMIF(注册房地产估价师,H4,估价师及机构信息!B3:B24)</f>
        <v>0</v>
      </c>
      <c r="J4" s="2633"/>
      <c r="K4" s="2570" t="str">
        <f ca="1">CONCATENATE(B4,"（注册号：",C4,")、",D4,"（注册号：",E4,")")</f>
        <v>崔锴（注册号：1120100036)、郑燚（注册号：1120070131)</v>
      </c>
      <c r="L4" s="2561"/>
      <c r="M4" s="2561"/>
      <c r="N4" s="2562"/>
      <c r="O4" s="1729"/>
      <c r="P4" s="2562"/>
      <c r="Q4" s="2562"/>
      <c r="R4" s="2562"/>
      <c r="S4" s="1836"/>
      <c r="T4" s="1899"/>
      <c r="U4" s="1899"/>
      <c r="V4" s="1899"/>
      <c r="W4" s="1899"/>
      <c r="X4" s="1899"/>
      <c r="Y4" s="1899"/>
      <c r="Z4" s="1899"/>
      <c r="AA4" s="1899"/>
      <c r="AB4" s="1899"/>
    </row>
    <row r="5" spans="1:28" ht="13.5" thickTop="1">
      <c r="A5" s="2571" t="s">
        <v>2859</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2860</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2861</v>
      </c>
      <c r="B7" s="2579"/>
      <c r="C7" s="2577"/>
      <c r="D7" s="2578"/>
      <c r="E7" s="2857"/>
      <c r="F7" s="2859"/>
      <c r="G7" s="2859"/>
      <c r="H7" s="2859"/>
      <c r="I7" s="2859"/>
      <c r="J7" s="2633"/>
      <c r="K7" s="2810"/>
      <c r="L7" s="2807"/>
      <c r="M7" s="2807"/>
      <c r="N7" s="2633"/>
      <c r="O7" s="2644"/>
      <c r="P7" s="2633"/>
      <c r="Q7" s="2633"/>
      <c r="R7" s="2633"/>
    </row>
    <row r="8" spans="1:28">
      <c r="A8" s="2580" t="s">
        <v>2862</v>
      </c>
      <c r="B8" s="2581" t="s">
        <v>3128</v>
      </c>
      <c r="C8" s="2582"/>
      <c r="D8" s="3256" t="s">
        <v>2863</v>
      </c>
      <c r="E8" s="2583" t="s">
        <v>3129</v>
      </c>
      <c r="F8" s="2584"/>
      <c r="G8" s="2858"/>
      <c r="H8" s="2858"/>
      <c r="I8" s="2858"/>
      <c r="J8" s="2633"/>
      <c r="K8" s="2808"/>
      <c r="L8" s="2807"/>
      <c r="M8" s="2807"/>
      <c r="N8" s="2633"/>
      <c r="O8" s="2644"/>
      <c r="P8" s="2633"/>
      <c r="Q8" s="2633"/>
      <c r="R8" s="2633"/>
    </row>
    <row r="9" spans="1:28" ht="13.5" thickBot="1">
      <c r="A9" s="2585" t="s">
        <v>2864</v>
      </c>
      <c r="B9" s="2586" t="s">
        <v>3129</v>
      </c>
      <c r="C9" s="2587"/>
      <c r="D9" s="3257"/>
      <c r="E9" s="2586"/>
      <c r="F9" s="2588"/>
      <c r="G9" s="2860"/>
      <c r="H9" s="2860"/>
      <c r="I9" s="2860"/>
      <c r="J9" s="2633"/>
      <c r="K9" s="2810"/>
      <c r="L9" s="2807"/>
      <c r="M9" s="2807"/>
      <c r="N9" s="2633"/>
      <c r="O9" s="2644"/>
      <c r="P9" s="2633"/>
      <c r="Q9" s="2633"/>
      <c r="R9" s="2633"/>
    </row>
    <row r="10" spans="1:28" ht="13.5" thickTop="1">
      <c r="A10" s="2589" t="s">
        <v>2865</v>
      </c>
      <c r="B10" s="2590" t="s">
        <v>3130</v>
      </c>
      <c r="C10" s="2591"/>
      <c r="D10" s="2574"/>
      <c r="E10" s="2592" t="s">
        <v>2866</v>
      </c>
      <c r="F10" s="2861"/>
      <c r="G10" s="2862"/>
      <c r="H10" s="2863"/>
      <c r="I10" s="2864"/>
      <c r="J10" s="2633"/>
      <c r="K10" s="2810"/>
      <c r="L10" s="2807"/>
      <c r="M10" s="2807"/>
      <c r="N10" s="2633"/>
      <c r="O10" s="2644"/>
      <c r="P10" s="2633"/>
      <c r="Q10" s="2633"/>
      <c r="R10" s="2633"/>
    </row>
    <row r="11" spans="1:28">
      <c r="A11" s="2593" t="s">
        <v>2867</v>
      </c>
      <c r="B11" s="2594" t="s">
        <v>3131</v>
      </c>
      <c r="C11" s="2595"/>
      <c r="D11" s="2596"/>
      <c r="E11" s="2562"/>
      <c r="F11" s="2562"/>
      <c r="G11" s="2562"/>
      <c r="H11" s="2562"/>
      <c r="I11" s="2562"/>
      <c r="J11" s="2633"/>
      <c r="K11" s="2810"/>
      <c r="L11" s="2807"/>
      <c r="M11" s="2807"/>
      <c r="N11" s="2633"/>
      <c r="O11" s="2644"/>
      <c r="P11" s="2633"/>
      <c r="Q11" s="2633"/>
      <c r="R11" s="2633"/>
    </row>
    <row r="12" spans="1:28">
      <c r="A12" s="2597" t="s">
        <v>2868</v>
      </c>
      <c r="B12" s="2594" t="s">
        <v>3133</v>
      </c>
      <c r="C12" s="328"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1"/>
      <c r="B13" s="2599"/>
      <c r="C13" s="2600" t="s">
        <v>2876</v>
      </c>
      <c r="D13" s="964"/>
      <c r="E13" s="964"/>
      <c r="F13" s="964"/>
      <c r="G13" s="964"/>
      <c r="H13" s="964"/>
      <c r="I13" s="964">
        <v>59665</v>
      </c>
      <c r="J13" s="2633"/>
      <c r="K13" s="2810"/>
      <c r="L13" s="2807"/>
      <c r="M13" s="2807"/>
      <c r="N13" s="2633"/>
      <c r="O13" s="2644"/>
      <c r="P13" s="2633"/>
      <c r="Q13" s="2633"/>
      <c r="R13" s="2633"/>
    </row>
    <row r="14" spans="1:28">
      <c r="A14" s="1211"/>
      <c r="B14" s="2599"/>
      <c r="C14" s="2600" t="s">
        <v>2877</v>
      </c>
      <c r="D14" s="2601"/>
      <c r="E14" s="2601"/>
      <c r="F14" s="2601"/>
      <c r="G14" s="2601"/>
      <c r="H14" s="2601"/>
      <c r="I14" s="2601">
        <v>50</v>
      </c>
      <c r="J14" s="2633"/>
      <c r="K14" s="2811"/>
      <c r="L14" s="2807"/>
      <c r="M14" s="2807"/>
      <c r="N14" s="2633"/>
      <c r="O14" s="2644"/>
      <c r="P14" s="2633"/>
      <c r="Q14" s="2633"/>
      <c r="R14" s="2633"/>
    </row>
    <row r="15" spans="1:28">
      <c r="A15" s="325"/>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41.15</v>
      </c>
      <c r="J15" s="2633"/>
      <c r="K15" s="2812"/>
      <c r="L15" s="2645"/>
      <c r="M15" s="2645"/>
      <c r="N15" s="2703"/>
      <c r="O15" s="2645"/>
      <c r="P15" s="2703"/>
      <c r="Q15" s="2633"/>
      <c r="R15" s="2633"/>
    </row>
    <row r="16" spans="1:28">
      <c r="A16" s="2592" t="s">
        <v>2879</v>
      </c>
      <c r="B16" s="3263"/>
      <c r="C16" s="3264"/>
      <c r="D16" s="3265"/>
      <c r="E16" s="2607" t="s">
        <v>2880</v>
      </c>
      <c r="F16" s="3266"/>
      <c r="G16" s="3267"/>
      <c r="H16" s="3267"/>
      <c r="I16" s="3268"/>
      <c r="J16" s="2633"/>
      <c r="K16" s="2812"/>
      <c r="L16" s="2645"/>
      <c r="M16" s="2645"/>
      <c r="N16" s="2703"/>
      <c r="O16" s="2645"/>
      <c r="P16" s="2703"/>
      <c r="Q16" s="2633"/>
      <c r="R16" s="2633"/>
    </row>
    <row r="17" spans="1:28">
      <c r="A17" s="318" t="s">
        <v>2881</v>
      </c>
      <c r="B17" s="307" t="s">
        <v>2882</v>
      </c>
      <c r="C17" s="11">
        <f>'数据-汇总表'!E3</f>
        <v>24804.469999999998</v>
      </c>
      <c r="D17" s="2513" t="s">
        <v>2883</v>
      </c>
      <c r="E17" s="3269" t="s">
        <v>2884</v>
      </c>
      <c r="F17" s="3270"/>
      <c r="G17" s="3270"/>
      <c r="H17" s="3270"/>
      <c r="I17" s="3271"/>
      <c r="J17" s="2633"/>
      <c r="K17" s="2813"/>
      <c r="L17" s="2645"/>
      <c r="M17" s="2645"/>
      <c r="N17" s="2703"/>
      <c r="O17" s="2645"/>
      <c r="P17" s="2703"/>
      <c r="Q17" s="2633"/>
      <c r="R17" s="2633"/>
      <c r="S17" s="2633"/>
      <c r="T17" s="2633"/>
      <c r="U17" s="2633"/>
      <c r="V17" s="2633"/>
    </row>
    <row r="18" spans="1:28" ht="24.75" thickBot="1">
      <c r="A18" s="2608" t="s">
        <v>2885</v>
      </c>
      <c r="B18" s="1220" t="s">
        <v>2886</v>
      </c>
      <c r="C18" s="2609">
        <f>'数据-汇总表'!D3</f>
        <v>13382.272999999997</v>
      </c>
      <c r="D18" s="1222" t="s">
        <v>2887</v>
      </c>
      <c r="E18" s="3272" t="s">
        <v>2888</v>
      </c>
      <c r="F18" s="3273"/>
      <c r="G18" s="3273"/>
      <c r="H18" s="3273"/>
      <c r="I18" s="3274"/>
      <c r="J18" s="2633"/>
      <c r="K18" s="2813"/>
      <c r="L18" s="2645"/>
      <c r="M18" s="2645"/>
      <c r="N18" s="2703"/>
      <c r="O18" s="2645"/>
      <c r="P18" s="2703"/>
      <c r="Q18" s="2633"/>
      <c r="R18" s="2633"/>
      <c r="S18" s="2633"/>
      <c r="T18" s="2633"/>
      <c r="U18" s="2633"/>
      <c r="V18" s="2633"/>
    </row>
    <row r="19" spans="1:28" ht="37.5" thickTop="1" thickBot="1">
      <c r="A19" s="332" t="s">
        <v>1681</v>
      </c>
      <c r="B19" s="312" t="s">
        <v>2889</v>
      </c>
      <c r="C19" s="1716"/>
      <c r="D19" s="1717" t="s">
        <v>2890</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2891</v>
      </c>
      <c r="B20" s="3259" t="s">
        <v>2892</v>
      </c>
      <c r="C20" s="3260"/>
      <c r="D20" s="3261" t="s">
        <v>2893</v>
      </c>
      <c r="E20" s="3262"/>
      <c r="F20" s="2842" t="s">
        <v>1682</v>
      </c>
      <c r="G20" s="2859"/>
      <c r="H20" s="2859"/>
      <c r="I20" s="2859"/>
      <c r="J20" s="2633"/>
      <c r="K20" s="3258" t="s">
        <v>2894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2895</v>
      </c>
      <c r="C21" s="2829" t="s">
        <v>1683</v>
      </c>
      <c r="D21" s="1721" t="s">
        <v>2896</v>
      </c>
      <c r="E21" s="2830" t="s">
        <v>1683</v>
      </c>
      <c r="F21" s="2843"/>
      <c r="G21" s="2859"/>
      <c r="H21" s="2859"/>
      <c r="I21" s="2859"/>
      <c r="J21" s="2633"/>
      <c r="K21" s="325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2897</v>
      </c>
      <c r="C22" s="2829" t="s">
        <v>1684</v>
      </c>
      <c r="D22" s="2858"/>
      <c r="E22" s="2858"/>
      <c r="F22" s="2858"/>
      <c r="G22" s="2859"/>
      <c r="H22" s="2859"/>
      <c r="I22" s="2859"/>
      <c r="J22" s="2633"/>
      <c r="K22" s="325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76" t="s">
        <v>2900</v>
      </c>
      <c r="B27" s="325"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76"/>
      <c r="B28" s="307"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76"/>
      <c r="B29" s="307"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77"/>
      <c r="B30" s="307" t="s">
        <v>2904</v>
      </c>
      <c r="C30" s="3278"/>
      <c r="D30" s="3279"/>
      <c r="E30" s="2859"/>
      <c r="F30" s="2859"/>
      <c r="G30" s="2859"/>
      <c r="H30" s="2859"/>
      <c r="I30" s="2859"/>
      <c r="J30" s="2633"/>
      <c r="K30" s="2810"/>
      <c r="L30" s="2807"/>
      <c r="M30" s="2807"/>
      <c r="N30" s="2633"/>
      <c r="O30" s="2644"/>
      <c r="P30" s="2633"/>
      <c r="Q30" s="2633"/>
      <c r="R30" s="2633"/>
      <c r="S30" s="2633"/>
      <c r="T30" s="2633"/>
      <c r="U30" s="2633"/>
      <c r="V30" s="2633"/>
    </row>
    <row r="31" spans="1:28">
      <c r="A31" s="3280" t="s">
        <v>2905</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281"/>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281"/>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2906</v>
      </c>
      <c r="B34" s="2182"/>
      <c r="C34" s="2182"/>
      <c r="D34" s="2182"/>
      <c r="E34" s="2182"/>
      <c r="F34" s="2182"/>
      <c r="G34" s="2182"/>
      <c r="H34" s="2182"/>
      <c r="I34" s="2859"/>
      <c r="J34" s="2633"/>
      <c r="K34" s="2621">
        <f>COUNTIF(B34:H34,"——")</f>
        <v>0</v>
      </c>
      <c r="L34" s="328" t="s">
        <v>2907</v>
      </c>
      <c r="M34" s="328" t="s">
        <v>2908</v>
      </c>
      <c r="N34" s="328" t="s">
        <v>2909</v>
      </c>
      <c r="O34" s="328" t="s">
        <v>2910</v>
      </c>
      <c r="P34" s="328" t="s">
        <v>2911</v>
      </c>
      <c r="Q34" s="328" t="s">
        <v>2912</v>
      </c>
      <c r="R34" s="328" t="s">
        <v>2913</v>
      </c>
      <c r="S34" s="3275" t="s">
        <v>2914</v>
      </c>
      <c r="T34" s="2622" t="str">
        <f>NUMBERSTRING(7-K34,1)&amp;"通"</f>
        <v>七通</v>
      </c>
      <c r="U34" s="2633"/>
      <c r="V34" s="2633"/>
    </row>
    <row r="35" spans="1:30">
      <c r="A35" s="2623"/>
      <c r="B35" s="3282" t="s">
        <v>2915</v>
      </c>
      <c r="C35" s="3282"/>
      <c r="D35" s="3282"/>
      <c r="E35" s="3282"/>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275"/>
      <c r="T35" s="334" t="str">
        <f>IF(T34="一通",L35,IF(T34="二通",M35,IF(T34="三通",N35,IF(T34="四通",O35,IF(T34="五通",P35,IF(T34="六通",Q35,R35))))))</f>
        <v>、、、、、、</v>
      </c>
      <c r="U35" s="2633"/>
      <c r="V35" s="2633"/>
    </row>
    <row r="36" spans="1:30">
      <c r="A36" s="2624"/>
      <c r="B36" s="672" t="s">
        <v>2871</v>
      </c>
      <c r="C36" s="672" t="s">
        <v>2872</v>
      </c>
      <c r="D36" s="672" t="s">
        <v>2870</v>
      </c>
      <c r="E36" s="672"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c r="D38" s="2626"/>
      <c r="E38" s="2626" t="s">
        <v>3132</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2919</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7" customFormat="1">
      <c r="A43" s="1723"/>
      <c r="B43" s="1180"/>
      <c r="C43" s="1180"/>
      <c r="D43" s="1180"/>
      <c r="E43" s="1180"/>
      <c r="F43" s="1180"/>
      <c r="G43" s="1180"/>
      <c r="H43" s="1180"/>
      <c r="I43" s="1180"/>
      <c r="J43" s="2631"/>
      <c r="K43" s="2632"/>
      <c r="L43" s="2632"/>
      <c r="M43" s="1180"/>
      <c r="N43" s="1180"/>
      <c r="O43" s="1180"/>
      <c r="P43" s="1180"/>
      <c r="Q43" s="1180"/>
      <c r="R43" s="1180"/>
      <c r="S43" s="2633"/>
      <c r="T43" s="2633"/>
      <c r="U43" s="2633"/>
      <c r="V43" s="2633"/>
    </row>
    <row r="44" spans="1:30" s="1897" customFormat="1">
      <c r="A44" s="1723"/>
      <c r="B44" s="1723"/>
      <c r="C44" s="1180"/>
      <c r="D44" s="1180"/>
      <c r="E44" s="1180"/>
      <c r="F44" s="1180"/>
      <c r="G44" s="1180"/>
      <c r="H44" s="1180"/>
      <c r="I44" s="1180"/>
      <c r="J44" s="2631"/>
      <c r="K44" s="2632"/>
      <c r="L44" s="2632"/>
      <c r="M44" s="1180"/>
      <c r="N44" s="1180"/>
      <c r="O44" s="1180"/>
      <c r="P44" s="1180"/>
      <c r="Q44" s="1180"/>
      <c r="R44" s="1180"/>
      <c r="S44" s="2633"/>
      <c r="T44" s="2633"/>
      <c r="U44" s="2633"/>
      <c r="V44" s="2633"/>
    </row>
    <row r="45" spans="1:30" s="1897" customFormat="1">
      <c r="A45" s="1723"/>
      <c r="B45" s="1723"/>
      <c r="C45" s="1180"/>
      <c r="D45" s="1180"/>
      <c r="E45" s="1180"/>
      <c r="F45" s="1180"/>
      <c r="G45" s="1180"/>
      <c r="H45" s="1180"/>
      <c r="I45" s="1180"/>
      <c r="J45" s="2631"/>
      <c r="K45" s="2632"/>
      <c r="L45" s="2632"/>
      <c r="M45" s="1180"/>
      <c r="N45" s="1180"/>
      <c r="O45" s="1180"/>
      <c r="P45" s="1180"/>
      <c r="Q45" s="1180"/>
      <c r="R45" s="1180"/>
      <c r="S45" s="2633"/>
      <c r="T45" s="2633"/>
      <c r="U45" s="2633"/>
      <c r="V45" s="2633"/>
    </row>
    <row r="46" spans="1:30" s="1897" customFormat="1">
      <c r="A46" s="1723"/>
      <c r="B46" s="1723"/>
      <c r="C46" s="1180"/>
      <c r="D46" s="1180"/>
      <c r="E46" s="1180"/>
      <c r="F46" s="1180"/>
      <c r="G46" s="1180"/>
      <c r="H46" s="1180"/>
      <c r="I46" s="1180"/>
      <c r="J46" s="2631"/>
      <c r="K46" s="2632"/>
      <c r="L46" s="2632"/>
      <c r="M46" s="1180"/>
      <c r="N46" s="1180"/>
      <c r="O46" s="1180"/>
      <c r="P46" s="1180"/>
      <c r="Q46" s="1180"/>
      <c r="R46" s="1180"/>
      <c r="S46" s="2633"/>
      <c r="T46" s="2633"/>
      <c r="U46" s="2633"/>
      <c r="V46" s="2633"/>
    </row>
    <row r="47" spans="1:30" s="1897" customFormat="1">
      <c r="A47" s="1723"/>
      <c r="B47" s="1723"/>
      <c r="C47" s="1180"/>
      <c r="D47" s="1180"/>
      <c r="E47" s="1180"/>
      <c r="F47" s="1180"/>
      <c r="G47" s="1180"/>
      <c r="H47" s="1180"/>
      <c r="I47" s="1180"/>
      <c r="J47" s="2631"/>
      <c r="K47" s="2632"/>
      <c r="L47" s="2632"/>
      <c r="M47" s="1180"/>
      <c r="N47" s="1180"/>
      <c r="O47" s="1180"/>
      <c r="P47" s="1180"/>
      <c r="Q47" s="1180"/>
      <c r="R47" s="1180"/>
      <c r="S47" s="2633"/>
      <c r="T47" s="2633"/>
      <c r="U47" s="2633"/>
      <c r="V47" s="2633"/>
    </row>
    <row r="48" spans="1:30" s="1897" customFormat="1">
      <c r="A48" s="1723"/>
      <c r="B48" s="1723"/>
      <c r="C48" s="1180"/>
      <c r="D48" s="1180"/>
      <c r="E48" s="1180"/>
      <c r="F48" s="1180"/>
      <c r="G48" s="1180"/>
      <c r="H48" s="1180"/>
      <c r="I48" s="1180"/>
      <c r="J48" s="2631"/>
      <c r="K48" s="2632"/>
      <c r="L48" s="2632"/>
      <c r="M48" s="1180"/>
      <c r="N48" s="1180"/>
      <c r="O48" s="1180"/>
      <c r="P48" s="1180"/>
      <c r="Q48" s="1180"/>
      <c r="R48" s="1180"/>
      <c r="S48" s="2633"/>
      <c r="T48" s="2633"/>
      <c r="U48" s="2633"/>
      <c r="V48" s="2633"/>
    </row>
    <row r="49" spans="1:22" s="1897" customFormat="1">
      <c r="A49" s="1723"/>
      <c r="B49" s="1723"/>
      <c r="C49" s="1180"/>
      <c r="D49" s="1180"/>
      <c r="E49" s="1180"/>
      <c r="F49" s="1180"/>
      <c r="G49" s="1180"/>
      <c r="H49" s="1180"/>
      <c r="I49" s="1180"/>
      <c r="J49" s="2631"/>
      <c r="K49" s="2632"/>
      <c r="L49" s="2632"/>
      <c r="M49" s="1180"/>
      <c r="N49" s="1180"/>
      <c r="O49" s="1180"/>
      <c r="P49" s="1180"/>
      <c r="Q49" s="1180"/>
      <c r="R49" s="1180"/>
      <c r="S49" s="2633"/>
      <c r="T49" s="2633"/>
      <c r="U49" s="2633"/>
      <c r="V49" s="2633"/>
    </row>
    <row r="50" spans="1:22" s="1897" customFormat="1">
      <c r="A50" s="1723"/>
      <c r="B50" s="1723"/>
      <c r="C50" s="1180"/>
      <c r="D50" s="1180"/>
      <c r="E50" s="1180"/>
      <c r="F50" s="1180"/>
      <c r="G50" s="1180"/>
      <c r="H50" s="1180"/>
      <c r="I50" s="1180"/>
      <c r="J50" s="2631"/>
      <c r="K50" s="2632"/>
      <c r="L50" s="2632"/>
      <c r="M50" s="1180"/>
      <c r="N50" s="1180"/>
      <c r="O50" s="1180"/>
      <c r="P50" s="1180"/>
      <c r="Q50" s="1180"/>
      <c r="R50" s="1180"/>
      <c r="S50" s="2633"/>
      <c r="T50" s="2633"/>
      <c r="U50" s="2633"/>
      <c r="V50" s="2633"/>
    </row>
    <row r="51" spans="1:22" s="1897" customFormat="1">
      <c r="A51" s="1723"/>
      <c r="B51" s="1723"/>
      <c r="C51" s="1180"/>
      <c r="D51" s="1180"/>
      <c r="E51" s="1180"/>
      <c r="F51" s="1180"/>
      <c r="G51" s="1180"/>
      <c r="H51" s="1180"/>
      <c r="I51" s="1180"/>
      <c r="J51" s="2631"/>
      <c r="K51" s="2632"/>
      <c r="L51" s="2632"/>
      <c r="M51" s="1180"/>
      <c r="N51" s="1180"/>
      <c r="O51" s="1180"/>
      <c r="P51" s="1180"/>
      <c r="Q51" s="1180"/>
      <c r="R51" s="1180"/>
    </row>
    <row r="52" spans="1:22" s="1897" customFormat="1">
      <c r="A52" s="1723"/>
      <c r="B52" s="1723"/>
      <c r="C52" s="1723"/>
      <c r="D52" s="1723"/>
      <c r="E52" s="1723"/>
      <c r="F52" s="1180"/>
      <c r="G52" s="1723"/>
      <c r="H52" s="1723"/>
      <c r="I52" s="1723"/>
      <c r="J52" s="2634"/>
      <c r="K52" s="2632"/>
      <c r="L52" s="2632"/>
      <c r="M52" s="2632"/>
      <c r="N52" s="1723"/>
      <c r="O52" s="1723"/>
      <c r="P52" s="1723"/>
      <c r="Q52" s="1723"/>
      <c r="R52" s="1723"/>
    </row>
    <row r="53" spans="1:22" s="1897" customFormat="1">
      <c r="A53" s="1723"/>
      <c r="B53" s="1723"/>
      <c r="C53" s="1723"/>
      <c r="D53" s="1723"/>
      <c r="E53" s="1723"/>
      <c r="F53" s="1180"/>
      <c r="G53" s="1723"/>
      <c r="H53" s="1723"/>
      <c r="I53" s="1723"/>
      <c r="J53" s="2634"/>
      <c r="K53" s="2632"/>
      <c r="L53" s="2632"/>
      <c r="M53" s="2632"/>
      <c r="N53" s="1723"/>
      <c r="O53" s="1723"/>
      <c r="P53" s="1723"/>
      <c r="Q53" s="1723"/>
      <c r="R53" s="1723"/>
    </row>
    <row r="54" spans="1:22" s="1897" customFormat="1">
      <c r="A54" s="1723"/>
      <c r="B54" s="1723"/>
      <c r="C54" s="1723"/>
      <c r="D54" s="1723"/>
      <c r="E54" s="1723"/>
      <c r="F54" s="1180"/>
      <c r="G54" s="1723"/>
      <c r="H54" s="1723"/>
      <c r="I54" s="1723"/>
      <c r="J54" s="2634"/>
      <c r="K54" s="2632"/>
      <c r="L54" s="2632"/>
      <c r="M54" s="2632"/>
      <c r="N54" s="1723"/>
      <c r="O54" s="1723"/>
      <c r="P54" s="1723"/>
      <c r="Q54" s="1723"/>
      <c r="R54" s="1723"/>
    </row>
    <row r="55" spans="1:22" s="1897" customFormat="1">
      <c r="A55" s="1723"/>
      <c r="B55" s="1723"/>
      <c r="C55" s="1723"/>
      <c r="D55" s="1723"/>
      <c r="E55" s="1723"/>
      <c r="F55" s="1180"/>
      <c r="G55" s="1723"/>
      <c r="H55" s="1723"/>
      <c r="I55" s="1723"/>
      <c r="J55" s="2634"/>
      <c r="K55" s="2632"/>
      <c r="L55" s="2632"/>
      <c r="M55" s="2632"/>
      <c r="N55" s="1723"/>
      <c r="O55" s="1723"/>
      <c r="P55" s="1723"/>
      <c r="Q55" s="1723"/>
      <c r="R55" s="1723"/>
    </row>
    <row r="56" spans="1:22" s="1897" customFormat="1">
      <c r="A56" s="1723"/>
      <c r="B56" s="1723"/>
      <c r="C56" s="1723"/>
      <c r="D56" s="1723"/>
      <c r="E56" s="1723"/>
      <c r="F56" s="1180"/>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13">
        <f>Sheet1!B4</f>
        <v>13788.6</v>
      </c>
      <c r="B3" s="14">
        <f>IF(C3="否",G5-AT5,G5)</f>
        <v>24804.469999999998</v>
      </c>
      <c r="C3" s="1733" t="s">
        <v>3168</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3547">
        <f>5238.507+5621.824+2515.263+6.679</f>
        <v>13382.272999999997</v>
      </c>
      <c r="AZ3" s="1180"/>
      <c r="BA3" s="1181"/>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5" t="s">
        <v>1696</v>
      </c>
      <c r="B5" s="1499"/>
      <c r="C5" s="1499"/>
      <c r="D5" s="1501"/>
      <c r="E5" s="16" t="s">
        <v>1</v>
      </c>
      <c r="F5" s="16">
        <f>SUM(F13:F587)</f>
        <v>0</v>
      </c>
      <c r="G5" s="16">
        <f>SUM(G13:G587)</f>
        <v>25557.609999999997</v>
      </c>
      <c r="H5" s="16">
        <f t="shared" ref="H5:AT5" si="0">SUM(H13:H656)</f>
        <v>24438.69</v>
      </c>
      <c r="I5" s="16">
        <f t="shared" si="0"/>
        <v>19966.57</v>
      </c>
      <c r="J5" s="16">
        <f t="shared" si="0"/>
        <v>0</v>
      </c>
      <c r="K5" s="16">
        <f t="shared" si="0"/>
        <v>4472.12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365.78</v>
      </c>
      <c r="AD5" s="16">
        <f t="shared" si="0"/>
        <v>0</v>
      </c>
      <c r="AE5" s="16">
        <f t="shared" si="0"/>
        <v>0</v>
      </c>
      <c r="AF5" s="16">
        <f t="shared" si="0"/>
        <v>0</v>
      </c>
      <c r="AG5" s="16">
        <f t="shared" si="0"/>
        <v>0</v>
      </c>
      <c r="AH5" s="16">
        <f t="shared" si="0"/>
        <v>0</v>
      </c>
      <c r="AI5" s="16">
        <f t="shared" si="0"/>
        <v>0</v>
      </c>
      <c r="AJ5" s="16">
        <f t="shared" si="0"/>
        <v>0</v>
      </c>
      <c r="AK5" s="16">
        <f t="shared" si="0"/>
        <v>0</v>
      </c>
      <c r="AL5" s="16">
        <f t="shared" si="0"/>
        <v>365.78</v>
      </c>
      <c r="AM5" s="16">
        <f t="shared" si="0"/>
        <v>0</v>
      </c>
      <c r="AN5" s="16">
        <f t="shared" si="0"/>
        <v>0</v>
      </c>
      <c r="AO5" s="16">
        <f t="shared" si="0"/>
        <v>0</v>
      </c>
      <c r="AP5" s="16">
        <f t="shared" si="0"/>
        <v>0</v>
      </c>
      <c r="AQ5" s="16">
        <f t="shared" si="0"/>
        <v>0</v>
      </c>
      <c r="AR5" s="16">
        <f t="shared" si="0"/>
        <v>0</v>
      </c>
      <c r="AS5" s="16">
        <f t="shared" si="0"/>
        <v>0</v>
      </c>
      <c r="AT5" s="16">
        <f t="shared" si="0"/>
        <v>753.14</v>
      </c>
      <c r="AU5" s="1498"/>
      <c r="AV5" s="15" t="s">
        <v>1696</v>
      </c>
      <c r="AW5" s="1499"/>
      <c r="AX5" s="1499"/>
      <c r="AY5" s="17" t="s">
        <v>3</v>
      </c>
      <c r="AZ5" s="18">
        <f t="shared" ref="AZ5:BT5" si="1">SUM(AZ13:AZ656)</f>
        <v>24804.469999999998</v>
      </c>
      <c r="BA5" s="18">
        <f t="shared" si="1"/>
        <v>24438.69</v>
      </c>
      <c r="BB5" s="18">
        <f t="shared" si="1"/>
        <v>19966.57</v>
      </c>
      <c r="BC5" s="18">
        <f t="shared" si="1"/>
        <v>4472.12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365.78</v>
      </c>
      <c r="BM5" s="18">
        <f t="shared" si="1"/>
        <v>0</v>
      </c>
      <c r="BN5" s="18">
        <f t="shared" si="1"/>
        <v>0</v>
      </c>
      <c r="BO5" s="18">
        <f t="shared" si="1"/>
        <v>0</v>
      </c>
      <c r="BP5" s="18">
        <f t="shared" si="1"/>
        <v>0</v>
      </c>
      <c r="BQ5" s="18">
        <f t="shared" si="1"/>
        <v>365.78</v>
      </c>
      <c r="BR5" s="18">
        <f t="shared" si="1"/>
        <v>0</v>
      </c>
      <c r="BS5" s="18">
        <f t="shared" si="1"/>
        <v>0</v>
      </c>
      <c r="BT5" s="19">
        <f t="shared" si="1"/>
        <v>0</v>
      </c>
    </row>
    <row r="6" spans="1:72" s="1742" customFormat="1" ht="12.75">
      <c r="A6" s="15" t="s">
        <v>1697</v>
      </c>
      <c r="B6" s="1739"/>
      <c r="C6" s="1739"/>
      <c r="D6" s="1740"/>
      <c r="E6" s="16">
        <f>H6+AC6+AT6</f>
        <v>13788.59</v>
      </c>
      <c r="F6" s="16" t="s">
        <v>1</v>
      </c>
      <c r="G6" s="16" t="s">
        <v>2</v>
      </c>
      <c r="H6" s="20">
        <f>SUMIF(I$12:AB$12,"总值",I6:AB6)</f>
        <v>13585.26</v>
      </c>
      <c r="I6" s="16">
        <f t="shared" ref="I6:AB6" si="2">ROUND($A$3*I5/$B$3,2)</f>
        <v>11099.25</v>
      </c>
      <c r="J6" s="16">
        <f t="shared" si="2"/>
        <v>0</v>
      </c>
      <c r="K6" s="16">
        <f t="shared" si="2"/>
        <v>2486.0100000000002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203.33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203.33</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1697</v>
      </c>
      <c r="AW6" s="1739"/>
      <c r="AX6" s="1739"/>
      <c r="AY6" s="21">
        <f>IF(AY3&gt;0,AY3,ROUND($A$3*AZ5/$B$3,2))</f>
        <v>13382.272999999997</v>
      </c>
      <c r="AZ6" s="16" t="s">
        <v>3</v>
      </c>
      <c r="BA6" s="16">
        <f>ROUND($AY$6*BA5/$AZ$5,2)</f>
        <v>13184.93</v>
      </c>
      <c r="BB6" s="16">
        <f>ROUND($AY$6*BB5/$AZ$5,2)</f>
        <v>10772.17</v>
      </c>
      <c r="BC6" s="16">
        <f t="shared" ref="BC6:BH6" si="4">ROUND($AY$6*BC5/$AZ$5,2)</f>
        <v>2412.7600000000002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197.34</v>
      </c>
      <c r="BM6" s="16">
        <f t="shared" si="5"/>
        <v>0</v>
      </c>
      <c r="BN6" s="16">
        <f t="shared" si="5"/>
        <v>0</v>
      </c>
      <c r="BO6" s="16">
        <f t="shared" si="5"/>
        <v>0</v>
      </c>
      <c r="BP6" s="16">
        <f t="shared" si="5"/>
        <v>0</v>
      </c>
      <c r="BQ6" s="16">
        <f t="shared" si="5"/>
        <v>197.34</v>
      </c>
      <c r="BR6" s="16">
        <f t="shared" si="5"/>
        <v>0</v>
      </c>
      <c r="BS6" s="16">
        <f t="shared" si="5"/>
        <v>0</v>
      </c>
      <c r="BT6" s="22">
        <f t="shared" si="5"/>
        <v>0</v>
      </c>
    </row>
    <row r="7" spans="1:72" s="1732" customFormat="1" ht="24.75">
      <c r="A7" s="1722" t="s">
        <v>1698</v>
      </c>
      <c r="B7" s="1722" t="s">
        <v>1699</v>
      </c>
      <c r="C7" s="1722" t="s">
        <v>1700</v>
      </c>
      <c r="D7" s="1722" t="s">
        <v>1701</v>
      </c>
      <c r="E7" s="1722" t="s">
        <v>1702</v>
      </c>
      <c r="F7" s="1722" t="s">
        <v>1703</v>
      </c>
      <c r="G7" s="1743" t="s">
        <v>1704</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1705</v>
      </c>
      <c r="AV7" s="23" t="s">
        <v>1706</v>
      </c>
      <c r="AW7" s="1731" t="s">
        <v>1707</v>
      </c>
      <c r="AX7" s="23" t="s">
        <v>1700</v>
      </c>
      <c r="AY7" s="1499" t="s">
        <v>1708</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1709</v>
      </c>
      <c r="H8" s="1749" t="s">
        <v>1710</v>
      </c>
      <c r="I8" s="1750"/>
      <c r="J8" s="1512"/>
      <c r="K8" s="1512"/>
      <c r="L8" s="1512"/>
      <c r="M8" s="1512"/>
      <c r="N8" s="1512"/>
      <c r="O8" s="1512"/>
      <c r="P8" s="1512"/>
      <c r="Q8" s="1512"/>
      <c r="R8" s="1512"/>
      <c r="S8" s="1512"/>
      <c r="T8" s="1512"/>
      <c r="U8" s="1512"/>
      <c r="V8" s="1751"/>
      <c r="W8" s="1512"/>
      <c r="X8" s="1512"/>
      <c r="Y8" s="1512"/>
      <c r="Z8" s="1512"/>
      <c r="AA8" s="1751"/>
      <c r="AB8" s="1752"/>
      <c r="AC8" s="917" t="s">
        <v>1711</v>
      </c>
      <c r="AD8" s="1753"/>
      <c r="AE8" s="1745"/>
      <c r="AF8" s="1512"/>
      <c r="AG8" s="1512"/>
      <c r="AH8" s="1512"/>
      <c r="AI8" s="1512"/>
      <c r="AJ8" s="1512"/>
      <c r="AK8" s="1512"/>
      <c r="AL8" s="1512"/>
      <c r="AM8" s="1512"/>
      <c r="AN8" s="1512"/>
      <c r="AO8" s="1512"/>
      <c r="AP8" s="1512"/>
      <c r="AQ8" s="1512"/>
      <c r="AR8" s="1512"/>
      <c r="AS8" s="1512"/>
      <c r="AT8" s="1200" t="s">
        <v>1712</v>
      </c>
      <c r="AU8" s="1747" t="s">
        <v>1713</v>
      </c>
      <c r="AV8" s="1200"/>
      <c r="AW8" s="1730"/>
      <c r="AX8" s="1200"/>
      <c r="AY8" s="1731" t="s">
        <v>1714</v>
      </c>
      <c r="AZ8" s="1511" t="s">
        <v>1715</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ht="12.75">
      <c r="A9" s="1747"/>
      <c r="B9" s="1747"/>
      <c r="C9" s="1747"/>
      <c r="D9" s="1747"/>
      <c r="E9" s="1747"/>
      <c r="F9" s="1747"/>
      <c r="G9" s="1200"/>
      <c r="H9" s="1755" t="s">
        <v>1716</v>
      </c>
      <c r="I9" s="1756" t="s">
        <v>3154</v>
      </c>
      <c r="J9" s="917"/>
      <c r="K9" s="1756" t="s">
        <v>3155</v>
      </c>
      <c r="L9" s="917"/>
      <c r="M9" s="1756"/>
      <c r="N9" s="917"/>
      <c r="O9" s="1756"/>
      <c r="P9" s="917"/>
      <c r="Q9" s="1756"/>
      <c r="R9" s="917"/>
      <c r="S9" s="1756"/>
      <c r="T9" s="917"/>
      <c r="U9" s="1756"/>
      <c r="V9" s="917"/>
      <c r="W9" s="1756"/>
      <c r="X9" s="1757"/>
      <c r="Y9" s="1756"/>
      <c r="Z9" s="917"/>
      <c r="AA9" s="1756"/>
      <c r="AB9" s="917"/>
      <c r="AC9" s="1748" t="s">
        <v>1716</v>
      </c>
      <c r="AD9" s="15" t="s">
        <v>1717</v>
      </c>
      <c r="AE9" s="1206"/>
      <c r="AF9" s="15" t="s">
        <v>1718</v>
      </c>
      <c r="AG9" s="1206"/>
      <c r="AH9" s="15" t="s">
        <v>1717</v>
      </c>
      <c r="AI9" s="1206"/>
      <c r="AJ9" s="15" t="s">
        <v>1718</v>
      </c>
      <c r="AK9" s="1206"/>
      <c r="AL9" s="15" t="s">
        <v>1717</v>
      </c>
      <c r="AM9" s="1206"/>
      <c r="AN9" s="15" t="s">
        <v>1718</v>
      </c>
      <c r="AO9" s="1206"/>
      <c r="AP9" s="15" t="s">
        <v>1717</v>
      </c>
      <c r="AQ9" s="1206"/>
      <c r="AR9" s="15" t="s">
        <v>1718</v>
      </c>
      <c r="AS9" s="1758"/>
      <c r="AT9" s="1747"/>
      <c r="AU9" s="1747" t="s">
        <v>1719</v>
      </c>
      <c r="AV9" s="1200"/>
      <c r="AW9" s="1730"/>
      <c r="AX9" s="1200"/>
      <c r="AY9" s="28"/>
      <c r="AZ9" s="28" t="s">
        <v>1709</v>
      </c>
      <c r="BA9" s="1759" t="s">
        <v>1720</v>
      </c>
      <c r="BB9" s="1760"/>
      <c r="BC9" s="1218"/>
      <c r="BD9" s="1218"/>
      <c r="BE9" s="1218"/>
      <c r="BF9" s="1218"/>
      <c r="BG9" s="1218"/>
      <c r="BH9" s="1218"/>
      <c r="BI9" s="1218"/>
      <c r="BJ9" s="1218"/>
      <c r="BK9" s="1761"/>
      <c r="BL9" s="15" t="s">
        <v>1721</v>
      </c>
      <c r="BM9" s="1512"/>
      <c r="BN9" s="1750"/>
      <c r="BO9" s="1512"/>
      <c r="BP9" s="1512"/>
      <c r="BQ9" s="1512"/>
      <c r="BR9" s="1512"/>
      <c r="BS9" s="1512"/>
      <c r="BT9" s="26"/>
    </row>
    <row r="10" spans="1:72" s="1754" customFormat="1" ht="12.75">
      <c r="A10" s="1747"/>
      <c r="B10" s="1747"/>
      <c r="C10" s="1747"/>
      <c r="D10" s="1747"/>
      <c r="E10" s="1747"/>
      <c r="F10" s="1747"/>
      <c r="G10" s="1200"/>
      <c r="H10" s="28"/>
      <c r="I10" s="1756" t="s">
        <v>6</v>
      </c>
      <c r="J10" s="917"/>
      <c r="K10" s="1762" t="s">
        <v>6</v>
      </c>
      <c r="L10" s="917"/>
      <c r="M10" s="1762"/>
      <c r="N10" s="917"/>
      <c r="O10" s="1762"/>
      <c r="P10" s="917"/>
      <c r="Q10" s="1762"/>
      <c r="R10" s="917"/>
      <c r="S10" s="1762"/>
      <c r="T10" s="917"/>
      <c r="U10" s="1762"/>
      <c r="V10" s="917"/>
      <c r="W10" s="1762"/>
      <c r="X10" s="917"/>
      <c r="Y10" s="1762"/>
      <c r="Z10" s="917"/>
      <c r="AA10" s="1762"/>
      <c r="AB10" s="917"/>
      <c r="AC10" s="1200"/>
      <c r="AD10" s="15" t="s">
        <v>1722</v>
      </c>
      <c r="AE10" s="1763"/>
      <c r="AF10" s="15" t="s">
        <v>1722</v>
      </c>
      <c r="AG10" s="1763"/>
      <c r="AH10" s="15" t="s">
        <v>1723</v>
      </c>
      <c r="AI10" s="1763"/>
      <c r="AJ10" s="15" t="s">
        <v>1723</v>
      </c>
      <c r="AK10" s="1763"/>
      <c r="AL10" s="15" t="s">
        <v>1724</v>
      </c>
      <c r="AM10" s="1206"/>
      <c r="AN10" s="15" t="s">
        <v>1724</v>
      </c>
      <c r="AO10" s="1206"/>
      <c r="AP10" s="15" t="s">
        <v>1725</v>
      </c>
      <c r="AQ10" s="1206"/>
      <c r="AR10" s="15" t="s">
        <v>1725</v>
      </c>
      <c r="AS10" s="1206"/>
      <c r="AT10" s="1747"/>
      <c r="AU10" s="1747"/>
      <c r="AV10" s="1200"/>
      <c r="AW10" s="1730"/>
      <c r="AX10" s="1200"/>
      <c r="AY10" s="28"/>
      <c r="AZ10" s="28"/>
      <c r="BA10" s="1764" t="s">
        <v>1716</v>
      </c>
      <c r="BB10" s="1765" t="str">
        <f>I9</f>
        <v>地上</v>
      </c>
      <c r="BC10" s="29" t="str">
        <f>K9</f>
        <v>地下</v>
      </c>
      <c r="BD10" s="29">
        <f>M9</f>
        <v>0</v>
      </c>
      <c r="BE10" s="29">
        <f>O9</f>
        <v>0</v>
      </c>
      <c r="BF10" s="29">
        <f>Q9</f>
        <v>0</v>
      </c>
      <c r="BG10" s="29">
        <f>S9</f>
        <v>0</v>
      </c>
      <c r="BH10" s="29">
        <f>U9</f>
        <v>0</v>
      </c>
      <c r="BI10" s="29">
        <f>W9</f>
        <v>0</v>
      </c>
      <c r="BJ10" s="29">
        <f>Y9</f>
        <v>0</v>
      </c>
      <c r="BK10" s="29">
        <f>AA9</f>
        <v>0</v>
      </c>
      <c r="BL10" s="25" t="s">
        <v>1716</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ht="12.75">
      <c r="A11" s="1747"/>
      <c r="B11" s="1747"/>
      <c r="C11" s="1747"/>
      <c r="D11" s="1747"/>
      <c r="E11" s="1747"/>
      <c r="F11" s="1747"/>
      <c r="G11" s="1200"/>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0"/>
      <c r="AD11" s="1769" t="s">
        <v>1726</v>
      </c>
      <c r="AE11" s="1513"/>
      <c r="AF11" s="1769" t="s">
        <v>1726</v>
      </c>
      <c r="AG11" s="1513"/>
      <c r="AH11" s="1769" t="s">
        <v>1727</v>
      </c>
      <c r="AI11" s="1770"/>
      <c r="AJ11" s="1769" t="s">
        <v>1727</v>
      </c>
      <c r="AK11" s="1513"/>
      <c r="AL11" s="1511"/>
      <c r="AM11" s="1513"/>
      <c r="AN11" s="1511"/>
      <c r="AO11" s="1513"/>
      <c r="AP11" s="1511"/>
      <c r="AQ11" s="1513"/>
      <c r="AR11" s="1511"/>
      <c r="AS11" s="1513"/>
      <c r="AT11" s="1730"/>
      <c r="AU11" s="1747"/>
      <c r="AV11" s="1200"/>
      <c r="AW11" s="1730"/>
      <c r="AX11" s="1200"/>
      <c r="AY11" s="28"/>
      <c r="AZ11" s="28"/>
      <c r="BA11" s="28"/>
      <c r="BB11" s="1752" t="str">
        <f>I10</f>
        <v>工业</v>
      </c>
      <c r="BC11" s="1752" t="str">
        <f>K10</f>
        <v>工业</v>
      </c>
      <c r="BD11" s="1752">
        <f>M10</f>
        <v>0</v>
      </c>
      <c r="BE11" s="1752">
        <f>O10</f>
        <v>0</v>
      </c>
      <c r="BF11" s="1752">
        <f>Q10</f>
        <v>0</v>
      </c>
      <c r="BG11" s="1752">
        <f>S10</f>
        <v>0</v>
      </c>
      <c r="BH11" s="1752">
        <f>U10</f>
        <v>0</v>
      </c>
      <c r="BI11" s="1752">
        <f>W10</f>
        <v>0</v>
      </c>
      <c r="BJ11" s="1752">
        <f>Y10</f>
        <v>0</v>
      </c>
      <c r="BK11" s="1752">
        <f>AA10</f>
        <v>0</v>
      </c>
      <c r="BL11" s="1200"/>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ht="12.75">
      <c r="A12" s="1772"/>
      <c r="B12" s="1772"/>
      <c r="C12" s="1772"/>
      <c r="D12" s="1772"/>
      <c r="E12" s="1772"/>
      <c r="F12" s="1772"/>
      <c r="G12" s="30"/>
      <c r="H12" s="1773"/>
      <c r="I12" s="1501"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8" t="s">
        <v>1729</v>
      </c>
      <c r="W12" s="11" t="s">
        <v>1728</v>
      </c>
      <c r="X12" s="11" t="s">
        <v>1729</v>
      </c>
      <c r="Y12" s="11" t="s">
        <v>1728</v>
      </c>
      <c r="Z12" s="11" t="s">
        <v>1729</v>
      </c>
      <c r="AA12" s="11" t="s">
        <v>1728</v>
      </c>
      <c r="AB12" s="11" t="s">
        <v>1729</v>
      </c>
      <c r="AC12" s="1774"/>
      <c r="AD12" s="1501"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2" t="s">
        <v>1729</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0"/>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ht="12.75">
      <c r="A13" s="1180"/>
      <c r="B13" s="1180"/>
      <c r="C13" s="1180"/>
      <c r="D13" s="1778" t="s">
        <v>3153</v>
      </c>
      <c r="E13" s="16">
        <f>IF($C$3="是",ROUND($A$3*G13/$B$3,2),ROUND($A$3*(G13-AT13)/$B$3,2))</f>
        <v>13788.6</v>
      </c>
      <c r="F13" s="32"/>
      <c r="G13" s="33">
        <f>H13+AC13+AT13</f>
        <v>25557.609999999997</v>
      </c>
      <c r="H13" s="20">
        <f>SUMIF(I$12:AB$12,"总值",I13:AB13)</f>
        <v>24438.69</v>
      </c>
      <c r="I13" s="1779">
        <f>Sheet1!F13</f>
        <v>19966.57</v>
      </c>
      <c r="J13" s="1779"/>
      <c r="K13" s="1779">
        <f>Sheet1!E13</f>
        <v>4472.12</v>
      </c>
      <c r="L13" s="1779"/>
      <c r="M13" s="1779"/>
      <c r="N13" s="1779"/>
      <c r="O13" s="1779"/>
      <c r="P13" s="1779"/>
      <c r="Q13" s="1779"/>
      <c r="R13" s="1779"/>
      <c r="S13" s="1779"/>
      <c r="T13" s="1779"/>
      <c r="U13" s="1779"/>
      <c r="V13" s="1779"/>
      <c r="W13" s="1779"/>
      <c r="X13" s="1779"/>
      <c r="Y13" s="1779"/>
      <c r="Z13" s="1779"/>
      <c r="AA13" s="1779"/>
      <c r="AB13" s="1779"/>
      <c r="AC13" s="16">
        <f>SUMIF(AD$12:AS$12,"总值",AD13:AS13)</f>
        <v>365.78</v>
      </c>
      <c r="AD13" s="1780"/>
      <c r="AE13" s="1780"/>
      <c r="AF13" s="1780"/>
      <c r="AG13" s="1780"/>
      <c r="AH13" s="1780"/>
      <c r="AI13" s="1780"/>
      <c r="AJ13" s="1780"/>
      <c r="AK13" s="1780"/>
      <c r="AL13" s="1780">
        <f>Sheet1!G13</f>
        <v>365.78</v>
      </c>
      <c r="AM13" s="1780"/>
      <c r="AN13" s="1780"/>
      <c r="AO13" s="1780"/>
      <c r="AP13" s="1780"/>
      <c r="AQ13" s="1780"/>
      <c r="AR13" s="1780"/>
      <c r="AS13" s="1780"/>
      <c r="AT13" s="1781">
        <v>753.14</v>
      </c>
      <c r="AU13" s="1782"/>
      <c r="AV13" s="11">
        <f t="shared" ref="AV13:AX17" si="6">A13</f>
        <v>0</v>
      </c>
      <c r="AW13" s="11">
        <f t="shared" si="6"/>
        <v>0</v>
      </c>
      <c r="AX13" s="11">
        <f t="shared" si="6"/>
        <v>0</v>
      </c>
      <c r="AY13" s="1501">
        <f>ROUND($AY$6*AZ13/$AZ$5,2)</f>
        <v>13382.27</v>
      </c>
      <c r="AZ13" s="16">
        <f>BA13+BL13</f>
        <v>24804.469999999998</v>
      </c>
      <c r="BA13" s="16">
        <f>SUM(BB13:BK13)</f>
        <v>24438.69</v>
      </c>
      <c r="BB13" s="16">
        <f>IF($D13="是",I13-J13,0)</f>
        <v>19966.57</v>
      </c>
      <c r="BC13" s="16">
        <f>IF($D13="是",K13-L13,0)</f>
        <v>4472.12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365.78</v>
      </c>
      <c r="BM13" s="16">
        <f>IF($D13="是",AD13-AE13,0)</f>
        <v>0</v>
      </c>
      <c r="BN13" s="16">
        <f>IF($D13="是",AF13-AG13,0)</f>
        <v>0</v>
      </c>
      <c r="BO13" s="16">
        <f>IF($D13="是",AH13-AI13,0)</f>
        <v>0</v>
      </c>
      <c r="BP13" s="16">
        <f>IF($D13="是",AJ13-AK13,0)</f>
        <v>0</v>
      </c>
      <c r="BQ13" s="16">
        <f>IF($D13="是",AL13-AM13,0)</f>
        <v>365.78</v>
      </c>
      <c r="BR13" s="16">
        <f>IF($D13="是",AN13-AO13,0)</f>
        <v>0</v>
      </c>
      <c r="BS13" s="16">
        <f>IF($D13="是",AP13-AQ13,0)</f>
        <v>0</v>
      </c>
      <c r="BT13" s="22">
        <f>IF($D13="是",AR13-AS13,0)</f>
        <v>0</v>
      </c>
    </row>
    <row r="14" spans="1:72" s="1732" customFormat="1" ht="12.75">
      <c r="A14" s="1180"/>
      <c r="B14" s="1180"/>
      <c r="C14" s="1723"/>
      <c r="D14" s="1778"/>
      <c r="E14" s="16">
        <f>IF($C$3="是",ROUND($A$3*G14/$B$3,2),ROUND($A$3*(G14-AT14)/$B$3,2))</f>
        <v>0</v>
      </c>
      <c r="F14" s="32"/>
      <c r="G14" s="33">
        <f>H14+AC14+AT14</f>
        <v>0</v>
      </c>
      <c r="H14" s="20">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ht="12.75">
      <c r="A15" s="1180"/>
      <c r="B15" s="1180"/>
      <c r="C15" s="1723"/>
      <c r="D15" s="1778"/>
      <c r="E15" s="16">
        <f>IF($C$3="是",ROUND($A$3*G15/$B$3,2),ROUND($A$3*(G15-AT15)/$B$3,2))</f>
        <v>0</v>
      </c>
      <c r="F15" s="32"/>
      <c r="G15" s="33">
        <f>H15+AC15+AT15</f>
        <v>0</v>
      </c>
      <c r="H15" s="20">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ht="12.75">
      <c r="A16" s="1180"/>
      <c r="B16" s="1180"/>
      <c r="C16" s="1723"/>
      <c r="D16" s="1778"/>
      <c r="E16" s="16">
        <f>IF($C$3="是",ROUND($A$3*G16/$B$3,2),ROUND($A$3*(G16-AT16)/$B$3,2))</f>
        <v>0</v>
      </c>
      <c r="F16" s="32"/>
      <c r="G16" s="33">
        <f>H16+AC16+AT16</f>
        <v>0</v>
      </c>
      <c r="H16" s="20">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ht="12.75">
      <c r="A17" s="1180"/>
      <c r="B17" s="1180"/>
      <c r="C17" s="1723"/>
      <c r="D17" s="1778"/>
      <c r="E17" s="16">
        <f>IF($C$3="是",ROUND($A$3*G17/$B$3,2),ROUND($A$3*(G17-AT17)/$B$3,2))</f>
        <v>0</v>
      </c>
      <c r="F17" s="32"/>
      <c r="G17" s="33">
        <f>H17+AC17+AT17</f>
        <v>0</v>
      </c>
      <c r="H17" s="20">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tabSelected="1" workbookViewId="0">
      <selection activeCell="A8" sqref="A8:G13"/>
    </sheetView>
  </sheetViews>
  <sheetFormatPr defaultRowHeight="13.5"/>
  <cols>
    <col min="2" max="2" width="13.5" bestFit="1" customWidth="1"/>
    <col min="3" max="3" width="23.5" bestFit="1" customWidth="1"/>
  </cols>
  <sheetData>
    <row r="1" spans="1:10">
      <c r="B1" s="3205" t="s">
        <v>3134</v>
      </c>
    </row>
    <row r="2" spans="1:10">
      <c r="A2" s="3205" t="s">
        <v>3135</v>
      </c>
      <c r="B2" s="3205" t="s">
        <v>3136</v>
      </c>
    </row>
    <row r="3" spans="1:10">
      <c r="A3" s="3205" t="s">
        <v>3137</v>
      </c>
      <c r="B3" s="3205" t="s">
        <v>3138</v>
      </c>
      <c r="C3" s="3205" t="s">
        <v>3139</v>
      </c>
    </row>
    <row r="4" spans="1:10">
      <c r="A4" s="3205" t="s">
        <v>3140</v>
      </c>
      <c r="B4">
        <v>13788.6</v>
      </c>
      <c r="C4">
        <v>24804.47</v>
      </c>
    </row>
    <row r="5" spans="1:10">
      <c r="A5" s="3205" t="s">
        <v>3141</v>
      </c>
      <c r="B5" s="3206">
        <v>59665</v>
      </c>
    </row>
    <row r="8" spans="1:10">
      <c r="D8" s="3205" t="s">
        <v>3142</v>
      </c>
      <c r="E8" s="3205" t="s">
        <v>3143</v>
      </c>
      <c r="F8" s="3205" t="s">
        <v>3144</v>
      </c>
      <c r="G8" s="3205" t="s">
        <v>3145</v>
      </c>
    </row>
    <row r="9" spans="1:10">
      <c r="A9" s="3205" t="s">
        <v>3146</v>
      </c>
      <c r="B9" s="3205" t="s">
        <v>3147</v>
      </c>
      <c r="C9" s="3205" t="s">
        <v>3148</v>
      </c>
      <c r="D9">
        <v>9709.74</v>
      </c>
      <c r="E9">
        <v>1464.46</v>
      </c>
      <c r="F9">
        <v>8135.63</v>
      </c>
      <c r="G9">
        <v>109.65</v>
      </c>
      <c r="J9">
        <v>5238.5069999999996</v>
      </c>
    </row>
    <row r="10" spans="1:10">
      <c r="A10" s="3205" t="s">
        <v>3149</v>
      </c>
      <c r="B10" s="3205" t="s">
        <v>3150</v>
      </c>
      <c r="C10" s="3205" t="s">
        <v>3148</v>
      </c>
      <c r="D10">
        <v>10420.23</v>
      </c>
      <c r="E10">
        <v>2782.79</v>
      </c>
      <c r="F10">
        <v>7429.78</v>
      </c>
      <c r="G10">
        <v>207.66</v>
      </c>
      <c r="J10">
        <v>5621.8239999999996</v>
      </c>
    </row>
    <row r="11" spans="1:10">
      <c r="A11" s="3205" t="s">
        <v>3151</v>
      </c>
      <c r="B11" s="3205" t="s">
        <v>3147</v>
      </c>
      <c r="C11" s="3205" t="s">
        <v>3148</v>
      </c>
      <c r="D11">
        <v>4662.12</v>
      </c>
      <c r="E11">
        <v>224.87</v>
      </c>
      <c r="F11">
        <v>4388.78</v>
      </c>
      <c r="G11">
        <v>48.47</v>
      </c>
      <c r="J11">
        <v>2515.2629999999999</v>
      </c>
    </row>
    <row r="12" spans="1:10">
      <c r="A12" s="3205" t="s">
        <v>3152</v>
      </c>
      <c r="B12">
        <v>1</v>
      </c>
      <c r="C12" s="3205" t="s">
        <v>3148</v>
      </c>
      <c r="D12">
        <v>12.38</v>
      </c>
      <c r="F12">
        <v>12.38</v>
      </c>
      <c r="J12">
        <v>6.6790000000000003</v>
      </c>
    </row>
    <row r="13" spans="1:10">
      <c r="C13" s="3205"/>
      <c r="D13">
        <f>SUM(D9:D12)</f>
        <v>24804.47</v>
      </c>
      <c r="E13">
        <f>SUM(E9:E12)</f>
        <v>4472.12</v>
      </c>
      <c r="F13">
        <f>SUM(F9:F12)</f>
        <v>19966.57</v>
      </c>
      <c r="G13">
        <f>SUM(G9:G12)</f>
        <v>365.78</v>
      </c>
      <c r="H13">
        <f>SUM(E13:G13)</f>
        <v>24804.469999999998</v>
      </c>
      <c r="J13">
        <f>SUM(J9:J12)</f>
        <v>13382.272999999997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23" sqref="L23"/>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1755</v>
      </c>
      <c r="B1" s="1271"/>
      <c r="C1" s="1271"/>
      <c r="D1" s="1271"/>
      <c r="E1" s="1271"/>
      <c r="F1" s="1271"/>
      <c r="G1" s="1271"/>
      <c r="H1" s="1271"/>
      <c r="I1" s="1271"/>
      <c r="J1" s="1271"/>
      <c r="K1" s="1271"/>
      <c r="L1" s="1271"/>
      <c r="M1" s="1271"/>
      <c r="N1" s="1271"/>
      <c r="O1" s="1271"/>
      <c r="P1" s="1271"/>
    </row>
    <row r="2" spans="1:16" ht="15">
      <c r="A2" s="3294" t="s">
        <v>1756</v>
      </c>
      <c r="B2" s="3294"/>
      <c r="C2" s="3294"/>
      <c r="D2" s="903" t="s">
        <v>1732</v>
      </c>
      <c r="E2" s="1792" t="s">
        <v>1733</v>
      </c>
      <c r="F2" s="2854"/>
      <c r="G2" s="2845"/>
      <c r="H2" s="2846"/>
      <c r="I2" s="2516" t="s">
        <v>1757</v>
      </c>
      <c r="J2" s="2854"/>
      <c r="K2" s="2854"/>
      <c r="L2" s="2854"/>
      <c r="M2" s="2854"/>
      <c r="N2" s="2856"/>
      <c r="O2" s="2854"/>
      <c r="P2" s="2854"/>
    </row>
    <row r="3" spans="1:16" ht="15.75" thickBot="1">
      <c r="A3" s="3295" t="s">
        <v>1730</v>
      </c>
      <c r="B3" s="3295"/>
      <c r="C3" s="3295"/>
      <c r="D3" s="46">
        <f>'数据-基础表'!AY6</f>
        <v>13382.272999999997</v>
      </c>
      <c r="E3" s="46">
        <f>'数据-基础表'!AZ5</f>
        <v>24804.469999999998</v>
      </c>
      <c r="F3" s="2854"/>
      <c r="G3" s="1277"/>
      <c r="H3" s="1156" t="s">
        <v>1731</v>
      </c>
      <c r="I3" s="963">
        <f>ROUND('数据-基础表'!B3/'数据-基础表'!A3,2)</f>
        <v>1.8</v>
      </c>
      <c r="J3" s="2854"/>
      <c r="K3" s="2854"/>
      <c r="L3" s="2854"/>
      <c r="M3" s="2854"/>
      <c r="N3" s="2856"/>
      <c r="O3" s="2854"/>
      <c r="P3" s="2854"/>
    </row>
    <row r="4" spans="1:16" ht="15">
      <c r="A4" s="3296"/>
      <c r="B4" s="3297"/>
      <c r="C4" s="3298"/>
      <c r="D4" s="1794" t="s">
        <v>1732</v>
      </c>
      <c r="E4" s="1795" t="s">
        <v>1733</v>
      </c>
      <c r="F4" s="2854"/>
      <c r="G4" s="2847" t="s">
        <v>1758</v>
      </c>
      <c r="H4" s="1156" t="s">
        <v>1738</v>
      </c>
      <c r="I4" s="963">
        <f>ROUND(SUMIF('数据-基础表'!I9:AS9,"地上",'数据-基础表'!I5:AS5)/'数据-基础表'!A3,2)</f>
        <v>1.47</v>
      </c>
      <c r="J4" s="2854"/>
      <c r="K4" s="2854"/>
      <c r="L4" s="2854"/>
      <c r="M4" s="2854"/>
      <c r="N4" s="2856"/>
      <c r="O4" s="2854"/>
      <c r="P4" s="2854"/>
    </row>
    <row r="5" spans="1:16">
      <c r="A5" s="47" t="s">
        <v>1734</v>
      </c>
      <c r="B5" s="3299" t="s">
        <v>1735</v>
      </c>
      <c r="C5" s="3299"/>
      <c r="D5" s="48">
        <f>ROUND($D$3*E5/$E$3,2)</f>
        <v>0</v>
      </c>
      <c r="E5" s="49">
        <f>SUMIF('数据-基础表'!$11:$11,"住宅",'数据-基础表'!$5:$5)</f>
        <v>0</v>
      </c>
      <c r="F5" s="2854"/>
      <c r="G5" s="1277"/>
      <c r="H5" s="1156" t="s">
        <v>1731</v>
      </c>
      <c r="I5" s="963">
        <f>ROUND(E31/D31,2)</f>
        <v>1.85</v>
      </c>
      <c r="J5" s="2854"/>
      <c r="K5" s="2854"/>
      <c r="L5" s="2854"/>
      <c r="M5" s="2854"/>
      <c r="N5" s="2854"/>
      <c r="O5" s="2854"/>
      <c r="P5" s="2854"/>
    </row>
    <row r="6" spans="1:16" ht="15" thickBot="1">
      <c r="A6" s="1797"/>
      <c r="B6" s="3299" t="s">
        <v>1736</v>
      </c>
      <c r="C6" s="3299"/>
      <c r="D6" s="48">
        <f>ROUND($D$3*E6/$E$3,2)</f>
        <v>13382.27</v>
      </c>
      <c r="E6" s="49">
        <f>E3-E5</f>
        <v>24804.469999999998</v>
      </c>
      <c r="F6" s="2854"/>
      <c r="G6" s="2848" t="s">
        <v>1737</v>
      </c>
      <c r="H6" s="1278" t="s">
        <v>1738</v>
      </c>
      <c r="I6" s="2849">
        <f>ROUND(F31/D31,2)</f>
        <v>1.52</v>
      </c>
      <c r="J6" s="2854"/>
      <c r="K6" s="2854"/>
      <c r="L6" s="2854"/>
      <c r="M6" s="2854"/>
      <c r="N6" s="2854"/>
      <c r="O6" s="2854"/>
      <c r="P6" s="2854"/>
    </row>
    <row r="7" spans="1:16" ht="15.75" thickBot="1">
      <c r="A7" s="3291"/>
      <c r="B7" s="3292"/>
      <c r="C7" s="3293"/>
      <c r="D7" s="1794" t="s">
        <v>1732</v>
      </c>
      <c r="E7" s="1798" t="s">
        <v>1739</v>
      </c>
      <c r="F7" s="2854"/>
      <c r="G7" s="2850" t="s">
        <v>1740</v>
      </c>
      <c r="H7" s="2851"/>
      <c r="I7" s="2852"/>
      <c r="J7" s="2854"/>
      <c r="K7" s="2854"/>
      <c r="L7" s="2854"/>
      <c r="M7" s="2854"/>
      <c r="N7" s="2854"/>
      <c r="O7" s="2854"/>
      <c r="P7" s="2854"/>
    </row>
    <row r="8" spans="1:16">
      <c r="A8" s="47" t="s">
        <v>1741</v>
      </c>
      <c r="B8" s="50" t="s">
        <v>1742</v>
      </c>
      <c r="C8" s="48" t="s">
        <v>1743</v>
      </c>
      <c r="D8" s="48">
        <f t="shared" ref="D8:D15" si="0">ROUND($D$3*E8/$E$3,2)</f>
        <v>10772.17</v>
      </c>
      <c r="E8" s="51">
        <f>SUMIF('数据-基础表'!BB10:BK10,"地上",'数据-基础表'!BB5:BK5)</f>
        <v>19966.57</v>
      </c>
      <c r="F8" s="2854"/>
      <c r="G8" s="2855"/>
      <c r="H8" s="2855"/>
      <c r="I8" s="2854"/>
      <c r="J8" s="2854"/>
      <c r="K8" s="2854"/>
      <c r="L8" s="2854"/>
      <c r="M8" s="2854"/>
      <c r="N8" s="2854"/>
      <c r="O8" s="2854"/>
      <c r="P8" s="2854"/>
    </row>
    <row r="9" spans="1:16">
      <c r="A9" s="1799"/>
      <c r="B9" s="1800"/>
      <c r="C9" s="48" t="s">
        <v>1744</v>
      </c>
      <c r="D9" s="48">
        <f t="shared" si="0"/>
        <v>0</v>
      </c>
      <c r="E9" s="52">
        <v>0</v>
      </c>
      <c r="F9" s="2854"/>
      <c r="G9" s="2855"/>
      <c r="H9" s="2855"/>
      <c r="I9" s="2854"/>
      <c r="J9" s="2854"/>
      <c r="K9" s="2854"/>
      <c r="L9" s="2854"/>
      <c r="M9" s="2854"/>
      <c r="N9" s="2854"/>
      <c r="O9" s="2854"/>
      <c r="P9" s="2854"/>
    </row>
    <row r="10" spans="1:16">
      <c r="A10" s="1799"/>
      <c r="B10" s="1800"/>
      <c r="C10" s="48" t="s">
        <v>1753</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8" t="s">
        <v>1745</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8" t="s">
        <v>1746</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799"/>
      <c r="B13" s="1800"/>
      <c r="C13" s="48" t="s">
        <v>1747</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8" t="s">
        <v>1759</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8" t="s">
        <v>1754</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50" t="s">
        <v>1748</v>
      </c>
      <c r="D16" s="50">
        <f>SUM(D8:D15)</f>
        <v>10772.17</v>
      </c>
      <c r="E16" s="53">
        <f>SUM(E8:E15)</f>
        <v>19966.57</v>
      </c>
      <c r="F16" s="2854"/>
      <c r="G16" s="2855"/>
      <c r="H16" s="1801" t="s">
        <v>1760</v>
      </c>
      <c r="I16" s="1802"/>
      <c r="J16" s="1271"/>
      <c r="K16" s="3288" t="s">
        <v>1760</v>
      </c>
      <c r="L16" s="3289"/>
      <c r="M16" s="3289"/>
      <c r="N16" s="3289"/>
      <c r="O16" s="3289"/>
      <c r="P16" s="3290"/>
    </row>
    <row r="17" spans="1:19" ht="15">
      <c r="A17" s="1803" t="s">
        <v>1761</v>
      </c>
      <c r="B17" s="1804" t="s">
        <v>1762</v>
      </c>
      <c r="C17" s="1805" t="s">
        <v>1763</v>
      </c>
      <c r="D17" s="1806" t="s">
        <v>1751</v>
      </c>
      <c r="E17" s="1807" t="s">
        <v>1752</v>
      </c>
      <c r="F17" s="1808"/>
      <c r="G17" s="1809"/>
      <c r="H17" s="1810" t="s">
        <v>1764</v>
      </c>
      <c r="I17" s="1811" t="s">
        <v>1749</v>
      </c>
      <c r="J17" s="1271"/>
      <c r="K17" s="3285" t="s">
        <v>1765</v>
      </c>
      <c r="L17" s="3286"/>
      <c r="M17" s="3287"/>
      <c r="N17" s="3285" t="s">
        <v>1766</v>
      </c>
      <c r="O17" s="3286"/>
      <c r="P17" s="3287"/>
      <c r="R17" s="1793" t="s">
        <v>1767</v>
      </c>
      <c r="S17" s="60"/>
    </row>
    <row r="18" spans="1:19" ht="15">
      <c r="A18" s="1799"/>
      <c r="B18" s="1812"/>
      <c r="C18" s="1813"/>
      <c r="D18" s="1814"/>
      <c r="E18" s="1815" t="s">
        <v>1768</v>
      </c>
      <c r="F18" s="1816" t="s">
        <v>1769</v>
      </c>
      <c r="G18" s="1817" t="s">
        <v>1770</v>
      </c>
      <c r="H18" s="1171" t="s">
        <v>1771</v>
      </c>
      <c r="I18" s="1818" t="s">
        <v>1772</v>
      </c>
      <c r="J18" s="1271"/>
      <c r="K18" s="1171" t="s">
        <v>1773</v>
      </c>
      <c r="L18" s="1819" t="s">
        <v>1774</v>
      </c>
      <c r="M18" s="963" t="s">
        <v>1775</v>
      </c>
      <c r="N18" s="1171" t="s">
        <v>1773</v>
      </c>
      <c r="O18" s="1819" t="s">
        <v>1774</v>
      </c>
      <c r="P18" s="963" t="s">
        <v>1775</v>
      </c>
      <c r="R18" s="1156" t="s">
        <v>1776</v>
      </c>
      <c r="S18" s="1156" t="s">
        <v>1777</v>
      </c>
    </row>
    <row r="19" spans="1:19">
      <c r="A19" s="1820"/>
      <c r="B19" s="50" t="s">
        <v>1750</v>
      </c>
      <c r="C19" s="3207" t="s">
        <v>3156</v>
      </c>
      <c r="D19" s="48">
        <f>ROUND($D$3*E19/$E$3,2)</f>
        <v>13184.93</v>
      </c>
      <c r="E19" s="56">
        <f t="shared" ref="E19:E26" si="1">SUM(F19:G19)</f>
        <v>24438.69</v>
      </c>
      <c r="F19" s="2994">
        <f>'数据-基础表'!I13</f>
        <v>19966.57</v>
      </c>
      <c r="G19" s="2995">
        <f>'数据-基础表'!K13</f>
        <v>4472.12</v>
      </c>
      <c r="H19" s="678">
        <f>ROUND($D$3*I19/$E$3,2)</f>
        <v>197.34</v>
      </c>
      <c r="I19" s="51">
        <f t="shared" ref="I19:I26" si="2">IF($I$17="自定义",P19,M19)</f>
        <v>365.78</v>
      </c>
      <c r="J19" s="1271"/>
      <c r="K19" s="1270">
        <f t="shared" ref="K19:K26" si="3">ROUND(E$28*E19/E$27,2)</f>
        <v>365.78</v>
      </c>
      <c r="L19" s="1156">
        <f t="shared" ref="L19:L26" si="4">ROUND(IF(COUNTIF(C19,"*住宅*")&gt;0,E$29*E19/E$32,0),2)</f>
        <v>0</v>
      </c>
      <c r="M19" s="1282">
        <f>K19+L19</f>
        <v>365.78</v>
      </c>
      <c r="N19" s="1822"/>
      <c r="O19" s="1823"/>
      <c r="P19" s="1282">
        <f>N19+O19</f>
        <v>0</v>
      </c>
      <c r="R19" s="1156">
        <f t="shared" ref="R19:S26" si="5">D19+H19</f>
        <v>13382.27</v>
      </c>
      <c r="S19" s="1157">
        <f t="shared" si="5"/>
        <v>24804.469999999998</v>
      </c>
    </row>
    <row r="20" spans="1:19">
      <c r="A20" s="1824"/>
      <c r="B20" s="50" t="s">
        <v>1778</v>
      </c>
      <c r="C20" s="1821"/>
      <c r="D20" s="48">
        <f t="shared" ref="D20:D26" si="6">ROUND($D$3*E20/$E$3,2)</f>
        <v>0</v>
      </c>
      <c r="E20" s="56">
        <f t="shared" si="1"/>
        <v>0</v>
      </c>
      <c r="F20" s="2994"/>
      <c r="G20" s="2995"/>
      <c r="H20" s="678">
        <f t="shared" ref="H20:H26" si="7">ROUND($D$3*I20/$E$3,2)</f>
        <v>0</v>
      </c>
      <c r="I20" s="51">
        <f t="shared" si="2"/>
        <v>0</v>
      </c>
      <c r="J20" s="1271"/>
      <c r="K20" s="1270">
        <f t="shared" si="3"/>
        <v>0</v>
      </c>
      <c r="L20" s="1156">
        <f t="shared" si="4"/>
        <v>0</v>
      </c>
      <c r="M20" s="1282">
        <f t="shared" ref="M20:M26" si="8">K20+L20</f>
        <v>0</v>
      </c>
      <c r="N20" s="1822"/>
      <c r="O20" s="1823"/>
      <c r="P20" s="1282">
        <f t="shared" ref="P20:P26" si="9">N20+O20</f>
        <v>0</v>
      </c>
      <c r="R20" s="1156">
        <f t="shared" si="5"/>
        <v>0</v>
      </c>
      <c r="S20" s="1157">
        <f t="shared" si="5"/>
        <v>0</v>
      </c>
    </row>
    <row r="21" spans="1:19">
      <c r="A21" s="1824"/>
      <c r="B21" s="50" t="s">
        <v>1778</v>
      </c>
      <c r="C21" s="1821"/>
      <c r="D21" s="48">
        <f t="shared" si="6"/>
        <v>0</v>
      </c>
      <c r="E21" s="56">
        <f t="shared" si="1"/>
        <v>0</v>
      </c>
      <c r="F21" s="2994"/>
      <c r="G21" s="2995"/>
      <c r="H21" s="678">
        <f t="shared" si="7"/>
        <v>0</v>
      </c>
      <c r="I21" s="51">
        <f t="shared" si="2"/>
        <v>0</v>
      </c>
      <c r="J21" s="1271"/>
      <c r="K21" s="1270">
        <f t="shared" si="3"/>
        <v>0</v>
      </c>
      <c r="L21" s="1156">
        <f t="shared" si="4"/>
        <v>0</v>
      </c>
      <c r="M21" s="1282">
        <f t="shared" si="8"/>
        <v>0</v>
      </c>
      <c r="N21" s="1822"/>
      <c r="O21" s="1823"/>
      <c r="P21" s="1282">
        <f t="shared" si="9"/>
        <v>0</v>
      </c>
      <c r="R21" s="1156">
        <f t="shared" si="5"/>
        <v>0</v>
      </c>
      <c r="S21" s="1157">
        <f t="shared" si="5"/>
        <v>0</v>
      </c>
    </row>
    <row r="22" spans="1:19">
      <c r="A22" s="1824"/>
      <c r="B22" s="50" t="s">
        <v>1778</v>
      </c>
      <c r="C22" s="58"/>
      <c r="D22" s="48">
        <f t="shared" si="6"/>
        <v>0</v>
      </c>
      <c r="E22" s="56">
        <f t="shared" si="1"/>
        <v>0</v>
      </c>
      <c r="F22" s="2996"/>
      <c r="G22" s="2997"/>
      <c r="H22" s="678">
        <f t="shared" si="7"/>
        <v>0</v>
      </c>
      <c r="I22" s="51">
        <f t="shared" si="2"/>
        <v>0</v>
      </c>
      <c r="J22" s="1271"/>
      <c r="K22" s="1270">
        <f t="shared" si="3"/>
        <v>0</v>
      </c>
      <c r="L22" s="1156">
        <f t="shared" si="4"/>
        <v>0</v>
      </c>
      <c r="M22" s="1282">
        <f t="shared" si="8"/>
        <v>0</v>
      </c>
      <c r="N22" s="1822"/>
      <c r="O22" s="1823"/>
      <c r="P22" s="1282">
        <f t="shared" si="9"/>
        <v>0</v>
      </c>
      <c r="R22" s="1156">
        <f t="shared" si="5"/>
        <v>0</v>
      </c>
      <c r="S22" s="1157">
        <f t="shared" si="5"/>
        <v>0</v>
      </c>
    </row>
    <row r="23" spans="1:19">
      <c r="A23" s="1824"/>
      <c r="B23" s="50" t="s">
        <v>1778</v>
      </c>
      <c r="C23" s="58"/>
      <c r="D23" s="48">
        <f>ROUND($D$3*E23/$E$3,2)</f>
        <v>0</v>
      </c>
      <c r="E23" s="56">
        <f>SUM(F23:G23)</f>
        <v>0</v>
      </c>
      <c r="F23" s="2996"/>
      <c r="G23" s="2997"/>
      <c r="H23" s="678">
        <f>ROUND($D$3*I23/$E$3,2)</f>
        <v>0</v>
      </c>
      <c r="I23" s="51">
        <f t="shared" si="2"/>
        <v>0</v>
      </c>
      <c r="J23" s="1271"/>
      <c r="K23" s="1270">
        <f t="shared" si="3"/>
        <v>0</v>
      </c>
      <c r="L23" s="1156">
        <f t="shared" si="4"/>
        <v>0</v>
      </c>
      <c r="M23" s="1282">
        <f t="shared" si="8"/>
        <v>0</v>
      </c>
      <c r="N23" s="1822"/>
      <c r="O23" s="1823"/>
      <c r="P23" s="1282">
        <f t="shared" si="9"/>
        <v>0</v>
      </c>
      <c r="R23" s="1156">
        <f t="shared" si="5"/>
        <v>0</v>
      </c>
      <c r="S23" s="1157">
        <f t="shared" si="5"/>
        <v>0</v>
      </c>
    </row>
    <row r="24" spans="1:19">
      <c r="A24" s="1824"/>
      <c r="B24" s="50" t="s">
        <v>1778</v>
      </c>
      <c r="C24" s="58"/>
      <c r="D24" s="48">
        <f>ROUND($D$3*E24/$E$3,2)</f>
        <v>0</v>
      </c>
      <c r="E24" s="56">
        <f>SUM(F24:G24)</f>
        <v>0</v>
      </c>
      <c r="F24" s="2996"/>
      <c r="G24" s="2997"/>
      <c r="H24" s="678">
        <f>ROUND($D$3*I24/$E$3,2)</f>
        <v>0</v>
      </c>
      <c r="I24" s="51">
        <f t="shared" si="2"/>
        <v>0</v>
      </c>
      <c r="J24" s="1271"/>
      <c r="K24" s="1270">
        <f t="shared" si="3"/>
        <v>0</v>
      </c>
      <c r="L24" s="1156">
        <f t="shared" si="4"/>
        <v>0</v>
      </c>
      <c r="M24" s="1282">
        <f t="shared" si="8"/>
        <v>0</v>
      </c>
      <c r="N24" s="1822"/>
      <c r="O24" s="1823"/>
      <c r="P24" s="1282">
        <f t="shared" si="9"/>
        <v>0</v>
      </c>
      <c r="R24" s="1156">
        <f t="shared" si="5"/>
        <v>0</v>
      </c>
      <c r="S24" s="1157">
        <f t="shared" si="5"/>
        <v>0</v>
      </c>
    </row>
    <row r="25" spans="1:19">
      <c r="A25" s="1824"/>
      <c r="B25" s="50" t="s">
        <v>1778</v>
      </c>
      <c r="C25" s="58"/>
      <c r="D25" s="48">
        <f t="shared" si="6"/>
        <v>0</v>
      </c>
      <c r="E25" s="56">
        <f t="shared" si="1"/>
        <v>0</v>
      </c>
      <c r="F25" s="2996"/>
      <c r="G25" s="2997"/>
      <c r="H25" s="47">
        <f t="shared" si="7"/>
        <v>0</v>
      </c>
      <c r="I25" s="51">
        <f t="shared" si="2"/>
        <v>0</v>
      </c>
      <c r="J25" s="1271"/>
      <c r="K25" s="1270">
        <f t="shared" si="3"/>
        <v>0</v>
      </c>
      <c r="L25" s="1156">
        <f t="shared" si="4"/>
        <v>0</v>
      </c>
      <c r="M25" s="1282">
        <f t="shared" si="8"/>
        <v>0</v>
      </c>
      <c r="N25" s="1822"/>
      <c r="O25" s="1823"/>
      <c r="P25" s="1282">
        <f t="shared" si="9"/>
        <v>0</v>
      </c>
      <c r="R25" s="1156">
        <f t="shared" si="5"/>
        <v>0</v>
      </c>
      <c r="S25" s="1157">
        <f t="shared" si="5"/>
        <v>0</v>
      </c>
    </row>
    <row r="26" spans="1:19">
      <c r="A26" s="1824"/>
      <c r="B26" s="50" t="s">
        <v>1778</v>
      </c>
      <c r="C26" s="59"/>
      <c r="D26" s="48">
        <f t="shared" si="6"/>
        <v>0</v>
      </c>
      <c r="E26" s="56">
        <f t="shared" si="1"/>
        <v>0</v>
      </c>
      <c r="F26" s="2996"/>
      <c r="G26" s="2997"/>
      <c r="H26" s="47">
        <f t="shared" si="7"/>
        <v>0</v>
      </c>
      <c r="I26" s="51">
        <f t="shared" si="2"/>
        <v>0</v>
      </c>
      <c r="J26" s="1271"/>
      <c r="K26" s="1277">
        <f t="shared" si="3"/>
        <v>0</v>
      </c>
      <c r="L26" s="1278">
        <f t="shared" si="4"/>
        <v>0</v>
      </c>
      <c r="M26" s="63">
        <f t="shared" si="8"/>
        <v>0</v>
      </c>
      <c r="N26" s="1825"/>
      <c r="O26" s="1826"/>
      <c r="P26" s="63">
        <f t="shared" si="9"/>
        <v>0</v>
      </c>
      <c r="R26" s="1156">
        <f t="shared" si="5"/>
        <v>0</v>
      </c>
      <c r="S26" s="1157">
        <f t="shared" si="5"/>
        <v>0</v>
      </c>
    </row>
    <row r="27" spans="1:19" ht="15.75" thickBot="1">
      <c r="A27" s="1824"/>
      <c r="B27" s="48"/>
      <c r="C27" s="1827" t="s">
        <v>1779</v>
      </c>
      <c r="D27" s="1272">
        <f>SUM(D19:D26)</f>
        <v>13184.93</v>
      </c>
      <c r="E27" s="1273">
        <f>IF(SUM(E19:E26)='数据-基础表'!BA5,SUM(E19:E26),IF(F27="地上面积有误","面积有误","地下面积有误"))</f>
        <v>24438.69</v>
      </c>
      <c r="F27" s="1272">
        <f>IF(SUM(F19:F26)=E8,SUM(F19:F26),"地上面积有误")</f>
        <v>19966.57</v>
      </c>
      <c r="G27" s="1274">
        <f>SUM(G19:G26)</f>
        <v>4472.12</v>
      </c>
      <c r="H27" s="1275">
        <f>SUM(H19:H26)</f>
        <v>197.34</v>
      </c>
      <c r="I27" s="1276">
        <f>SUM(I19:I26)</f>
        <v>365.78</v>
      </c>
      <c r="J27" s="1271"/>
      <c r="K27" s="1279">
        <f>SUM(K19:K26)</f>
        <v>365.78</v>
      </c>
      <c r="L27" s="1280">
        <f>SUM(L19:L26)</f>
        <v>0</v>
      </c>
      <c r="M27" s="1283">
        <f>SUM(M19:M26)</f>
        <v>365.78</v>
      </c>
      <c r="N27" s="1279">
        <f t="shared" ref="N27:O27" si="10">SUM(N19:N26)</f>
        <v>0</v>
      </c>
      <c r="O27" s="1280">
        <f t="shared" si="10"/>
        <v>0</v>
      </c>
      <c r="P27" s="1281">
        <f>SUM(P19:P26)</f>
        <v>0</v>
      </c>
      <c r="R27" s="1158" t="str">
        <f>IF(SUM(R19:R26)=$D$3,SUM(R19:R26),SUM(R19:R26)&amp;"误差"&amp;ROUND(SUM(R19:R26)-$D$3,2))</f>
        <v>13382.27误差0</v>
      </c>
      <c r="S27" s="1156">
        <f>IF(SUM(S19:S26)=$E$3,SUM(S19:S26),SUM(S19:S26)&amp;"误差"&amp;ROUND(SUM(S19:S26)-E3,2))</f>
        <v>24804.469999999998</v>
      </c>
    </row>
    <row r="28" spans="1:19">
      <c r="A28" s="1824"/>
      <c r="B28" s="50" t="s">
        <v>1780</v>
      </c>
      <c r="C28" s="1168" t="s">
        <v>1781</v>
      </c>
      <c r="D28" s="48">
        <f>ROUND($D$3*E28/$E$3,2)</f>
        <v>197.34</v>
      </c>
      <c r="E28" s="56">
        <f>SUM(F28:G28)</f>
        <v>365.78</v>
      </c>
      <c r="F28" s="60">
        <f>'数据-基础表'!BQ5+'数据-基础表'!BS5</f>
        <v>365.78</v>
      </c>
      <c r="G28" s="61">
        <f>'数据-基础表'!BR5+'数据-基础表'!BT5</f>
        <v>0</v>
      </c>
      <c r="H28" s="2854"/>
      <c r="I28" s="2854"/>
      <c r="J28" s="2854"/>
      <c r="K28" s="2854"/>
      <c r="L28" s="2854"/>
      <c r="M28" s="2854"/>
      <c r="N28" s="2854"/>
      <c r="O28" s="2854"/>
      <c r="P28" s="2854"/>
    </row>
    <row r="29" spans="1:19">
      <c r="A29" s="1824"/>
      <c r="B29" s="50" t="s">
        <v>1780</v>
      </c>
      <c r="C29" s="1828" t="s">
        <v>1782</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4"/>
      <c r="B30" s="50"/>
      <c r="C30" s="1829" t="s">
        <v>1779</v>
      </c>
      <c r="D30" s="1272">
        <f>SUM(D28:D29)</f>
        <v>197.34</v>
      </c>
      <c r="E30" s="1272">
        <f>SUM(E28:E29)</f>
        <v>365.78</v>
      </c>
      <c r="F30" s="1272">
        <f>SUM(F28:F29)</f>
        <v>365.78</v>
      </c>
      <c r="G30" s="1274">
        <f>SUM(G28:G29)</f>
        <v>0</v>
      </c>
      <c r="H30" s="2854"/>
      <c r="I30" s="2854"/>
      <c r="J30" s="2854"/>
      <c r="K30" s="2854"/>
      <c r="L30" s="2854"/>
      <c r="M30" s="2854"/>
      <c r="N30" s="2854"/>
      <c r="O30" s="2854"/>
      <c r="P30" s="2854"/>
    </row>
    <row r="31" spans="1:19" ht="15.75" thickBot="1">
      <c r="A31" s="1830"/>
      <c r="B31" s="1831"/>
      <c r="C31" s="943" t="s">
        <v>1783</v>
      </c>
      <c r="D31" s="684">
        <f>D27+D30</f>
        <v>13382.27</v>
      </c>
      <c r="E31" s="684">
        <f>E27+E30</f>
        <v>24804.469999999998</v>
      </c>
      <c r="F31" s="685">
        <f>F27+F30</f>
        <v>20332.349999999999</v>
      </c>
      <c r="G31" s="686">
        <f>G27+G30</f>
        <v>4472.12</v>
      </c>
      <c r="H31" s="2854"/>
      <c r="I31" s="2854"/>
      <c r="J31" s="2854"/>
      <c r="K31" s="2854"/>
      <c r="L31" s="2854"/>
      <c r="M31" s="2854"/>
      <c r="N31" s="2854"/>
      <c r="O31" s="2854"/>
      <c r="P31" s="2854"/>
    </row>
    <row r="32" spans="1:19">
      <c r="A32" s="1796"/>
      <c r="B32" s="1796" t="s">
        <v>1784</v>
      </c>
      <c r="C32" s="1796"/>
      <c r="D32" s="1796"/>
      <c r="E32" s="1182">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21" sqref="A21"/>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1785</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1786</v>
      </c>
      <c r="B2" s="1175">
        <f>项目基本情况!D3</f>
        <v>44642</v>
      </c>
      <c r="C2" s="1838"/>
      <c r="D2" s="1839"/>
      <c r="E2" s="1838"/>
      <c r="F2" s="1838"/>
      <c r="G2" s="1838"/>
      <c r="H2" s="1838"/>
      <c r="I2" s="1838"/>
      <c r="J2" s="1838"/>
      <c r="K2" s="1300"/>
      <c r="L2" s="1300"/>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0"/>
      <c r="L3" s="1300"/>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4" t="s">
        <v>1787</v>
      </c>
      <c r="B4" s="1842"/>
      <c r="C4" s="1843"/>
      <c r="D4" s="1844"/>
      <c r="E4" s="1843" t="s">
        <v>1788</v>
      </c>
      <c r="F4" s="1843"/>
      <c r="G4" s="1843"/>
      <c r="H4" s="1843"/>
      <c r="I4" s="1843"/>
      <c r="J4" s="1845"/>
      <c r="K4" s="1846"/>
      <c r="L4" s="1847"/>
      <c r="M4" s="1843"/>
      <c r="N4" s="1843" t="s">
        <v>1789</v>
      </c>
      <c r="O4" s="1843"/>
      <c r="P4" s="1843"/>
      <c r="Q4" s="1843"/>
      <c r="R4" s="1843"/>
      <c r="S4" s="1845"/>
      <c r="T4" s="2853" t="str">
        <f>'数据-汇总表'!I17</f>
        <v>按面积比例</v>
      </c>
      <c r="U4" s="1842" t="s">
        <v>1790</v>
      </c>
      <c r="V4" s="1843"/>
      <c r="W4" s="1843"/>
      <c r="X4" s="1843"/>
      <c r="Y4" s="1845"/>
      <c r="Z4" s="1805" t="s">
        <v>1791</v>
      </c>
      <c r="AA4" s="1805"/>
      <c r="AB4" s="1805"/>
      <c r="AC4" s="1805"/>
      <c r="AD4" s="1805"/>
      <c r="AE4" s="1803" t="s">
        <v>1792</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1793</v>
      </c>
      <c r="B5" s="1850" t="s">
        <v>1794</v>
      </c>
      <c r="C5" s="1851" t="s">
        <v>1795</v>
      </c>
      <c r="D5" s="1852" t="s">
        <v>1796</v>
      </c>
      <c r="E5" s="1177" t="s">
        <v>1797</v>
      </c>
      <c r="F5" s="1853" t="s">
        <v>1798</v>
      </c>
      <c r="G5" s="1177" t="s">
        <v>1799</v>
      </c>
      <c r="H5" s="1177" t="s">
        <v>1800</v>
      </c>
      <c r="I5" s="1177" t="s">
        <v>1801</v>
      </c>
      <c r="J5" s="1854" t="s">
        <v>1802</v>
      </c>
      <c r="K5" s="1855" t="s">
        <v>1803</v>
      </c>
      <c r="L5" s="1856" t="s">
        <v>1804</v>
      </c>
      <c r="M5" s="1857" t="s">
        <v>1805</v>
      </c>
      <c r="N5" s="1858" t="s">
        <v>3158</v>
      </c>
      <c r="O5" s="1856" t="s">
        <v>1806</v>
      </c>
      <c r="P5" s="1859" t="s">
        <v>1807</v>
      </c>
      <c r="Q5" s="65" t="s">
        <v>1808</v>
      </c>
      <c r="R5" s="1860" t="s">
        <v>1809</v>
      </c>
      <c r="S5" s="1861" t="s">
        <v>1810</v>
      </c>
      <c r="T5" s="1862" t="s">
        <v>1811</v>
      </c>
      <c r="U5" s="1176" t="s">
        <v>1812</v>
      </c>
      <c r="V5" s="1177" t="s">
        <v>1813</v>
      </c>
      <c r="W5" s="1177" t="s">
        <v>1814</v>
      </c>
      <c r="X5" s="67"/>
      <c r="Y5" s="66" t="s">
        <v>1815</v>
      </c>
      <c r="Z5" s="1863" t="s">
        <v>1812</v>
      </c>
      <c r="AA5" s="1177" t="s">
        <v>1813</v>
      </c>
      <c r="AB5" s="1177" t="s">
        <v>1814</v>
      </c>
      <c r="AC5" s="67"/>
      <c r="AD5" s="67" t="s">
        <v>1815</v>
      </c>
      <c r="AE5" s="1176" t="s">
        <v>1816</v>
      </c>
      <c r="AF5" s="1177" t="s">
        <v>1817</v>
      </c>
      <c r="AG5" s="66" t="s">
        <v>1818</v>
      </c>
      <c r="AH5" s="1176" t="s">
        <v>1819</v>
      </c>
      <c r="AI5" s="1863" t="s">
        <v>1820</v>
      </c>
      <c r="AJ5" s="1863" t="s">
        <v>1821</v>
      </c>
      <c r="AK5" s="1177" t="s">
        <v>1822</v>
      </c>
      <c r="AL5" s="1177" t="s">
        <v>1823</v>
      </c>
      <c r="AM5" s="66" t="s">
        <v>1824</v>
      </c>
      <c r="AN5" s="1864" t="s">
        <v>1825</v>
      </c>
      <c r="AO5" s="1715" t="s">
        <v>1826</v>
      </c>
      <c r="AP5" s="1158" t="s">
        <v>1827</v>
      </c>
      <c r="AQ5" s="1865" t="s">
        <v>1828</v>
      </c>
      <c r="AR5" s="1865" t="s">
        <v>1829</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工业</v>
      </c>
      <c r="B6" s="1867" t="str">
        <f>IF(A6=0,"","经营性")</f>
        <v>经营性</v>
      </c>
      <c r="C6" s="1868" t="s">
        <v>6</v>
      </c>
      <c r="D6" s="966">
        <f>SUMIF(项目基本情况!D$12:I$12,C6,项目基本情况!D$14:I$14)</f>
        <v>50</v>
      </c>
      <c r="E6" s="965">
        <f>IF(B6="","",SUMIF(项目基本情况!D$12:I$12,C6,项目基本情况!D$13:I$13))</f>
        <v>59665</v>
      </c>
      <c r="F6" s="68">
        <f>SUMIF(项目基本情况!D$12:I$12,C6,项目基本情况!D$15:I$15)</f>
        <v>41.15</v>
      </c>
      <c r="G6" s="69">
        <f>IF(ISERROR(ROUND(POWER(1+H6,D6-F6)*(POWER(1+H6,F6)-1)/(POWER(1+H6,D6)-1),3)),0,ROUND(POWER(1+H6,D6-F6)*(POWER(1+H6,F6)-1)/(POWER(1+H6,D6)-1),3))</f>
        <v>0.94099999999999995</v>
      </c>
      <c r="H6" s="740">
        <v>4.4999999999999998E-2</v>
      </c>
      <c r="I6" s="740">
        <v>0.05</v>
      </c>
      <c r="J6" s="70">
        <v>6.5000000000000002E-2</v>
      </c>
      <c r="K6" s="1160">
        <f>SUMIF('数据-汇总表'!C$19:C$33,A6,'数据-汇总表'!E$19:E$33)</f>
        <v>24438.69</v>
      </c>
      <c r="L6" s="741">
        <v>3500</v>
      </c>
      <c r="M6" s="71">
        <f t="shared" ref="M6:M14" si="0">ROUND(K6*L6/10000,0)</f>
        <v>8554</v>
      </c>
      <c r="N6" s="739">
        <f>ROUND(1-(2022-2019)/60,2)</f>
        <v>0.95</v>
      </c>
      <c r="O6" s="71" t="str">
        <f>IF($N$5="成新度","——",ROUND(M6*N6,0))</f>
        <v>——</v>
      </c>
      <c r="P6" s="72" t="str">
        <f>IF($N$5="成新度","——",M6-O6)</f>
        <v>——</v>
      </c>
      <c r="Q6" s="742">
        <v>0.15</v>
      </c>
      <c r="R6" s="73">
        <f ca="1">SUMIF('数据-汇总表'!C$19:C$33,A6,'数据-汇总表'!R$19:R$27)</f>
        <v>13382.27</v>
      </c>
      <c r="S6" s="54">
        <f>IF('数据-汇总表'!$I$17="按面积比例",SUMIF('数据-汇总表'!C$19:C$33,A6,'数据-汇总表'!K$19:K$33),SUMIF('数据-汇总表'!C$19:C$33,A6,'数据-汇总表'!N$19:N$33))</f>
        <v>365.78</v>
      </c>
      <c r="T6" s="1304">
        <f>ROUND($L$14*S6/10000,0)</f>
        <v>128</v>
      </c>
      <c r="U6" s="74">
        <f>U25</f>
        <v>2.19</v>
      </c>
      <c r="V6" s="75">
        <v>0.03</v>
      </c>
      <c r="W6" s="75">
        <v>0.1</v>
      </c>
      <c r="X6" s="1170"/>
      <c r="Y6" s="76">
        <f>N6</f>
        <v>0.95</v>
      </c>
      <c r="Z6" s="77"/>
      <c r="AA6" s="70"/>
      <c r="AB6" s="70"/>
      <c r="AC6" s="1170"/>
      <c r="AD6" s="78"/>
      <c r="AE6" s="1171">
        <f ca="1">IF(AN6="",0,SUMIF(INDIRECT("'"&amp;AN6&amp;"'"&amp;"!E:E"),$AE$5,INDIRECT("'"&amp;AN6&amp;"'"&amp;"!F:F")))</f>
        <v>41.15</v>
      </c>
      <c r="AF6" s="1500"/>
      <c r="AG6" s="142">
        <f>IF(AF6="",0,AE6-AF6)</f>
        <v>0</v>
      </c>
      <c r="AH6" s="79"/>
      <c r="AI6" s="81">
        <v>365</v>
      </c>
      <c r="AJ6" s="82"/>
      <c r="AK6" s="3208">
        <v>5.0000000000000001E-3</v>
      </c>
      <c r="AL6" s="3209">
        <v>1E-3</v>
      </c>
      <c r="AM6" s="85">
        <v>0.02</v>
      </c>
      <c r="AN6" s="1869" t="s">
        <v>3159</v>
      </c>
      <c r="AO6" s="55">
        <f ca="1">SUMIF(INDIRECT("'"&amp;AN6&amp;"'"&amp;"!A:A"),"总价",INDIRECT("'"&amp;AN6&amp;"'"&amp;"!B:B"))</f>
        <v>37244</v>
      </c>
      <c r="AP6" s="1870">
        <f>IF(C6="住宅",K6*L6,0)</f>
        <v>0</v>
      </c>
      <c r="AQ6" s="55">
        <f>ROUND($L$14*$N$14*S6/10000,0)</f>
        <v>122</v>
      </c>
      <c r="AR6" s="55">
        <f>ROUND($L$14*(1-$N$14)*S6/10000,0)</f>
        <v>6</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70"/>
      <c r="Y7" s="76"/>
      <c r="Z7" s="77"/>
      <c r="AA7" s="70"/>
      <c r="AB7" s="70"/>
      <c r="AC7" s="1170"/>
      <c r="AD7" s="78"/>
      <c r="AE7" s="1171">
        <f t="shared" ref="AE7:AE13" ca="1" si="6">IF(AN7="",0,SUMIF(INDIRECT("'"&amp;AN7&amp;"'"&amp;"!E:E"),$AE$5,INDIRECT("'"&amp;AN7&amp;"'"&amp;"!F:F")))</f>
        <v>0</v>
      </c>
      <c r="AF7" s="1500"/>
      <c r="AG7" s="142">
        <f t="shared" ref="AG7:AG13" si="7">IF(AF7="",0,AE7-AF7)</f>
        <v>0</v>
      </c>
      <c r="AH7" s="79"/>
      <c r="AI7" s="81"/>
      <c r="AJ7" s="82"/>
      <c r="AK7" s="83"/>
      <c r="AL7" s="84"/>
      <c r="AM7" s="85"/>
      <c r="AN7" s="1869"/>
      <c r="AO7" s="55" t="e">
        <f t="shared" ref="AO7:AO13" ca="1" si="8">SUMIF(INDIRECT("'"&amp;AN7&amp;"'"&amp;"!A:A"),"总价",INDIRECT("'"&amp;AN7&amp;"'"&amp;"!B:B"))</f>
        <v>#REF!</v>
      </c>
      <c r="AP7" s="1870">
        <f t="shared" ref="AP7:AP13" si="9">IF(C7="住宅",K7*L7,0)</f>
        <v>0</v>
      </c>
      <c r="AQ7" s="55">
        <f t="shared" ref="AQ7:AQ13" si="10">ROUND($L$14*$N$14*S7/10000,0)</f>
        <v>0</v>
      </c>
      <c r="AR7" s="55">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70"/>
      <c r="Y8" s="745"/>
      <c r="Z8" s="77"/>
      <c r="AA8" s="70"/>
      <c r="AB8" s="70"/>
      <c r="AC8" s="1170"/>
      <c r="AD8" s="78"/>
      <c r="AE8" s="1171">
        <f t="shared" ca="1" si="6"/>
        <v>0</v>
      </c>
      <c r="AF8" s="1500"/>
      <c r="AG8" s="142">
        <f t="shared" si="7"/>
        <v>0</v>
      </c>
      <c r="AH8" s="746"/>
      <c r="AI8" s="81"/>
      <c r="AJ8" s="82"/>
      <c r="AK8" s="747"/>
      <c r="AL8" s="748"/>
      <c r="AM8" s="749"/>
      <c r="AN8" s="1869"/>
      <c r="AO8" s="55" t="e">
        <f t="shared" ca="1" si="8"/>
        <v>#REF!</v>
      </c>
      <c r="AP8" s="1870">
        <f t="shared" si="9"/>
        <v>0</v>
      </c>
      <c r="AQ8" s="55">
        <f t="shared" si="10"/>
        <v>0</v>
      </c>
      <c r="AR8" s="55">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70"/>
      <c r="Y9" s="76"/>
      <c r="Z9" s="77"/>
      <c r="AA9" s="70"/>
      <c r="AB9" s="70"/>
      <c r="AC9" s="1170"/>
      <c r="AD9" s="78"/>
      <c r="AE9" s="1171">
        <f t="shared" ca="1" si="6"/>
        <v>0</v>
      </c>
      <c r="AF9" s="1500"/>
      <c r="AG9" s="142">
        <f t="shared" si="7"/>
        <v>0</v>
      </c>
      <c r="AH9" s="79"/>
      <c r="AI9" s="81"/>
      <c r="AJ9" s="82"/>
      <c r="AK9" s="83"/>
      <c r="AL9" s="84"/>
      <c r="AM9" s="85"/>
      <c r="AN9" s="1869"/>
      <c r="AO9" s="55" t="e">
        <f t="shared" ca="1" si="8"/>
        <v>#REF!</v>
      </c>
      <c r="AP9" s="1870">
        <f t="shared" si="9"/>
        <v>0</v>
      </c>
      <c r="AQ9" s="55">
        <f t="shared" si="10"/>
        <v>0</v>
      </c>
      <c r="AR9" s="55">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70"/>
      <c r="Y10" s="76"/>
      <c r="Z10" s="77"/>
      <c r="AA10" s="70"/>
      <c r="AB10" s="70"/>
      <c r="AC10" s="1170"/>
      <c r="AD10" s="78"/>
      <c r="AE10" s="1171">
        <f t="shared" ca="1" si="6"/>
        <v>0</v>
      </c>
      <c r="AF10" s="1500"/>
      <c r="AG10" s="142">
        <f t="shared" si="7"/>
        <v>0</v>
      </c>
      <c r="AH10" s="79"/>
      <c r="AI10" s="81"/>
      <c r="AJ10" s="82"/>
      <c r="AK10" s="83"/>
      <c r="AL10" s="84"/>
      <c r="AM10" s="85"/>
      <c r="AN10" s="1869"/>
      <c r="AO10" s="55" t="e">
        <f t="shared" ca="1" si="8"/>
        <v>#REF!</v>
      </c>
      <c r="AP10" s="1870">
        <f t="shared" si="9"/>
        <v>0</v>
      </c>
      <c r="AQ10" s="55">
        <f t="shared" si="10"/>
        <v>0</v>
      </c>
      <c r="AR10" s="55">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70"/>
      <c r="Y11" s="76"/>
      <c r="Z11" s="89"/>
      <c r="AA11" s="70"/>
      <c r="AB11" s="70"/>
      <c r="AC11" s="1170"/>
      <c r="AD11" s="78"/>
      <c r="AE11" s="1171">
        <f t="shared" ca="1" si="6"/>
        <v>0</v>
      </c>
      <c r="AF11" s="1500"/>
      <c r="AG11" s="142">
        <f t="shared" si="7"/>
        <v>0</v>
      </c>
      <c r="AH11" s="79"/>
      <c r="AI11" s="81"/>
      <c r="AJ11" s="82"/>
      <c r="AK11" s="90"/>
      <c r="AL11" s="91"/>
      <c r="AM11" s="92"/>
      <c r="AN11" s="1869"/>
      <c r="AO11" s="55" t="e">
        <f t="shared" ca="1" si="8"/>
        <v>#REF!</v>
      </c>
      <c r="AP11" s="1870">
        <f t="shared" si="9"/>
        <v>0</v>
      </c>
      <c r="AQ11" s="55">
        <f t="shared" si="10"/>
        <v>0</v>
      </c>
      <c r="AR11" s="55">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70"/>
      <c r="Y12" s="76"/>
      <c r="Z12" s="89"/>
      <c r="AA12" s="70"/>
      <c r="AB12" s="70"/>
      <c r="AC12" s="1170"/>
      <c r="AD12" s="78"/>
      <c r="AE12" s="1171">
        <f t="shared" ca="1" si="6"/>
        <v>0</v>
      </c>
      <c r="AF12" s="1500"/>
      <c r="AG12" s="142">
        <f t="shared" si="7"/>
        <v>0</v>
      </c>
      <c r="AH12" s="79"/>
      <c r="AI12" s="81"/>
      <c r="AJ12" s="82"/>
      <c r="AK12" s="90"/>
      <c r="AL12" s="91"/>
      <c r="AM12" s="92"/>
      <c r="AN12" s="1869"/>
      <c r="AO12" s="55" t="e">
        <f t="shared" ca="1" si="8"/>
        <v>#REF!</v>
      </c>
      <c r="AP12" s="1870">
        <f t="shared" si="9"/>
        <v>0</v>
      </c>
      <c r="AQ12" s="55">
        <f t="shared" si="10"/>
        <v>0</v>
      </c>
      <c r="AR12" s="55">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70"/>
      <c r="Y13" s="76"/>
      <c r="Z13" s="77"/>
      <c r="AA13" s="70"/>
      <c r="AB13" s="70"/>
      <c r="AC13" s="1170"/>
      <c r="AD13" s="78"/>
      <c r="AE13" s="1171">
        <f t="shared" ca="1" si="6"/>
        <v>0</v>
      </c>
      <c r="AF13" s="1500"/>
      <c r="AG13" s="142">
        <f t="shared" si="7"/>
        <v>0</v>
      </c>
      <c r="AH13" s="79"/>
      <c r="AI13" s="81"/>
      <c r="AJ13" s="82"/>
      <c r="AK13" s="83"/>
      <c r="AL13" s="84"/>
      <c r="AM13" s="85"/>
      <c r="AN13" s="1869"/>
      <c r="AO13" s="55" t="e">
        <f t="shared" ca="1" si="8"/>
        <v>#REF!</v>
      </c>
      <c r="AP13" s="1870">
        <f t="shared" si="9"/>
        <v>0</v>
      </c>
      <c r="AQ13" s="55">
        <f t="shared" si="10"/>
        <v>0</v>
      </c>
      <c r="AR13" s="55">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1830</v>
      </c>
      <c r="B14" s="1867" t="s">
        <v>1831</v>
      </c>
      <c r="C14" s="1872" t="s">
        <v>1830</v>
      </c>
      <c r="D14" s="966"/>
      <c r="E14" s="965"/>
      <c r="F14" s="68"/>
      <c r="G14" s="69"/>
      <c r="H14" s="1159"/>
      <c r="I14" s="1159"/>
      <c r="J14" s="1159"/>
      <c r="K14" s="1160">
        <f>SUMIF('数据-汇总表'!C$19:C$33,A14,'数据-汇总表'!E$19:E$33)</f>
        <v>365.78</v>
      </c>
      <c r="L14" s="87">
        <v>3500</v>
      </c>
      <c r="M14" s="71">
        <f t="shared" si="0"/>
        <v>128</v>
      </c>
      <c r="N14" s="88">
        <f>N6</f>
        <v>0.95</v>
      </c>
      <c r="O14" s="71" t="str">
        <f t="shared" si="3"/>
        <v>——</v>
      </c>
      <c r="P14" s="72" t="str">
        <f t="shared" si="4"/>
        <v>——</v>
      </c>
      <c r="Q14" s="1163"/>
      <c r="R14" s="73"/>
      <c r="S14" s="54"/>
      <c r="T14" s="1304"/>
      <c r="U14" s="678"/>
      <c r="V14" s="1165"/>
      <c r="W14" s="1165"/>
      <c r="X14" s="1166"/>
      <c r="Y14" s="1167"/>
      <c r="Z14" s="1168"/>
      <c r="AA14" s="1169"/>
      <c r="AB14" s="1169"/>
      <c r="AC14" s="1170"/>
      <c r="AD14" s="1166"/>
      <c r="AE14" s="1171"/>
      <c r="AF14" s="55"/>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27">
      <c r="A15" s="1871" t="s">
        <v>1832</v>
      </c>
      <c r="B15" s="1867" t="s">
        <v>1831</v>
      </c>
      <c r="C15" s="1872" t="s">
        <v>1833</v>
      </c>
      <c r="D15" s="966"/>
      <c r="E15" s="965"/>
      <c r="F15" s="68"/>
      <c r="G15" s="69"/>
      <c r="H15" s="1159"/>
      <c r="I15" s="1159"/>
      <c r="J15" s="1159"/>
      <c r="K15" s="1160">
        <f>SUMIF('数据-汇总表'!C$19:C$33,A15,'数据-汇总表'!E$19:E$33)</f>
        <v>0</v>
      </c>
      <c r="L15" s="1161"/>
      <c r="M15" s="71"/>
      <c r="N15" s="1162"/>
      <c r="O15" s="71"/>
      <c r="P15" s="72"/>
      <c r="Q15" s="1163"/>
      <c r="R15" s="73"/>
      <c r="S15" s="54"/>
      <c r="T15" s="1304"/>
      <c r="U15" s="678"/>
      <c r="V15" s="1165"/>
      <c r="W15" s="1165"/>
      <c r="X15" s="1166"/>
      <c r="Y15" s="1167"/>
      <c r="Z15" s="1168"/>
      <c r="AA15" s="1169"/>
      <c r="AB15" s="1169"/>
      <c r="AC15" s="1170"/>
      <c r="AD15" s="1166"/>
      <c r="AE15" s="1171"/>
      <c r="AF15" s="55"/>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1834</v>
      </c>
      <c r="B16" s="93"/>
      <c r="C16" s="941"/>
      <c r="D16" s="1874"/>
      <c r="E16" s="93"/>
      <c r="F16" s="93"/>
      <c r="G16" s="94">
        <f>ROUND(SUMPRODUCT(G6:G13,K6:K13)/SUMPRODUCT((G6:G13&gt;0)*(K6:K13)),3)</f>
        <v>0.94099999999999995</v>
      </c>
      <c r="H16" s="95">
        <f>ROUND(SUMPRODUCT(H6:H13,K6:K13)/SUMPRODUCT((H6:H13&gt;0)*(K6:K13)),3)</f>
        <v>4.4999999999999998E-2</v>
      </c>
      <c r="I16" s="96"/>
      <c r="J16" s="96"/>
      <c r="K16" s="97">
        <f>SUM(K6:K15)</f>
        <v>24804.469999999998</v>
      </c>
      <c r="L16" s="98">
        <f>ROUND(M16*10000/SUM(K6:K14),0)</f>
        <v>3500</v>
      </c>
      <c r="M16" s="98">
        <f>SUM(M6:M14)</f>
        <v>8682</v>
      </c>
      <c r="N16" s="99">
        <f>ROUND(SUMPRODUCT(M6:M14,N6:N14)/M16,3)</f>
        <v>0.95</v>
      </c>
      <c r="O16" s="98">
        <f>SUM(O6:O14)</f>
        <v>0</v>
      </c>
      <c r="P16" s="98">
        <f>SUM(P6:P14)</f>
        <v>0</v>
      </c>
      <c r="Q16" s="100">
        <f>ROUND(SUMPRODUCT(Q6:Q13,K6:K13)/SUMPRODUCT((Q6:Q13&gt;0)*(K6:K13)),2)</f>
        <v>0.15</v>
      </c>
      <c r="R16" s="1164">
        <f ca="1">SUM(R6:R13)</f>
        <v>13382.27</v>
      </c>
      <c r="S16" s="101">
        <f>SUM(S6:S13)</f>
        <v>365.78</v>
      </c>
      <c r="T16" s="102">
        <f>IF(SUMIF(T6:T13,"&lt;9E307")=M14,SUMIF(T6:T13,"&lt;9E307"),"有误，请检查")</f>
        <v>128</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1835</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1836</v>
      </c>
      <c r="B19" s="108">
        <v>0</v>
      </c>
      <c r="C19" s="2998" t="s">
        <v>2991</v>
      </c>
      <c r="D19" s="2873"/>
      <c r="E19" s="2870"/>
      <c r="F19" s="2870"/>
      <c r="G19" s="2870"/>
      <c r="H19" s="2870"/>
      <c r="I19" s="2870"/>
      <c r="J19" s="2870"/>
      <c r="K19" s="2869"/>
      <c r="L19" s="2869"/>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1837</v>
      </c>
      <c r="B20" s="109">
        <v>1.5</v>
      </c>
      <c r="C20" s="2999" t="s">
        <v>2989</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1838</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1839</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f ca="1">结果表!J20</f>
        <v>305</v>
      </c>
      <c r="AL22" s="2868"/>
      <c r="AM22" s="2868"/>
      <c r="AN22" s="2868"/>
      <c r="AO22" s="2868"/>
      <c r="AP22" s="2868"/>
      <c r="AQ22" s="2868"/>
      <c r="AR22" s="2868"/>
    </row>
    <row r="23" spans="1:67" ht="14.25">
      <c r="A23" s="1878" t="s">
        <v>1840</v>
      </c>
      <c r="B23" s="110">
        <f>B19+B21</f>
        <v>1.5</v>
      </c>
      <c r="C23" s="2870"/>
      <c r="D23" s="2873"/>
      <c r="E23" s="2870"/>
      <c r="F23" s="2870"/>
      <c r="G23" s="2870"/>
      <c r="H23" s="2870"/>
      <c r="I23" s="2870"/>
      <c r="J23" s="2870"/>
      <c r="K23" s="2869"/>
      <c r="L23" s="2869"/>
      <c r="M23" s="2868"/>
      <c r="N23" s="2868"/>
      <c r="O23" s="2868"/>
      <c r="P23" s="2868"/>
      <c r="Q23" s="2868"/>
      <c r="R23" s="2868"/>
      <c r="S23" s="2868"/>
      <c r="T23" s="2868">
        <f>'数据-汇总表'!F19</f>
        <v>19966.57</v>
      </c>
      <c r="U23" s="2868">
        <v>2.5</v>
      </c>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1841</v>
      </c>
      <c r="B24" s="111">
        <f>B20-B21</f>
        <v>0</v>
      </c>
      <c r="C24" s="2870"/>
      <c r="D24" s="2873"/>
      <c r="E24" s="2870"/>
      <c r="F24" s="2870"/>
      <c r="G24" s="2870"/>
      <c r="H24" s="2870"/>
      <c r="I24" s="2870"/>
      <c r="J24" s="2870"/>
      <c r="K24" s="2869"/>
      <c r="L24" s="2869"/>
      <c r="M24" s="2868"/>
      <c r="N24" s="2868"/>
      <c r="O24" s="2868"/>
      <c r="P24" s="2868"/>
      <c r="Q24" s="2868"/>
      <c r="R24" s="2868"/>
      <c r="S24" s="2868"/>
      <c r="T24" s="2868">
        <f>'数据-汇总表'!G19</f>
        <v>4472.12</v>
      </c>
      <c r="U24" s="2868">
        <v>0.8</v>
      </c>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f>T23+T24</f>
        <v>24438.69</v>
      </c>
      <c r="U25" s="2868">
        <f>ROUND((U23*T23+U24*T24)/T25,2)</f>
        <v>2.19</v>
      </c>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1842</v>
      </c>
      <c r="B26" s="1880" t="s">
        <v>1843</v>
      </c>
      <c r="C26" s="2874" t="s">
        <v>1844</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27.75">
      <c r="A27" s="1881" t="s">
        <v>1845</v>
      </c>
      <c r="B27" s="112">
        <v>160</v>
      </c>
      <c r="C27" s="3000" t="s">
        <v>2993</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1846</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1847</v>
      </c>
      <c r="B29" s="117">
        <f ca="1">成本法!C10</f>
        <v>496</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27">
      <c r="A30" s="1885" t="s">
        <v>1848</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1849</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1850</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1851</v>
      </c>
      <c r="B33" s="681">
        <v>0.03</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1852</v>
      </c>
      <c r="B34" s="118">
        <v>0.05</v>
      </c>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1853</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1854</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1855</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1856</v>
      </c>
      <c r="B38" s="118">
        <v>0.02</v>
      </c>
      <c r="C38" s="3002" t="s">
        <v>2985</v>
      </c>
      <c r="D38" s="2873"/>
      <c r="E38" s="2870"/>
      <c r="F38" s="2870"/>
      <c r="G38" s="2870"/>
      <c r="H38" s="2870"/>
      <c r="I38" s="2870"/>
      <c r="J38" s="2870">
        <f ca="1">结果表!J20</f>
        <v>305</v>
      </c>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1857</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3157</v>
      </c>
      <c r="B40" s="1208">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1858</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1859</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1860</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1861</v>
      </c>
      <c r="B44" s="3548">
        <v>7.0000000000000007E-2</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1862</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1863</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1864</v>
      </c>
      <c r="B47" s="124"/>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1865</v>
      </c>
      <c r="B48" s="125">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1866</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1867</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1868</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1869</v>
      </c>
      <c r="B52" s="128">
        <f>SUMIF(A54:A63,B53,B54:B63)</f>
        <v>3</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3" t="s">
        <v>1870</v>
      </c>
      <c r="B53" s="1892" t="s">
        <v>523</v>
      </c>
      <c r="C53" s="2856" t="s">
        <v>1871</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1872</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1873</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1874</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1875</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1876</v>
      </c>
      <c r="B58" s="80">
        <v>3</v>
      </c>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1877</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1878</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1879</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1880</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1881</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7"/>
      <c r="L134" s="27"/>
    </row>
    <row r="135" spans="1:12" s="1835" customFormat="1">
      <c r="A135" s="1897"/>
      <c r="D135" s="1898"/>
      <c r="K135" s="27"/>
      <c r="L135" s="27"/>
    </row>
    <row r="136" spans="1:12" s="1835" customFormat="1">
      <c r="A136" s="1897"/>
      <c r="D136" s="1898"/>
      <c r="K136" s="27"/>
      <c r="L136" s="27"/>
    </row>
    <row r="137" spans="1:12" s="1835" customFormat="1">
      <c r="A137" s="1897"/>
      <c r="D137" s="1898"/>
      <c r="K137" s="27"/>
      <c r="L137" s="27"/>
    </row>
    <row r="138" spans="1:12" s="1835" customFormat="1">
      <c r="A138" s="1897"/>
      <c r="D138" s="1898"/>
      <c r="K138" s="27"/>
      <c r="L138" s="27"/>
    </row>
    <row r="139" spans="1:12" s="1835" customFormat="1">
      <c r="A139" s="1897"/>
      <c r="D139" s="1898"/>
      <c r="K139" s="27"/>
      <c r="L139" s="27"/>
    </row>
    <row r="140" spans="1:12" s="1835" customFormat="1">
      <c r="A140" s="1897"/>
      <c r="D140" s="1898"/>
      <c r="K140" s="27"/>
      <c r="L140" s="27"/>
    </row>
    <row r="141" spans="1:12" s="1835" customFormat="1">
      <c r="A141" s="1897"/>
      <c r="D141" s="1898"/>
      <c r="K141" s="27"/>
      <c r="L141" s="27"/>
    </row>
    <row r="142" spans="1:12" s="1835" customFormat="1">
      <c r="A142" s="1897"/>
      <c r="D142" s="1898"/>
      <c r="K142" s="27"/>
      <c r="L142" s="27"/>
    </row>
    <row r="143" spans="1:12" s="1835" customFormat="1">
      <c r="A143" s="1897"/>
      <c r="D143" s="1898"/>
      <c r="K143" s="27"/>
      <c r="L143" s="27"/>
    </row>
    <row r="144" spans="1:12" s="1835" customFormat="1">
      <c r="A144" s="1897"/>
      <c r="D144" s="1898"/>
      <c r="K144" s="27"/>
      <c r="L144" s="27"/>
    </row>
    <row r="145" spans="1:12" s="1835" customFormat="1">
      <c r="A145" s="1897"/>
      <c r="D145" s="1898"/>
      <c r="K145" s="27"/>
      <c r="L145" s="27"/>
    </row>
    <row r="146" spans="1:12" s="1835" customFormat="1">
      <c r="A146" s="1897"/>
      <c r="D146" s="1898"/>
      <c r="K146" s="27"/>
      <c r="L146" s="27"/>
    </row>
    <row r="147" spans="1:12" s="1835" customFormat="1">
      <c r="A147" s="1897"/>
      <c r="D147" s="1898"/>
      <c r="K147" s="27"/>
      <c r="L147" s="27"/>
    </row>
    <row r="148" spans="1:12" s="1835" customFormat="1">
      <c r="A148" s="1897"/>
      <c r="D148" s="1898"/>
      <c r="K148" s="27"/>
      <c r="L148" s="27"/>
    </row>
    <row r="149" spans="1:12" s="1835" customFormat="1">
      <c r="A149" s="1897"/>
      <c r="D149" s="1898"/>
      <c r="K149" s="27"/>
      <c r="L149" s="27"/>
    </row>
    <row r="150" spans="1:12" s="1835" customFormat="1">
      <c r="A150" s="1897"/>
      <c r="D150" s="1898"/>
      <c r="K150" s="27"/>
      <c r="L150" s="27"/>
    </row>
    <row r="151" spans="1:12" s="1835" customFormat="1">
      <c r="A151" s="1897"/>
      <c r="D151" s="1898"/>
      <c r="K151" s="27"/>
      <c r="L151" s="27"/>
    </row>
    <row r="152" spans="1:12" s="1835" customFormat="1">
      <c r="A152" s="1897"/>
      <c r="D152" s="1898"/>
      <c r="K152" s="27"/>
      <c r="L152" s="27"/>
    </row>
    <row r="153" spans="1:12" s="1835" customFormat="1">
      <c r="A153" s="1897"/>
      <c r="D153" s="1898"/>
      <c r="K153" s="27"/>
      <c r="L153" s="27"/>
    </row>
    <row r="154" spans="1:12" s="1835" customFormat="1">
      <c r="A154" s="1897"/>
      <c r="D154" s="1898"/>
      <c r="K154" s="27"/>
      <c r="L154" s="27"/>
    </row>
    <row r="155" spans="1:12" s="1835" customFormat="1">
      <c r="A155" s="1897"/>
      <c r="D155" s="1898"/>
      <c r="K155" s="27"/>
      <c r="L155" s="27"/>
    </row>
    <row r="156" spans="1:12" s="1835" customFormat="1">
      <c r="A156" s="1897"/>
      <c r="D156" s="1898"/>
      <c r="K156" s="27"/>
      <c r="L156" s="27"/>
    </row>
    <row r="157" spans="1:12" s="1835" customFormat="1">
      <c r="A157" s="1897"/>
      <c r="D157" s="1898"/>
      <c r="K157" s="27"/>
      <c r="L157" s="27"/>
    </row>
    <row r="158" spans="1:12" s="1835" customFormat="1">
      <c r="A158" s="1897"/>
      <c r="D158" s="1898"/>
      <c r="K158" s="27"/>
      <c r="L158" s="27"/>
    </row>
    <row r="159" spans="1:12" s="1835" customFormat="1">
      <c r="A159" s="1897"/>
      <c r="D159" s="1898"/>
      <c r="K159" s="27"/>
      <c r="L159" s="27"/>
    </row>
    <row r="160" spans="1:12" s="1835" customFormat="1">
      <c r="A160" s="1897"/>
      <c r="D160" s="1898"/>
      <c r="K160" s="27"/>
      <c r="L160" s="27"/>
    </row>
    <row r="161" spans="1:12" s="1835" customFormat="1">
      <c r="A161" s="1897"/>
      <c r="D161" s="1898"/>
      <c r="K161" s="27"/>
      <c r="L161" s="27"/>
    </row>
    <row r="162" spans="1:12" s="1835" customFormat="1">
      <c r="A162" s="1897"/>
      <c r="D162" s="1898"/>
      <c r="K162" s="27"/>
      <c r="L162" s="27"/>
    </row>
    <row r="163" spans="1:12" s="1835" customFormat="1">
      <c r="A163" s="1897"/>
      <c r="D163" s="1898"/>
      <c r="K163" s="27"/>
      <c r="L163" s="27"/>
    </row>
    <row r="164" spans="1:12" s="1835" customFormat="1">
      <c r="A164" s="1897"/>
      <c r="D164" s="1898"/>
      <c r="K164" s="27"/>
      <c r="L164" s="27"/>
    </row>
    <row r="165" spans="1:12" s="1835" customFormat="1">
      <c r="A165" s="1897"/>
      <c r="D165" s="1898"/>
      <c r="K165" s="27"/>
      <c r="L165" s="27"/>
    </row>
    <row r="166" spans="1:12" s="1835" customFormat="1">
      <c r="A166" s="1897"/>
      <c r="D166" s="1898"/>
      <c r="K166" s="27"/>
      <c r="L166" s="27"/>
    </row>
    <row r="167" spans="1:12" s="1835" customFormat="1">
      <c r="A167" s="1897"/>
      <c r="D167" s="1898"/>
      <c r="K167" s="27"/>
      <c r="L167" s="27"/>
    </row>
    <row r="168" spans="1:12" s="1835" customFormat="1">
      <c r="A168" s="1897"/>
      <c r="D168" s="1898"/>
      <c r="K168" s="27"/>
      <c r="L168" s="27"/>
    </row>
    <row r="169" spans="1:12" s="1835" customFormat="1">
      <c r="A169" s="1897"/>
      <c r="D169" s="1898"/>
      <c r="K169" s="27"/>
      <c r="L169" s="27"/>
    </row>
    <row r="170" spans="1:12" s="1835" customFormat="1">
      <c r="A170" s="1897"/>
      <c r="D170" s="1898"/>
      <c r="K170" s="27"/>
      <c r="L170" s="27"/>
    </row>
    <row r="171" spans="1:12" s="1835" customFormat="1">
      <c r="A171" s="1897"/>
      <c r="D171" s="1898"/>
      <c r="K171" s="27"/>
      <c r="L171" s="27"/>
    </row>
    <row r="172" spans="1:12" s="1835" customFormat="1">
      <c r="A172" s="1897"/>
      <c r="D172" s="1898"/>
      <c r="K172" s="27"/>
      <c r="L172" s="27"/>
    </row>
    <row r="173" spans="1:12" s="1835" customFormat="1">
      <c r="A173" s="1897"/>
      <c r="D173" s="1898"/>
      <c r="K173" s="27"/>
      <c r="L173" s="27"/>
    </row>
    <row r="174" spans="1:12" s="1835" customFormat="1">
      <c r="A174" s="1897"/>
      <c r="D174" s="189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00" t="s">
        <v>2972</v>
      </c>
      <c r="B1" s="3301"/>
      <c r="C1" s="3301"/>
      <c r="D1" s="3301"/>
      <c r="E1" s="3301"/>
      <c r="F1" s="3301"/>
      <c r="G1" s="3301"/>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6"/>
      <c r="I2" s="906"/>
      <c r="J2" s="906"/>
      <c r="K2" s="906"/>
      <c r="L2" s="906"/>
      <c r="M2" s="906"/>
      <c r="N2" s="906"/>
      <c r="O2" s="906"/>
      <c r="P2" s="906"/>
      <c r="Q2" s="906"/>
      <c r="R2" s="906"/>
    </row>
    <row r="3" spans="1:29" ht="48">
      <c r="A3" s="2635" t="s">
        <v>2969</v>
      </c>
      <c r="B3" s="2657" t="s">
        <v>2938</v>
      </c>
      <c r="C3" s="2658" t="s">
        <v>2970</v>
      </c>
      <c r="D3" s="2659"/>
      <c r="E3" s="2636" t="s">
        <v>2969</v>
      </c>
      <c r="F3" s="2660" t="s">
        <v>2939</v>
      </c>
      <c r="G3" s="2661" t="s">
        <v>2971</v>
      </c>
      <c r="H3" s="906"/>
      <c r="I3" s="906"/>
      <c r="J3" s="906"/>
      <c r="K3" s="906"/>
      <c r="L3" s="906"/>
      <c r="M3" s="906"/>
      <c r="N3" s="906"/>
      <c r="O3" s="906"/>
      <c r="P3" s="906"/>
      <c r="Q3" s="906"/>
      <c r="R3" s="906"/>
    </row>
    <row r="4" spans="1:29" ht="36.75">
      <c r="A4" s="2636"/>
      <c r="B4" s="328" t="s">
        <v>2940</v>
      </c>
      <c r="C4" s="2662" t="s">
        <v>2941</v>
      </c>
      <c r="D4" s="2659"/>
      <c r="E4" s="2663"/>
      <c r="F4" s="1525" t="s">
        <v>2942</v>
      </c>
      <c r="G4" s="2664" t="s">
        <v>2943</v>
      </c>
      <c r="H4" s="906"/>
      <c r="I4" s="906"/>
      <c r="J4" s="906"/>
      <c r="K4" s="906"/>
      <c r="L4" s="906"/>
      <c r="M4" s="906"/>
      <c r="N4" s="906"/>
      <c r="O4" s="906"/>
      <c r="P4" s="906"/>
      <c r="Q4" s="906"/>
      <c r="R4" s="906"/>
    </row>
    <row r="5" spans="1:29" ht="36.75">
      <c r="A5" s="2636"/>
      <c r="B5" s="328" t="s">
        <v>2944</v>
      </c>
      <c r="C5" s="2662" t="s">
        <v>2945</v>
      </c>
      <c r="D5" s="2659"/>
      <c r="E5" s="2663"/>
      <c r="F5" s="328" t="s">
        <v>2946</v>
      </c>
      <c r="G5" s="2664" t="s">
        <v>2947</v>
      </c>
      <c r="H5" s="906"/>
      <c r="I5" s="906"/>
      <c r="J5" s="906"/>
      <c r="K5" s="906"/>
      <c r="L5" s="906"/>
      <c r="M5" s="906"/>
      <c r="N5" s="906"/>
      <c r="O5" s="906"/>
      <c r="P5" s="906"/>
      <c r="Q5" s="906"/>
      <c r="R5" s="906"/>
    </row>
    <row r="6" spans="1:29" ht="36">
      <c r="A6" s="2636"/>
      <c r="B6" s="328" t="s">
        <v>2948</v>
      </c>
      <c r="C6" s="2664" t="s">
        <v>2943</v>
      </c>
      <c r="D6" s="2659"/>
      <c r="E6" s="2663"/>
      <c r="F6" s="328" t="s">
        <v>2949</v>
      </c>
      <c r="G6" s="2664" t="s">
        <v>2950</v>
      </c>
      <c r="H6" s="906"/>
      <c r="I6" s="906"/>
      <c r="J6" s="906"/>
      <c r="K6" s="906"/>
      <c r="L6" s="906"/>
      <c r="M6" s="906"/>
      <c r="N6" s="906"/>
      <c r="O6" s="906"/>
      <c r="P6" s="906"/>
      <c r="Q6" s="906"/>
      <c r="R6" s="906"/>
    </row>
    <row r="7" spans="1:29" ht="24.75" thickBot="1">
      <c r="A7" s="2636"/>
      <c r="B7" s="328" t="s">
        <v>2946</v>
      </c>
      <c r="C7" s="2664" t="s">
        <v>2947</v>
      </c>
      <c r="D7" s="2665"/>
      <c r="E7" s="2666"/>
      <c r="F7" s="2667" t="s">
        <v>2951</v>
      </c>
      <c r="G7" s="2668" t="s">
        <v>2952</v>
      </c>
      <c r="H7" s="906"/>
      <c r="I7" s="906"/>
      <c r="J7" s="906"/>
      <c r="K7" s="906"/>
      <c r="L7" s="906"/>
      <c r="M7" s="906"/>
      <c r="N7" s="906"/>
      <c r="O7" s="906"/>
      <c r="P7" s="906"/>
      <c r="Q7" s="906"/>
      <c r="R7" s="906"/>
    </row>
    <row r="8" spans="1:29">
      <c r="A8" s="2636"/>
      <c r="B8" s="328" t="s">
        <v>2949</v>
      </c>
      <c r="C8" s="2664" t="s">
        <v>2950</v>
      </c>
      <c r="D8" s="2665"/>
      <c r="E8" s="2665"/>
      <c r="F8" s="2669"/>
      <c r="G8" s="2669"/>
      <c r="H8" s="906"/>
      <c r="I8" s="906"/>
      <c r="J8" s="906"/>
      <c r="K8" s="906"/>
      <c r="L8" s="906"/>
      <c r="M8" s="906"/>
      <c r="N8" s="906"/>
      <c r="O8" s="906"/>
      <c r="P8" s="906"/>
      <c r="Q8" s="906"/>
      <c r="R8" s="906"/>
    </row>
    <row r="9" spans="1:29" ht="24">
      <c r="A9" s="2636"/>
      <c r="B9" s="328" t="s">
        <v>2953</v>
      </c>
      <c r="C9" s="2662" t="s">
        <v>2954</v>
      </c>
      <c r="D9" s="2659"/>
      <c r="E9" s="2665"/>
      <c r="F9" s="2669"/>
      <c r="G9" s="2669"/>
      <c r="H9" s="906"/>
      <c r="I9" s="906"/>
      <c r="J9" s="906"/>
      <c r="K9" s="906"/>
      <c r="L9" s="906"/>
      <c r="M9" s="906"/>
      <c r="N9" s="906"/>
      <c r="O9" s="906"/>
      <c r="P9" s="906"/>
      <c r="Q9" s="906"/>
      <c r="R9" s="906"/>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8"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8" t="s">
        <v>2949</v>
      </c>
      <c r="G20" s="2697" t="str">
        <f>G6</f>
        <v>估价对象所在区域基础设施水平</v>
      </c>
    </row>
    <row r="21" spans="1:18" ht="25.5">
      <c r="A21" s="2640"/>
      <c r="B21" s="328" t="s">
        <v>2946</v>
      </c>
      <c r="C21" s="2697" t="str">
        <f>C7</f>
        <v>估价对象所在区域公共配套设施齐备情况</v>
      </c>
      <c r="D21" s="2659"/>
      <c r="E21" s="2641"/>
      <c r="F21" s="2696" t="s">
        <v>2964</v>
      </c>
      <c r="G21" s="2699"/>
    </row>
    <row r="22" spans="1:18" ht="13.5" customHeight="1">
      <c r="A22" s="2640"/>
      <c r="B22" s="328" t="s">
        <v>2949</v>
      </c>
      <c r="C22" s="2697" t="str">
        <f>C8</f>
        <v>估价对象所在区域基础设施水平</v>
      </c>
      <c r="D22" s="2659"/>
      <c r="E22" s="2641"/>
      <c r="F22" s="2696" t="s">
        <v>2955</v>
      </c>
      <c r="G22" s="2698"/>
    </row>
    <row r="23" spans="1:18" s="906" customFormat="1" ht="15" thickBot="1">
      <c r="A23" s="2640"/>
      <c r="B23" s="2696" t="s">
        <v>2964</v>
      </c>
      <c r="C23" s="2699"/>
      <c r="D23" s="1895"/>
      <c r="E23" s="2642"/>
      <c r="F23" s="2700" t="s">
        <v>2965</v>
      </c>
      <c r="G23" s="2701"/>
      <c r="H23" s="2685"/>
      <c r="I23" s="2686"/>
      <c r="J23" s="2685"/>
      <c r="K23" s="2685"/>
      <c r="L23" s="2686"/>
      <c r="M23" s="2685"/>
      <c r="N23" s="2685"/>
      <c r="O23" s="2686"/>
      <c r="P23" s="2685"/>
      <c r="Q23" s="2685"/>
      <c r="R23" s="2687"/>
    </row>
    <row r="24" spans="1:18" s="906" customFormat="1" ht="15" thickBot="1">
      <c r="A24" s="2643"/>
      <c r="B24" s="2700" t="s">
        <v>2966</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24804.469999999998</v>
      </c>
      <c r="C1" s="2883"/>
      <c r="D1" s="2883"/>
      <c r="E1" s="2883"/>
      <c r="F1" s="2883"/>
      <c r="G1" s="2884"/>
      <c r="H1" s="2885"/>
      <c r="I1" s="2885"/>
      <c r="J1" s="2885"/>
      <c r="K1" s="2885"/>
    </row>
    <row r="2" spans="1:11" ht="16.5">
      <c r="A2" s="2706" t="s">
        <v>1259</v>
      </c>
      <c r="B2" s="2706">
        <f>SUM(C14:C23)</f>
        <v>13382.272999999997</v>
      </c>
      <c r="C2" s="2883"/>
      <c r="D2" s="2883"/>
      <c r="E2" s="2883"/>
      <c r="F2" s="2883"/>
      <c r="G2" s="2884"/>
      <c r="H2" s="2885"/>
      <c r="I2" s="2885"/>
      <c r="J2" s="2885"/>
      <c r="K2" s="2885"/>
    </row>
    <row r="3" spans="1:11" ht="16.5">
      <c r="A3" s="2706" t="s">
        <v>1268</v>
      </c>
      <c r="B3" s="2708">
        <f>项目基本情况!D3</f>
        <v>44642</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31660</v>
      </c>
      <c r="C5" s="2706">
        <f ca="1">ROUND(B5*10000/$B$1,0)</f>
        <v>12764</v>
      </c>
      <c r="D5" s="2706">
        <f ca="1">ROUND(B5*10000/$B$2,0)</f>
        <v>23658</v>
      </c>
      <c r="E5" s="2883"/>
      <c r="F5" s="2884"/>
      <c r="G5" s="2884"/>
      <c r="H5" s="2885"/>
      <c r="I5" s="2885"/>
      <c r="J5" s="2885"/>
      <c r="K5" s="2885"/>
    </row>
    <row r="6" spans="1:11" ht="16.5">
      <c r="A6" s="2706" t="s">
        <v>1262</v>
      </c>
      <c r="B6" s="2706">
        <f ca="1">SUM(G14:G23)</f>
        <v>31660</v>
      </c>
      <c r="C6" s="2706">
        <f ca="1">ROUND(B6*10000/$B$1,0)</f>
        <v>12764</v>
      </c>
      <c r="D6" s="2706">
        <f ca="1">ROUND(B6*10000/$B$2,0)</f>
        <v>23658</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24804.469999999998</v>
      </c>
      <c r="C14" s="2712">
        <f>结果表!C118</f>
        <v>13382.272999999997</v>
      </c>
      <c r="D14" s="2712">
        <f ca="1">结果表!H118</f>
        <v>31660</v>
      </c>
      <c r="E14" s="2712">
        <f ca="1">ROUND(D14*10000/B14,0)</f>
        <v>12764</v>
      </c>
      <c r="F14" s="2712">
        <f ca="1">ROUND(D14*10000/C14,0)</f>
        <v>23658</v>
      </c>
      <c r="G14" s="2712">
        <f ca="1">结果表!D122</f>
        <v>31660</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24" sqref="A24:A25"/>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1887</v>
      </c>
      <c r="B1" s="1901"/>
      <c r="C1" s="1902"/>
      <c r="D1" s="1901"/>
      <c r="E1" s="1901"/>
      <c r="F1" s="1903" t="s">
        <v>1888</v>
      </c>
      <c r="G1" s="1714"/>
      <c r="H1" s="1904" t="str">
        <f>IF(G1="现房","——","估价对象范围")</f>
        <v>估价对象范围</v>
      </c>
      <c r="I1" s="1905"/>
    </row>
    <row r="2" spans="1:12" ht="21.75" customHeight="1" thickBot="1">
      <c r="A2" s="3372" t="str">
        <f>项目基本情况!S2</f>
        <v>北京市房地产</v>
      </c>
      <c r="B2" s="3373"/>
      <c r="C2" s="3373"/>
      <c r="D2" s="3373"/>
      <c r="E2" s="3373"/>
      <c r="F2" s="3373"/>
      <c r="G2" s="3373"/>
      <c r="H2" s="3373"/>
      <c r="I2" s="3374"/>
    </row>
    <row r="3" spans="1:12" ht="12.75">
      <c r="A3" s="3376" t="s">
        <v>1889</v>
      </c>
      <c r="B3" s="3377"/>
      <c r="C3" s="3377"/>
      <c r="D3" s="3377"/>
      <c r="E3" s="3377"/>
      <c r="F3" s="3377"/>
      <c r="G3" s="3377"/>
      <c r="H3" s="3377"/>
      <c r="I3" s="3377"/>
    </row>
    <row r="4" spans="1:12" ht="14.25">
      <c r="A4" s="1908" t="s">
        <v>1890</v>
      </c>
      <c r="B4" s="1909" t="s">
        <v>1891</v>
      </c>
      <c r="C4" s="1910" t="s">
        <v>3169</v>
      </c>
      <c r="D4" s="1910" t="s">
        <v>3159</v>
      </c>
      <c r="E4" s="3381" t="s">
        <v>1892</v>
      </c>
      <c r="F4" s="3382"/>
      <c r="G4" s="3382"/>
      <c r="H4" s="3382"/>
      <c r="I4" s="338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17" t="s">
        <v>1893</v>
      </c>
      <c r="B5" s="3375">
        <v>25</v>
      </c>
      <c r="C5" s="3378"/>
      <c r="D5" s="3366"/>
      <c r="E5" s="135" t="s">
        <v>1894</v>
      </c>
      <c r="F5" s="1911"/>
      <c r="G5" s="1911"/>
      <c r="H5" s="1911"/>
      <c r="I5" s="1525"/>
    </row>
    <row r="6" spans="1:12" ht="12.75">
      <c r="A6" s="3317"/>
      <c r="B6" s="3375"/>
      <c r="C6" s="3380"/>
      <c r="D6" s="3366"/>
      <c r="E6" s="135" t="s">
        <v>1895</v>
      </c>
      <c r="F6" s="1911"/>
      <c r="G6" s="1911"/>
      <c r="H6" s="1911"/>
      <c r="I6" s="1525"/>
    </row>
    <row r="7" spans="1:12" ht="12.75">
      <c r="A7" s="3317"/>
      <c r="B7" s="3375"/>
      <c r="C7" s="3379"/>
      <c r="D7" s="3366"/>
      <c r="E7" s="135" t="s">
        <v>1896</v>
      </c>
      <c r="F7" s="1911"/>
      <c r="G7" s="1911"/>
      <c r="H7" s="1911"/>
      <c r="I7" s="1525"/>
    </row>
    <row r="8" spans="1:12" ht="12.75">
      <c r="A8" s="3317" t="s">
        <v>1897</v>
      </c>
      <c r="B8" s="3375">
        <v>15</v>
      </c>
      <c r="C8" s="3378"/>
      <c r="D8" s="3366"/>
      <c r="E8" s="135" t="s">
        <v>1898</v>
      </c>
      <c r="F8" s="1911"/>
      <c r="G8" s="1911"/>
      <c r="H8" s="1911"/>
      <c r="I8" s="1525"/>
    </row>
    <row r="9" spans="1:12" ht="12.75">
      <c r="A9" s="3317"/>
      <c r="B9" s="3375"/>
      <c r="C9" s="3379"/>
      <c r="D9" s="3366"/>
      <c r="E9" s="135" t="s">
        <v>1899</v>
      </c>
      <c r="F9" s="1911"/>
      <c r="G9" s="1911"/>
      <c r="H9" s="1911"/>
      <c r="I9" s="1525"/>
    </row>
    <row r="10" spans="1:12" ht="12.75">
      <c r="A10" s="3317" t="s">
        <v>1900</v>
      </c>
      <c r="B10" s="3375">
        <v>15</v>
      </c>
      <c r="C10" s="3378"/>
      <c r="D10" s="3366"/>
      <c r="E10" s="135" t="s">
        <v>1901</v>
      </c>
      <c r="F10" s="1911"/>
      <c r="G10" s="1911"/>
      <c r="H10" s="1911"/>
      <c r="I10" s="1525"/>
    </row>
    <row r="11" spans="1:12" ht="12.75">
      <c r="A11" s="3317"/>
      <c r="B11" s="3375"/>
      <c r="C11" s="3379"/>
      <c r="D11" s="3366"/>
      <c r="E11" s="135" t="s">
        <v>1902</v>
      </c>
      <c r="F11" s="1911"/>
      <c r="G11" s="1911"/>
      <c r="H11" s="1911"/>
      <c r="I11" s="1525"/>
    </row>
    <row r="12" spans="1:12" ht="12.75">
      <c r="A12" s="3317" t="s">
        <v>1903</v>
      </c>
      <c r="B12" s="3375">
        <v>15</v>
      </c>
      <c r="C12" s="3378"/>
      <c r="D12" s="3366"/>
      <c r="E12" s="135" t="s">
        <v>1904</v>
      </c>
      <c r="F12" s="1911"/>
      <c r="G12" s="1911"/>
      <c r="H12" s="1911"/>
      <c r="I12" s="1525"/>
    </row>
    <row r="13" spans="1:12" ht="12.75">
      <c r="A13" s="3317"/>
      <c r="B13" s="3375"/>
      <c r="C13" s="3379"/>
      <c r="D13" s="3366"/>
      <c r="E13" s="135" t="s">
        <v>1905</v>
      </c>
      <c r="F13" s="1911"/>
      <c r="G13" s="1911"/>
      <c r="H13" s="1911"/>
      <c r="I13" s="1525"/>
    </row>
    <row r="14" spans="1:12" ht="12.75">
      <c r="A14" s="3317" t="s">
        <v>1906</v>
      </c>
      <c r="B14" s="3375">
        <v>30</v>
      </c>
      <c r="C14" s="3378">
        <v>3</v>
      </c>
      <c r="D14" s="3366">
        <f>10-C14</f>
        <v>7</v>
      </c>
      <c r="E14" s="135" t="s">
        <v>1907</v>
      </c>
      <c r="F14" s="1911"/>
      <c r="G14" s="1911"/>
      <c r="H14" s="1911"/>
      <c r="I14" s="1525"/>
    </row>
    <row r="15" spans="1:12" ht="12.75">
      <c r="A15" s="3317"/>
      <c r="B15" s="3375"/>
      <c r="C15" s="3380"/>
      <c r="D15" s="3366"/>
      <c r="E15" s="135" t="s">
        <v>1908</v>
      </c>
      <c r="F15" s="1911"/>
      <c r="G15" s="1911"/>
      <c r="H15" s="1911"/>
      <c r="I15" s="1525"/>
    </row>
    <row r="16" spans="1:12" ht="12.75">
      <c r="A16" s="3317"/>
      <c r="B16" s="3375"/>
      <c r="C16" s="3379"/>
      <c r="D16" s="3366"/>
      <c r="E16" s="135" t="s">
        <v>1909</v>
      </c>
      <c r="F16" s="1911"/>
      <c r="G16" s="1911"/>
      <c r="H16" s="1911"/>
      <c r="I16" s="1525"/>
    </row>
    <row r="17" spans="1:36" ht="15">
      <c r="A17" s="1912" t="s">
        <v>1910</v>
      </c>
      <c r="B17" s="60"/>
      <c r="C17" s="136">
        <f>SUM(C5:C16)</f>
        <v>3</v>
      </c>
      <c r="D17" s="136">
        <f>SUM(D5:D16)</f>
        <v>7</v>
      </c>
      <c r="E17" s="133"/>
      <c r="F17" s="133"/>
      <c r="G17" s="133"/>
      <c r="H17" s="133"/>
      <c r="I17" s="133"/>
      <c r="K17" s="307"/>
      <c r="L17" s="307" t="s">
        <v>1911</v>
      </c>
      <c r="M17" s="307" t="s">
        <v>1912</v>
      </c>
    </row>
    <row r="18" spans="1:36" ht="31.9" customHeight="1" thickBot="1">
      <c r="A18" s="1913" t="s">
        <v>1913</v>
      </c>
      <c r="B18" s="1914"/>
      <c r="C18" s="137">
        <f>ROUND(C17/SUM(C17:D17),2)</f>
        <v>0.3</v>
      </c>
      <c r="D18" s="137">
        <f>1-C18</f>
        <v>0.7</v>
      </c>
      <c r="E18" s="3397" t="s">
        <v>2813</v>
      </c>
      <c r="F18" s="3398"/>
      <c r="G18" s="3398"/>
      <c r="H18" s="3398"/>
      <c r="I18" s="3398"/>
      <c r="K18" s="307" t="s">
        <v>1914</v>
      </c>
      <c r="L18" s="307">
        <f>IF(C1="",'数据-汇总表'!E3,SUMIF(项目类型,C1,'数据-汇总表'!E17:E26)+SUMIF(项目类型,C1,'数据-汇总表'!I17:I26))</f>
        <v>24804.469999999998</v>
      </c>
      <c r="M18" s="307">
        <f>IF(C1="",'数据-汇总表'!E3,SUMIF(项目类型,C1,'数据-汇总表'!E17:E26))</f>
        <v>24804.469999999998</v>
      </c>
    </row>
    <row r="19" spans="1:36" ht="15">
      <c r="A19" s="1915" t="s">
        <v>1915</v>
      </c>
      <c r="B19" s="1916" t="s">
        <v>1916</v>
      </c>
      <c r="C19" s="138">
        <f ca="1">SUMIF(INDIRECT("'"&amp;C4&amp;"'"&amp;"!A:A"),结果表!B19,INDIRECT("'"&amp;C4&amp;"'"&amp;"!B:B"))</f>
        <v>18630</v>
      </c>
      <c r="D19" s="139">
        <f ca="1">SUMIF(INDIRECT("'"&amp;D4&amp;"'"&amp;"!A:A"),结果表!B19,INDIRECT("'"&amp;D4&amp;"'"&amp;"!B:B"))</f>
        <v>37244</v>
      </c>
      <c r="E19" s="1915" t="s">
        <v>1917</v>
      </c>
      <c r="F19" s="1916" t="s">
        <v>1916</v>
      </c>
      <c r="G19" s="140">
        <f ca="1">ROUND(C19*$C$18+D19*$D$18,0)</f>
        <v>31660</v>
      </c>
      <c r="H19" s="1917" t="s">
        <v>1918</v>
      </c>
      <c r="I19" s="133"/>
      <c r="J19" s="733">
        <f>[2]结果表!$G$19</f>
        <v>31355</v>
      </c>
      <c r="K19" s="307" t="s">
        <v>1919</v>
      </c>
      <c r="L19" s="307">
        <f>IF(C1="",'数据-汇总表'!D3,SUMIF(项目类型,C1,'数据-汇总表'!D17:D26)+SUMIF(项目类型,C1,'数据-汇总表'!H17:H27))</f>
        <v>13382.272999999997</v>
      </c>
      <c r="M19" s="307">
        <f>IF(C1="",'数据-汇总表'!D3,SUMIF(项目类型,C1,'数据-汇总表'!D17:D26))</f>
        <v>13382.272999999997</v>
      </c>
    </row>
    <row r="20" spans="1:36" ht="15">
      <c r="A20" s="1918"/>
      <c r="B20" s="1156" t="s">
        <v>1920</v>
      </c>
      <c r="C20" s="141">
        <f ca="1">SUMIF(INDIRECT("'"&amp;C4&amp;"'"&amp;"!A:A"),结果表!B20,INDIRECT("'"&amp;C4&amp;"'"&amp;"!B:B"))</f>
        <v>7511</v>
      </c>
      <c r="D20" s="142">
        <f ca="1">SUMIF(INDIRECT("'"&amp;D4&amp;"'"&amp;"!A:A"),结果表!B20,INDIRECT("'"&amp;D4&amp;"'"&amp;"!B:B"))</f>
        <v>15240</v>
      </c>
      <c r="E20" s="1918"/>
      <c r="F20" s="1156" t="s">
        <v>1920</v>
      </c>
      <c r="G20" s="143">
        <f ca="1">ROUND(C20*$C$18+D20*$D$18,0)</f>
        <v>12921</v>
      </c>
      <c r="H20" s="916" t="s">
        <v>1921</v>
      </c>
      <c r="I20" s="133"/>
      <c r="J20" s="733">
        <f ca="1">G19-J19</f>
        <v>305</v>
      </c>
    </row>
    <row r="21" spans="1:36" ht="15" customHeight="1" thickBot="1">
      <c r="A21" s="936"/>
      <c r="B21" s="1919" t="s">
        <v>1922</v>
      </c>
      <c r="C21" s="727">
        <f ca="1">ROUND(C19*10000/L19,0)</f>
        <v>13921</v>
      </c>
      <c r="D21" s="728">
        <f ca="1">ROUND(D19*10000/L19,0)</f>
        <v>27831</v>
      </c>
      <c r="E21" s="936"/>
      <c r="F21" s="1919" t="s">
        <v>1922</v>
      </c>
      <c r="G21" s="144">
        <f ca="1">ROUND(G19*10000/L19,0)</f>
        <v>23658</v>
      </c>
      <c r="H21" s="1920" t="s">
        <v>1921</v>
      </c>
      <c r="I21" s="133"/>
    </row>
    <row r="22" spans="1:36" ht="15" thickBot="1">
      <c r="A22" s="1842" t="s">
        <v>1923</v>
      </c>
      <c r="B22" s="1921"/>
      <c r="C22" s="1922"/>
      <c r="D22" s="729">
        <f ca="1">IF(C19&lt;D19,D19/C19-1,C19/D19-1)</f>
        <v>0.99914117015566295</v>
      </c>
      <c r="E22" s="133"/>
      <c r="F22" s="133"/>
      <c r="G22" s="133"/>
      <c r="H22" s="133"/>
      <c r="I22" s="133"/>
    </row>
    <row r="23" spans="1:36" ht="13.5" thickBot="1">
      <c r="A23" s="1901"/>
      <c r="B23" s="1901"/>
      <c r="C23" s="1901"/>
      <c r="D23" s="1901"/>
      <c r="E23" s="133"/>
      <c r="F23" s="133"/>
      <c r="G23" s="133"/>
      <c r="H23" s="133"/>
      <c r="I23" s="133"/>
    </row>
    <row r="24" spans="1:36" ht="14.25">
      <c r="A24" s="3390" t="s">
        <v>1924</v>
      </c>
      <c r="B24" s="1916" t="s">
        <v>1916</v>
      </c>
      <c r="C24" s="140">
        <f>IF(B30=0,0,D30)</f>
        <v>0</v>
      </c>
      <c r="D24" s="1923"/>
      <c r="E24" s="133"/>
      <c r="F24" s="133"/>
      <c r="G24" s="133"/>
      <c r="H24" s="133"/>
      <c r="I24" s="133"/>
    </row>
    <row r="25" spans="1:36" ht="14.25">
      <c r="A25" s="3391"/>
      <c r="B25" s="1156" t="s">
        <v>1920</v>
      </c>
      <c r="C25" s="145">
        <f>IF(B30=0,0,C30)</f>
        <v>0</v>
      </c>
      <c r="D25" s="1924"/>
      <c r="E25" s="133"/>
      <c r="F25" s="133"/>
      <c r="G25" s="133"/>
      <c r="H25" s="133"/>
      <c r="I25" s="133"/>
    </row>
    <row r="26" spans="1:36" ht="13.5" customHeight="1">
      <c r="A26" s="1925" t="s">
        <v>1925</v>
      </c>
      <c r="B26" s="146" t="s">
        <v>1926</v>
      </c>
      <c r="C26" s="146" t="s">
        <v>1927</v>
      </c>
      <c r="D26" s="147" t="s">
        <v>1928</v>
      </c>
      <c r="E26" s="133"/>
      <c r="F26" s="133"/>
      <c r="G26" s="133"/>
      <c r="H26" s="133"/>
      <c r="I26" s="133"/>
    </row>
    <row r="27" spans="1:36" ht="14.25">
      <c r="A27" s="1925"/>
      <c r="B27" s="146">
        <v>0</v>
      </c>
      <c r="C27" s="146">
        <v>0</v>
      </c>
      <c r="D27" s="147">
        <f>ROUND(C27*B27/10000,0)</f>
        <v>0</v>
      </c>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1929</v>
      </c>
      <c r="B30" s="146"/>
      <c r="C30" s="146"/>
      <c r="D30" s="146"/>
      <c r="E30" s="2489" t="s">
        <v>2814</v>
      </c>
      <c r="F30" s="133"/>
      <c r="G30" s="133"/>
      <c r="H30" s="133"/>
      <c r="I30" s="133"/>
    </row>
    <row r="31" spans="1:36" s="2495" customFormat="1" ht="26.45" customHeight="1" thickTop="1" thickBot="1">
      <c r="A31" s="2490"/>
      <c r="B31" s="2491"/>
      <c r="C31" s="2491"/>
      <c r="D31" s="2491"/>
      <c r="E31" s="2491"/>
      <c r="F31" s="2491"/>
      <c r="G31" s="2491"/>
      <c r="H31" s="2491"/>
      <c r="I31" s="2492" t="s">
        <v>2815</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1930</v>
      </c>
      <c r="B32" s="1928"/>
      <c r="C32" s="148">
        <f ca="1">IF(D32="总价",G19-C24,G20-C25)</f>
        <v>31660</v>
      </c>
      <c r="D32" s="1929" t="s">
        <v>3163</v>
      </c>
      <c r="E32" s="133"/>
      <c r="F32" s="133"/>
      <c r="G32" s="133"/>
      <c r="H32" s="133"/>
      <c r="I32" s="133"/>
    </row>
    <row r="33" spans="1:15" ht="15">
      <c r="A33" s="893" t="s">
        <v>1931</v>
      </c>
      <c r="B33" s="1930"/>
      <c r="C33" s="1931" t="s">
        <v>3172</v>
      </c>
      <c r="D33" s="1932" t="s">
        <v>3169</v>
      </c>
      <c r="E33" s="1933" t="s">
        <v>1932</v>
      </c>
      <c r="F33" s="1934" t="str">
        <f>IF(D32="楼面单价","取值（单价）","取值（总价）")</f>
        <v>取值（总价）</v>
      </c>
      <c r="G33" s="133"/>
      <c r="H33" s="133"/>
      <c r="I33" s="133"/>
    </row>
    <row r="34" spans="1:15" ht="15">
      <c r="A34" s="1935"/>
      <c r="B34" s="1936" t="s">
        <v>1933</v>
      </c>
      <c r="C34" s="152">
        <f ca="1">IF(C33="自定义",F34,C32-C35)</f>
        <v>11493</v>
      </c>
      <c r="D34" s="969">
        <f ca="1">IF(C33="自定义",ROUND(C34/C32,3),IF(C33="收益比率",SUMIF(INDIRECT("'"&amp;D33&amp;"'"&amp;"!b:b"),"土地收益比率",INDIRECT("'"&amp;D33&amp;"'"&amp;"!c:c")),SUMIF(INDIRECT("'"&amp;D33&amp;"'"&amp;"!b:b"),"土地成本比率",INDIRECT("'"&amp;D33&amp;"'"&amp;"!c:c"))))</f>
        <v>0.36299999999999999</v>
      </c>
      <c r="E34" s="1937" t="s">
        <v>1934</v>
      </c>
      <c r="F34" s="1468"/>
      <c r="G34" s="133"/>
      <c r="H34" s="133"/>
      <c r="I34" s="133"/>
    </row>
    <row r="35" spans="1:15" ht="15.75" thickBot="1">
      <c r="A35" s="1938"/>
      <c r="B35" s="1939" t="s">
        <v>1935</v>
      </c>
      <c r="C35" s="1302">
        <f ca="1">IF(C33="自定义",F35,ROUND(C32*D35,0))</f>
        <v>20167</v>
      </c>
      <c r="D35" s="1303">
        <f ca="1">IF(C33="自定义",ROUND(C35/C32,3),IF(C33="收益比率",SUMIF(INDIRECT("'"&amp;D33&amp;"'"&amp;"!b:b"),"建筑物收益比率",INDIRECT("'"&amp;D33&amp;"'"&amp;"!c:c")),SUMIF(INDIRECT("'"&amp;D33&amp;"'"&amp;"!b:b"),"建筑物成本比率",INDIRECT("'"&amp;D33&amp;"'"&amp;"!c:c"))))</f>
        <v>0.63700000000000001</v>
      </c>
      <c r="E35" s="1940" t="s">
        <v>1936</v>
      </c>
      <c r="F35" s="158"/>
      <c r="G35" s="133"/>
      <c r="H35" s="133"/>
      <c r="I35" s="133"/>
    </row>
    <row r="36" spans="1:15" ht="15.75" thickBot="1">
      <c r="A36" s="3367" t="s">
        <v>1937</v>
      </c>
      <c r="B36" s="1941" t="s">
        <v>1938</v>
      </c>
      <c r="C36" s="149"/>
      <c r="D36" s="1942"/>
      <c r="E36" s="1943"/>
      <c r="F36" s="1944"/>
      <c r="G36" s="133"/>
      <c r="H36" s="133"/>
      <c r="I36" s="133"/>
    </row>
    <row r="37" spans="1:15" ht="15.75" thickBot="1">
      <c r="A37" s="3368"/>
      <c r="B37" s="1828" t="s">
        <v>1939</v>
      </c>
      <c r="C37" s="151"/>
      <c r="D37" s="1271"/>
      <c r="E37" s="1271"/>
      <c r="F37" s="1944"/>
      <c r="G37" s="133"/>
      <c r="H37" s="133"/>
      <c r="I37" s="133"/>
    </row>
    <row r="38" spans="1:15" ht="15.75" thickBot="1">
      <c r="A38" s="3369"/>
      <c r="B38" s="1945" t="s">
        <v>1940</v>
      </c>
      <c r="C38" s="682"/>
      <c r="D38" s="1946" t="s">
        <v>1941</v>
      </c>
      <c r="E38" s="1271"/>
      <c r="F38" s="1944"/>
      <c r="G38" s="133"/>
      <c r="H38" s="133"/>
      <c r="I38" s="133"/>
    </row>
    <row r="39" spans="1:15" ht="15">
      <c r="A39" s="1918" t="s">
        <v>1942</v>
      </c>
      <c r="B39" s="1947" t="s">
        <v>1943</v>
      </c>
      <c r="C39" s="1948" t="s">
        <v>1944</v>
      </c>
      <c r="D39" s="1948" t="s">
        <v>1945</v>
      </c>
      <c r="E39" s="1949" t="s">
        <v>1946</v>
      </c>
      <c r="F39" s="1944"/>
      <c r="G39" s="133"/>
      <c r="H39" s="133"/>
      <c r="I39" s="133"/>
    </row>
    <row r="40" spans="1:15" ht="14.25">
      <c r="A40" s="1950" t="s">
        <v>1947</v>
      </c>
      <c r="B40" s="153"/>
      <c r="C40" s="154"/>
      <c r="D40" s="154"/>
      <c r="E40" s="155"/>
      <c r="F40" s="1944"/>
      <c r="G40" s="133"/>
      <c r="H40" s="133"/>
      <c r="I40" s="133"/>
    </row>
    <row r="41" spans="1:15" ht="14.25">
      <c r="A41" s="1950" t="s">
        <v>1948</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1949</v>
      </c>
      <c r="B44" s="1955"/>
      <c r="C44" s="1955"/>
      <c r="D44" s="1956"/>
      <c r="E44" s="1956"/>
      <c r="F44" s="1957"/>
      <c r="G44" s="1957"/>
      <c r="H44" s="1957"/>
      <c r="I44" s="1957"/>
      <c r="J44" s="1958" t="s">
        <v>1950</v>
      </c>
      <c r="K44" s="1959"/>
      <c r="L44" s="1959"/>
      <c r="M44" s="1959"/>
      <c r="N44" s="1959"/>
      <c r="O44" s="1959"/>
    </row>
    <row r="45" spans="1:15" ht="14.25" customHeight="1" thickBot="1">
      <c r="A45" s="3387" t="s">
        <v>1951</v>
      </c>
      <c r="B45" s="3388"/>
      <c r="C45" s="3389"/>
      <c r="D45" s="159">
        <f ca="1">ROUND(H101*F45,0)</f>
        <v>31660</v>
      </c>
      <c r="E45" s="160" t="s">
        <v>1952</v>
      </c>
      <c r="F45" s="161">
        <v>1</v>
      </c>
      <c r="G45" s="162" t="s">
        <v>1953</v>
      </c>
      <c r="H45" s="133"/>
      <c r="I45" s="133"/>
      <c r="J45" s="3304" t="s">
        <v>1954</v>
      </c>
      <c r="K45" s="3304"/>
      <c r="L45" s="3304"/>
      <c r="M45" s="3304"/>
      <c r="N45" s="3304"/>
      <c r="O45" s="3304"/>
    </row>
    <row r="46" spans="1:15" ht="14.25" customHeight="1">
      <c r="A46" s="3384" t="s">
        <v>1955</v>
      </c>
      <c r="B46" s="3385"/>
      <c r="C46" s="3385"/>
      <c r="D46" s="3385"/>
      <c r="E46" s="3385"/>
      <c r="F46" s="3385"/>
      <c r="G46" s="3386"/>
      <c r="H46" s="1960"/>
      <c r="I46" s="163"/>
      <c r="J46" s="2717">
        <v>1</v>
      </c>
      <c r="K46" s="3305" t="s">
        <v>1956</v>
      </c>
      <c r="L46" s="3305"/>
      <c r="M46" s="3306"/>
      <c r="N46" s="3306"/>
      <c r="O46" s="3306"/>
    </row>
    <row r="47" spans="1:15" ht="12" customHeight="1">
      <c r="A47" s="164" t="s">
        <v>1957</v>
      </c>
      <c r="B47" s="165"/>
      <c r="C47" s="166"/>
      <c r="D47" s="1217" t="s">
        <v>1958</v>
      </c>
      <c r="E47" s="307" t="s">
        <v>1959</v>
      </c>
      <c r="F47" s="167" t="s">
        <v>1960</v>
      </c>
      <c r="G47" s="2740" t="s">
        <v>1961</v>
      </c>
      <c r="H47" s="2741"/>
      <c r="I47" s="163"/>
      <c r="J47" s="2717">
        <v>2</v>
      </c>
      <c r="K47" s="3305" t="s">
        <v>1962</v>
      </c>
      <c r="L47" s="3305"/>
      <c r="M47" s="3307">
        <f>'数据-取费表'!B2</f>
        <v>44642</v>
      </c>
      <c r="N47" s="3307"/>
      <c r="O47" s="3307"/>
    </row>
    <row r="48" spans="1:15" ht="25.5">
      <c r="A48" s="3370" t="s">
        <v>1963</v>
      </c>
      <c r="B48" s="3371"/>
      <c r="C48" s="3371"/>
      <c r="D48" s="2515" t="b">
        <f>IF(H48="情况1",0,IF(H48="情况2",D52,IF(H48="情况3",D53,IF(H48="情况4",D54))))</f>
        <v>0</v>
      </c>
      <c r="E48" s="2525" t="str">
        <f>IF(H48="情况4","(销售额-原购置价)×税（费）率","销售额×税（费）率")</f>
        <v>销售额×税（费）率</v>
      </c>
      <c r="F48" s="2742">
        <f>IF(H48="情况1","免征",'数据-取费表'!B41)</f>
        <v>5.6000000000000001E-2</v>
      </c>
      <c r="G48" s="2743" t="s">
        <v>1964</v>
      </c>
      <c r="H48" s="2744"/>
      <c r="I48" s="1960"/>
      <c r="J48" s="2717">
        <v>3</v>
      </c>
      <c r="K48" s="3305" t="s">
        <v>1965</v>
      </c>
      <c r="L48" s="3305"/>
      <c r="M48" s="3308">
        <f ca="1">H101</f>
        <v>31660</v>
      </c>
      <c r="N48" s="3308"/>
      <c r="O48" s="3308"/>
    </row>
    <row r="49" spans="1:35" ht="25.5" customHeight="1">
      <c r="A49" s="2524" t="s">
        <v>1966</v>
      </c>
      <c r="B49" s="3353" t="s">
        <v>1967</v>
      </c>
      <c r="C49" s="3353"/>
      <c r="D49" s="1743">
        <v>0</v>
      </c>
      <c r="E49" s="329" t="s">
        <v>1968</v>
      </c>
      <c r="F49" s="2618" t="s">
        <v>34</v>
      </c>
      <c r="G49" s="3336"/>
      <c r="H49" s="2496" t="s">
        <v>2816</v>
      </c>
      <c r="I49" s="2497"/>
      <c r="J49" s="2717">
        <v>4</v>
      </c>
      <c r="K49" s="3305" t="str">
        <f>IF(项目基本情况!E8="房地产抵押价值","房地产抵押价值","抵押担保权已注销时的房地产抵押价值")</f>
        <v>房地产抵押价值</v>
      </c>
      <c r="L49" s="3305"/>
      <c r="M49" s="3308">
        <f ca="1">IF(项目基本情况!E8="房地产抵押价值",H107,H109)</f>
        <v>31660</v>
      </c>
      <c r="N49" s="3308"/>
      <c r="O49" s="3308"/>
    </row>
    <row r="50" spans="1:35" ht="25.5" customHeight="1">
      <c r="A50" s="2745"/>
      <c r="B50" s="3353" t="s">
        <v>1969</v>
      </c>
      <c r="C50" s="3353"/>
      <c r="D50" s="2746"/>
      <c r="E50" s="337"/>
      <c r="F50" s="2618"/>
      <c r="G50" s="3337"/>
      <c r="H50" s="2498" t="s">
        <v>2817</v>
      </c>
      <c r="I50" s="2497"/>
      <c r="J50" s="3304" t="s">
        <v>1970</v>
      </c>
      <c r="K50" s="3304"/>
      <c r="L50" s="3304"/>
      <c r="M50" s="3304"/>
      <c r="N50" s="3304"/>
      <c r="O50" s="3304"/>
    </row>
    <row r="51" spans="1:35" ht="20.45" customHeight="1">
      <c r="A51" s="2747"/>
      <c r="B51" s="3353" t="s">
        <v>1971</v>
      </c>
      <c r="C51" s="3353"/>
      <c r="D51" s="1217"/>
      <c r="E51" s="332"/>
      <c r="F51" s="2618"/>
      <c r="G51" s="3338"/>
      <c r="H51" s="2498" t="s">
        <v>2818</v>
      </c>
      <c r="I51" s="2497"/>
      <c r="J51" s="2718" t="s">
        <v>1972</v>
      </c>
      <c r="K51" s="3305" t="s">
        <v>1973</v>
      </c>
      <c r="L51" s="3305"/>
      <c r="M51" s="2718" t="s">
        <v>1974</v>
      </c>
      <c r="N51" s="2718" t="s">
        <v>1975</v>
      </c>
      <c r="O51" s="2718" t="s">
        <v>1976</v>
      </c>
    </row>
    <row r="52" spans="1:35" ht="24" customHeight="1">
      <c r="A52" s="2526" t="s">
        <v>1977</v>
      </c>
      <c r="B52" s="3353" t="s">
        <v>1978</v>
      </c>
      <c r="C52" s="3353"/>
      <c r="D52" s="1217">
        <f ca="1">ROUND(D45*'数据-取费表'!B41/(1+'数据-取费表'!C42),0)</f>
        <v>1689</v>
      </c>
      <c r="E52" s="2525" t="s">
        <v>1979</v>
      </c>
      <c r="F52" s="2748">
        <f>'数据-取费表'!B41</f>
        <v>5.6000000000000001E-2</v>
      </c>
      <c r="G52" s="2749"/>
      <c r="H52" s="2738"/>
      <c r="I52" s="1961"/>
      <c r="J52" s="2717">
        <v>1</v>
      </c>
      <c r="K52" s="3330" t="s">
        <v>1980</v>
      </c>
      <c r="L52" s="3330"/>
      <c r="M52" s="2719" t="b">
        <f>D48</f>
        <v>0</v>
      </c>
      <c r="N52" s="2717" t="str">
        <f>E48</f>
        <v>销售额×税（费）率</v>
      </c>
      <c r="O52" s="2720">
        <f>F48</f>
        <v>5.6000000000000001E-2</v>
      </c>
    </row>
    <row r="53" spans="1:35" ht="12" customHeight="1">
      <c r="A53" s="2526" t="s">
        <v>1981</v>
      </c>
      <c r="B53" s="3354" t="s">
        <v>2977</v>
      </c>
      <c r="C53" s="3355"/>
      <c r="D53" s="1217">
        <f ca="1">ROUND(D45*'数据-取费表'!B41/(1+'数据-取费表'!C42),0)</f>
        <v>1689</v>
      </c>
      <c r="E53" s="2525" t="s">
        <v>1979</v>
      </c>
      <c r="F53" s="2748">
        <f>'数据-取费表'!B41</f>
        <v>5.6000000000000001E-2</v>
      </c>
      <c r="G53" s="2749"/>
      <c r="H53" s="2738"/>
      <c r="I53" s="1961"/>
      <c r="J53" s="2717">
        <v>2</v>
      </c>
      <c r="K53" s="3330" t="s">
        <v>1982</v>
      </c>
      <c r="L53" s="3330"/>
      <c r="M53" s="2719">
        <f t="shared" ref="M53:O54" ca="1" si="0">D55</f>
        <v>16</v>
      </c>
      <c r="N53" s="2717" t="str">
        <f t="shared" si="0"/>
        <v>销售额×税（费）率</v>
      </c>
      <c r="O53" s="2720" t="str">
        <f t="shared" si="0"/>
        <v>免征</v>
      </c>
    </row>
    <row r="54" spans="1:35" ht="12" customHeight="1">
      <c r="A54" s="2526" t="s">
        <v>1983</v>
      </c>
      <c r="B54" s="3354" t="s">
        <v>2978</v>
      </c>
      <c r="C54" s="3355"/>
      <c r="D54" s="1217">
        <f ca="1">C68</f>
        <v>1689</v>
      </c>
      <c r="E54" s="332" t="s">
        <v>1984</v>
      </c>
      <c r="F54" s="2748">
        <f>'数据-取费表'!B41</f>
        <v>5.6000000000000001E-2</v>
      </c>
      <c r="G54" s="2749"/>
      <c r="H54" s="2750"/>
      <c r="I54" s="1961"/>
      <c r="J54" s="2717">
        <v>3</v>
      </c>
      <c r="K54" s="3330" t="s">
        <v>1985</v>
      </c>
      <c r="L54" s="3330"/>
      <c r="M54" s="2719">
        <f t="shared" ca="1" si="0"/>
        <v>17919</v>
      </c>
      <c r="N54" s="2717" t="str">
        <f t="shared" si="0"/>
        <v>增值额×税（费）率</v>
      </c>
      <c r="O54" s="2721" t="str">
        <f t="shared" si="0"/>
        <v>免征</v>
      </c>
    </row>
    <row r="55" spans="1:35" ht="24" customHeight="1">
      <c r="A55" s="3393" t="s">
        <v>1986</v>
      </c>
      <c r="B55" s="3371"/>
      <c r="C55" s="3371"/>
      <c r="D55" s="2515">
        <f ca="1">IF(H55="个人住宅",0,ROUND(D45*I55,0))</f>
        <v>16</v>
      </c>
      <c r="E55" s="2525" t="s">
        <v>1987</v>
      </c>
      <c r="F55" s="2748" t="str">
        <f>IF(H55="正常",I55,"免征")</f>
        <v>免征</v>
      </c>
      <c r="G55" s="2749"/>
      <c r="H55" s="2744"/>
      <c r="I55" s="169">
        <f>'数据-取费表'!B49</f>
        <v>5.0000000000000001E-4</v>
      </c>
      <c r="J55" s="2717">
        <f>IF(H59="非个人房产","",4)</f>
        <v>4</v>
      </c>
      <c r="K55" s="3330" t="str">
        <f>IF(H59="非个人房产","——","个人所得税")</f>
        <v>个人所得税</v>
      </c>
      <c r="L55" s="3330"/>
      <c r="M55" s="2722">
        <f ca="1">D59</f>
        <v>302</v>
      </c>
      <c r="N55" s="2196" t="str">
        <f>E59</f>
        <v>差额计税</v>
      </c>
      <c r="O55" s="2723">
        <f>F59</f>
        <v>0.01</v>
      </c>
    </row>
    <row r="56" spans="1:35" ht="24.75">
      <c r="A56" s="3393" t="s">
        <v>1988</v>
      </c>
      <c r="B56" s="3371"/>
      <c r="C56" s="3371"/>
      <c r="D56" s="2515">
        <f ca="1">IF(H56="个人住宅",D57,D58)</f>
        <v>17919</v>
      </c>
      <c r="E56" s="2525" t="s">
        <v>1989</v>
      </c>
      <c r="F56" s="2748" t="str">
        <f>IF(H56="正常",F58,"免征")</f>
        <v>免征</v>
      </c>
      <c r="G56" s="2751" t="s">
        <v>1990</v>
      </c>
      <c r="H56" s="2752"/>
      <c r="I56" s="1962"/>
      <c r="J56" s="2717" t="str">
        <f>IF(项目基本情况!K6="上海银行",IF(J55="",4,J55+1),"")</f>
        <v/>
      </c>
      <c r="K56" s="3311" t="str">
        <f>IF(项目基本情况!K6="上海银行","其他处置费用","")</f>
        <v/>
      </c>
      <c r="L56" s="3312"/>
      <c r="M56" s="2719" t="str">
        <f>IF(项目基本情况!K6="上海银行",M69,"")</f>
        <v/>
      </c>
      <c r="N56" s="3311" t="str">
        <f>IF(项目基本情况!K6="上海银行","包含处置中涉及的律师、诉讼、拍卖、评估等费用","")</f>
        <v/>
      </c>
      <c r="O56" s="3314"/>
    </row>
    <row r="57" spans="1:35" ht="12.75">
      <c r="A57" s="2526" t="s">
        <v>1966</v>
      </c>
      <c r="B57" s="3354" t="s">
        <v>1991</v>
      </c>
      <c r="C57" s="3355"/>
      <c r="D57" s="1743">
        <v>0</v>
      </c>
      <c r="E57" s="329" t="s">
        <v>1968</v>
      </c>
      <c r="F57" s="307"/>
      <c r="G57" s="2749"/>
      <c r="H57" s="2753"/>
      <c r="I57" s="1962"/>
      <c r="J57" s="3330">
        <f>IF(AND(J55="",J56=""),4,IF(项目基本情况!K6="上海银行",结果表!J56+1,结果表!J55+1))</f>
        <v>5</v>
      </c>
      <c r="K57" s="3330" t="s">
        <v>1992</v>
      </c>
      <c r="L57" s="2724" t="s">
        <v>1993</v>
      </c>
      <c r="M57" s="2725"/>
      <c r="N57" s="2726">
        <f ca="1">SUMIF(M52:M56,"&lt;9e307")</f>
        <v>18237</v>
      </c>
      <c r="O57" s="2727"/>
      <c r="P57" s="2887">
        <f ca="1">N57/M49</f>
        <v>0.57602653190145292</v>
      </c>
    </row>
    <row r="58" spans="1:35" ht="24.75">
      <c r="A58" s="2526" t="s">
        <v>1977</v>
      </c>
      <c r="B58" s="3354" t="s">
        <v>1994</v>
      </c>
      <c r="C58" s="3353"/>
      <c r="D58" s="2515">
        <f ca="1">IF(H58="转让取得",C81,C97)</f>
        <v>17919</v>
      </c>
      <c r="E58" s="2525" t="s">
        <v>1989</v>
      </c>
      <c r="F58" s="307" t="s">
        <v>34</v>
      </c>
      <c r="G58" s="2749"/>
      <c r="H58" s="2752"/>
      <c r="I58" s="1962"/>
      <c r="J58" s="3330"/>
      <c r="K58" s="3330"/>
      <c r="L58" s="2724" t="s">
        <v>1995</v>
      </c>
      <c r="M58" s="2728"/>
      <c r="N58" s="2729" t="str">
        <f ca="1">NUMBERSTRING(INT(N57*10000),2)&amp;"元整"</f>
        <v>壹亿捌仟贰佰叁拾柒万元整</v>
      </c>
      <c r="O58" s="2730"/>
    </row>
    <row r="59" spans="1:35" ht="24.75" thickBot="1">
      <c r="A59" s="3334" t="s">
        <v>1996</v>
      </c>
      <c r="B59" s="3335"/>
      <c r="C59" s="3335"/>
      <c r="D59" s="2754">
        <f ca="1">IF(H59="非个人房产","——",IF(H59="个人住宅（满五唯一有凭证）",0,IF(H59="个人其他（无凭证）",ROUND(D45*F59,0),ROUND(C67*F59,0))))</f>
        <v>302</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1990</v>
      </c>
      <c r="H59" s="2500"/>
      <c r="I59" s="2499" t="s">
        <v>2819</v>
      </c>
      <c r="J59" s="3332">
        <f>J57+1</f>
        <v>6</v>
      </c>
      <c r="K59" s="3330" t="s">
        <v>1997</v>
      </c>
      <c r="L59" s="2717" t="s">
        <v>1993</v>
      </c>
      <c r="M59" s="2731"/>
      <c r="N59" s="2732">
        <f ca="1">M49-N57</f>
        <v>13423</v>
      </c>
      <c r="O59" s="2733"/>
    </row>
    <row r="60" spans="1:35" ht="12" customHeight="1">
      <c r="A60" s="1963"/>
      <c r="B60" s="1901"/>
      <c r="C60" s="1901"/>
      <c r="D60" s="1901"/>
      <c r="E60" s="1731"/>
      <c r="F60" s="1962"/>
      <c r="G60" s="1962"/>
      <c r="H60" s="1964"/>
      <c r="I60" s="133"/>
      <c r="J60" s="3333"/>
      <c r="K60" s="3330"/>
      <c r="L60" s="2724" t="s">
        <v>1995</v>
      </c>
      <c r="M60" s="2728"/>
      <c r="N60" s="2729" t="str">
        <f ca="1">NUMBERSTRING(INT(N59*10000),2)&amp;"元整"</f>
        <v>壹亿叁仟肆佰贰拾叁万元整</v>
      </c>
      <c r="O60" s="2730"/>
    </row>
    <row r="61" spans="1:35" ht="13.5" thickBot="1">
      <c r="A61" s="3392" t="s">
        <v>1998</v>
      </c>
      <c r="B61" s="3392"/>
      <c r="C61" s="3392"/>
      <c r="D61" s="3392"/>
      <c r="E61" s="3392"/>
      <c r="F61" s="1962"/>
      <c r="G61" s="1962"/>
      <c r="H61" s="1964"/>
      <c r="I61" s="133"/>
      <c r="J61" s="2717">
        <f>J59+1</f>
        <v>7</v>
      </c>
      <c r="K61" s="3330" t="s">
        <v>1999</v>
      </c>
      <c r="L61" s="3330"/>
      <c r="M61" s="2734"/>
      <c r="N61" s="2735">
        <f ca="1">ROUND(N59*10000/'数据-汇总表'!E3,0)</f>
        <v>5412</v>
      </c>
      <c r="O61" s="2736"/>
    </row>
    <row r="62" spans="1:35" ht="12.75">
      <c r="A62" s="3349" t="s">
        <v>2000</v>
      </c>
      <c r="B62" s="3350"/>
      <c r="C62" s="2177"/>
      <c r="D62" s="2177" t="s">
        <v>2001</v>
      </c>
      <c r="E62" s="170" t="s">
        <v>2002</v>
      </c>
      <c r="F62" s="1962"/>
      <c r="G62" s="1962"/>
      <c r="H62" s="1964"/>
      <c r="I62" s="133"/>
    </row>
    <row r="63" spans="1:35" ht="12.75">
      <c r="A63" s="177" t="s">
        <v>775</v>
      </c>
      <c r="B63" s="171" t="s">
        <v>2003</v>
      </c>
      <c r="C63" s="2758">
        <f ca="1">ROUND((C64+C65)/(1+'数据-取费表'!C42),0)</f>
        <v>30152</v>
      </c>
      <c r="D63" s="171"/>
      <c r="E63" s="172"/>
      <c r="F63" s="1962"/>
      <c r="G63" s="1962"/>
      <c r="H63" s="1964"/>
      <c r="I63" s="133"/>
      <c r="J63" s="3313" t="s">
        <v>2004</v>
      </c>
      <c r="K63" s="1470" t="s">
        <v>2005</v>
      </c>
      <c r="L63" s="1470">
        <f ca="1">IF(M49&gt;10000,M49*0.5%,IF(AND(M49&gt;1000,M49&lt;=10000),M49*1%,IF(AND(M49&gt;100,M49&lt;=1000),M49*3%,IF(AND(M49&gt;10,M49&lt;=100),M49*5%,M49*8%))))</f>
        <v>158.30000000000001</v>
      </c>
      <c r="M63" s="307">
        <f ca="1">ROUND(L63,1)</f>
        <v>158.30000000000001</v>
      </c>
      <c r="N63" s="2737"/>
      <c r="Z63" s="1906"/>
      <c r="AI63" s="1907"/>
    </row>
    <row r="64" spans="1:35" ht="14.25" customHeight="1">
      <c r="A64" s="173" t="s">
        <v>770</v>
      </c>
      <c r="B64" s="174" t="s">
        <v>2006</v>
      </c>
      <c r="C64" s="2759">
        <f ca="1">D45</f>
        <v>31660</v>
      </c>
      <c r="D64" s="174" t="s">
        <v>32</v>
      </c>
      <c r="E64" s="176"/>
      <c r="F64" s="1962"/>
      <c r="G64" s="1962"/>
      <c r="H64" s="1964"/>
      <c r="I64" s="133"/>
      <c r="J64" s="3313"/>
      <c r="K64" s="1470" t="s">
        <v>2007</v>
      </c>
      <c r="L64" s="1470">
        <f ca="1">IF(M49&gt;2000,M49*0.5%,IF(AND(M49&gt;1000,M49&lt;=2000),M49*0.6%,IF(AND(M49&gt;500,M49&lt;=1000),M49*0.7%,IF(AND(M49&gt;200,M49&lt;=500),M49*0.8%,IF(AND(M49&gt;100,M49&lt;=200),M49*0.9%,IF(AND(M49&gt;50,M49&lt;=100),M49*1%,IF(AND(M49&gt;20,M49&lt;=50),M49*1.5%,IF(AND(M49&gt;10,M49&lt;=20),M49*2%,IF(AND(M49&gt;1,M49&lt;=10),M49*2.5%)))))))))</f>
        <v>158.30000000000001</v>
      </c>
      <c r="M64" s="307">
        <f t="shared" ref="M64:M65" ca="1" si="1">ROUND(L64,1)</f>
        <v>158.30000000000001</v>
      </c>
      <c r="N64" s="2738" t="s">
        <v>2008</v>
      </c>
      <c r="Z64" s="1906"/>
      <c r="AI64" s="1907"/>
    </row>
    <row r="65" spans="1:35" ht="14.25" customHeight="1">
      <c r="A65" s="173" t="s">
        <v>771</v>
      </c>
      <c r="B65" s="174" t="s">
        <v>2009</v>
      </c>
      <c r="C65" s="2760"/>
      <c r="D65" s="174"/>
      <c r="E65" s="176"/>
      <c r="F65" s="1962"/>
      <c r="G65" s="1962"/>
      <c r="H65" s="1964"/>
      <c r="I65" s="133"/>
      <c r="J65" s="3313"/>
      <c r="K65" s="1470" t="s">
        <v>2010</v>
      </c>
      <c r="L65" s="1470">
        <f ca="1">IF(M49&gt;1000,M49*0.1%,IF(AND(M49&gt;500,M49&lt;=1000),M49*0.5%,IF(AND(M49&gt;50,M49&lt;=500),M49*1%,IF(AND(M49&gt;1,M49&lt;=50),M49*1.5%))))</f>
        <v>31.66</v>
      </c>
      <c r="M65" s="307">
        <f t="shared" ca="1" si="1"/>
        <v>31.7</v>
      </c>
      <c r="N65" s="2738" t="s">
        <v>2008</v>
      </c>
      <c r="Z65" s="1906"/>
      <c r="AI65" s="1907"/>
    </row>
    <row r="66" spans="1:35" ht="14.25" customHeight="1">
      <c r="A66" s="177" t="s">
        <v>772</v>
      </c>
      <c r="B66" s="178" t="s">
        <v>2011</v>
      </c>
      <c r="C66" s="2761"/>
      <c r="D66" s="178" t="s">
        <v>32</v>
      </c>
      <c r="E66" s="1477" t="s">
        <v>1277</v>
      </c>
      <c r="F66" s="1962"/>
      <c r="G66" s="1962"/>
      <c r="H66" s="1964"/>
      <c r="I66" s="133"/>
      <c r="J66" s="3313"/>
      <c r="K66" s="1470" t="s">
        <v>2012</v>
      </c>
      <c r="L66" s="1470">
        <f ca="1">M49*0.5%</f>
        <v>158.30000000000001</v>
      </c>
      <c r="M66" s="307">
        <f ca="1">IF(L66&gt;0.5,0.5,ROUND(L66,0))</f>
        <v>0.5</v>
      </c>
      <c r="N66" s="2738" t="s">
        <v>2013</v>
      </c>
      <c r="Z66" s="1906"/>
      <c r="AI66" s="1907"/>
    </row>
    <row r="67" spans="1:35" ht="14.25" customHeight="1">
      <c r="A67" s="177" t="s">
        <v>773</v>
      </c>
      <c r="B67" s="178" t="s">
        <v>2014</v>
      </c>
      <c r="C67" s="2762">
        <f ca="1">C63-C66</f>
        <v>30152</v>
      </c>
      <c r="D67" s="174" t="s">
        <v>32</v>
      </c>
      <c r="E67" s="176"/>
      <c r="F67" s="1962"/>
      <c r="G67" s="1962"/>
      <c r="H67" s="1964"/>
      <c r="I67" s="133"/>
      <c r="J67" s="3313"/>
      <c r="K67" s="1470" t="s">
        <v>2015</v>
      </c>
      <c r="L67" s="1470">
        <f ca="1">IF(M49&gt;=10000,(8.25+(M49-10000)*0.01%),IF(AND(M49&gt;=8000,M49&lt;10000),(7.85+(M49-8000)*0.02%),IF(AND(M49&gt;=5000,M49&lt;8000),(6.65+(M49-5000)*0.04%),IF(AND(M49&gt;=2000,M49&lt;5000),(4.25+(PM49-2000)*0.08%),IF(AND(M49&gt;=1000,M49&lt;2000),(2.75+(M49-1000)*0.15%),IF(AND(M49&gt;=100,M49&lt;1000),(0.5+(M49-100)*0.25%),IF(AND(M49&gt;0,M49&lt;100),M49*0.5%)))))))</f>
        <v>10.416</v>
      </c>
      <c r="M67" s="307">
        <f ca="1">ROUND(L67*0.9,1)</f>
        <v>9.4</v>
      </c>
      <c r="N67" s="2737"/>
      <c r="Z67" s="1906"/>
      <c r="AI67" s="1907"/>
    </row>
    <row r="68" spans="1:35" ht="14.25" customHeight="1" thickBot="1">
      <c r="A68" s="180" t="s">
        <v>774</v>
      </c>
      <c r="B68" s="181" t="s">
        <v>2016</v>
      </c>
      <c r="C68" s="2763">
        <f ca="1">IF(C67&lt;=0,0,ROUND(C67*D68,0))</f>
        <v>1689</v>
      </c>
      <c r="D68" s="2764">
        <f>'数据-取费表'!B41</f>
        <v>5.6000000000000001E-2</v>
      </c>
      <c r="E68" s="183"/>
      <c r="F68" s="1962"/>
      <c r="G68" s="1962"/>
      <c r="H68" s="1964"/>
      <c r="I68" s="133"/>
      <c r="J68" s="3313"/>
      <c r="K68" s="1470" t="s">
        <v>2017</v>
      </c>
      <c r="L68" s="1470">
        <f ca="1">IF(M49&gt;10000,M49*0.5%,IF(AND(M49&gt;5000,M49&lt;=10000),M49*1%,IF(AND(M49&gt;1000,M49&lt;=5000),M49*2%,IF(AND(M49&gt;200,M49&lt;=1000),M49*3%,M49*5%))))</f>
        <v>158.30000000000001</v>
      </c>
      <c r="M68" s="307">
        <f ca="1">ROUND(L68,1)</f>
        <v>158.30000000000001</v>
      </c>
      <c r="N68" s="2737"/>
      <c r="Z68" s="1906"/>
      <c r="AI68" s="1907"/>
    </row>
    <row r="69" spans="1:35" s="1926" customFormat="1" ht="16.5" customHeight="1">
      <c r="A69" s="1965"/>
      <c r="B69" s="1966"/>
      <c r="C69" s="1967"/>
      <c r="D69" s="1968"/>
      <c r="E69" s="1969"/>
      <c r="F69" s="1731"/>
      <c r="G69" s="1731"/>
      <c r="H69" s="1730"/>
      <c r="I69" s="1901"/>
      <c r="J69" s="3313"/>
      <c r="K69" s="1470" t="s">
        <v>2018</v>
      </c>
      <c r="L69" s="1470"/>
      <c r="M69" s="307">
        <f ca="1">ROUND(SUM(M63:M68),0)</f>
        <v>517</v>
      </c>
      <c r="N69" s="2739">
        <f ca="1">M69/M49</f>
        <v>1.6329753632343652E-2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357" t="s">
        <v>2019</v>
      </c>
      <c r="B70" s="3358"/>
      <c r="C70" s="3358"/>
      <c r="D70" s="3358"/>
      <c r="E70" s="3358"/>
      <c r="F70" s="3358"/>
      <c r="G70" s="3358"/>
      <c r="H70" s="3358"/>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49" t="s">
        <v>2000</v>
      </c>
      <c r="B71" s="3350"/>
      <c r="C71" s="2177"/>
      <c r="D71" s="2177" t="s">
        <v>2001</v>
      </c>
      <c r="E71" s="184" t="s">
        <v>2002</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2020</v>
      </c>
      <c r="C72" s="2762">
        <f ca="1">ROUND(D45/(1+'数据-取费表'!C42),0)</f>
        <v>30152</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2021</v>
      </c>
      <c r="C73" s="2762">
        <f ca="1">C74+C78</f>
        <v>181</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2022</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2023</v>
      </c>
      <c r="C75" s="2765"/>
      <c r="D75" s="174" t="s">
        <v>32</v>
      </c>
      <c r="E75" s="189" t="s">
        <v>2024</v>
      </c>
      <c r="F75" s="2766"/>
      <c r="G75" s="189" t="s">
        <v>2025</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2026</v>
      </c>
      <c r="C76" s="174">
        <f>IF(F75="购房发票",ROUND(C75*H75*D76,0),0)</f>
        <v>0</v>
      </c>
      <c r="D76" s="2768">
        <v>0.05</v>
      </c>
      <c r="E76" s="3354" t="s">
        <v>2027</v>
      </c>
      <c r="F76" s="3353"/>
      <c r="G76" s="3353"/>
      <c r="H76" s="3356"/>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2028</v>
      </c>
      <c r="C77" s="174">
        <f>ROUND(IF(G77="个人住宅",0,IF(G77="2016年5月1日前购买",C75*D77,C75*D77/(1+'数据-取费表'!C42))),0)</f>
        <v>0</v>
      </c>
      <c r="D77" s="2769">
        <f>'数据-取费表'!B48+'数据-取费表'!B49</f>
        <v>3.0499999999999999E-2</v>
      </c>
      <c r="E77" s="2515" t="s">
        <v>2029</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2030</v>
      </c>
      <c r="C78" s="2770">
        <f ca="1">ROUND(D45*D78/(1+'数据-取费表'!C42),0)</f>
        <v>181</v>
      </c>
      <c r="D78" s="2771">
        <f>'数据-取费表'!B43</f>
        <v>6.000000000000001E-3</v>
      </c>
      <c r="E78" s="3346" t="s">
        <v>2031</v>
      </c>
      <c r="F78" s="3347"/>
      <c r="G78" s="3347"/>
      <c r="H78" s="3348"/>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2032</v>
      </c>
      <c r="C79" s="2762">
        <f ca="1">C72-C73</f>
        <v>29971</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2033</v>
      </c>
      <c r="C80" s="2772">
        <f ca="1">IF(C79&lt;=0,0,C79/C73)</f>
        <v>165.58563535911603</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2034</v>
      </c>
      <c r="C81" s="2773">
        <f ca="1">ROUND(IF(C79&lt;=0,0,IF(C80&gt;=200%,C79*60%-C73*35%,IF(C80&gt;=100%,C79*50%-C73*15%,IF(C80&gt;=50%,C79*40%-C73*5%,IF(C80&lt;50%,C79*30%,0))))),0)</f>
        <v>17919</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57" t="s">
        <v>2035</v>
      </c>
      <c r="B83" s="3358"/>
      <c r="C83" s="3358"/>
      <c r="D83" s="3358"/>
      <c r="E83" s="3358"/>
      <c r="F83" s="3358"/>
      <c r="G83" s="3358"/>
      <c r="H83" s="3358"/>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49" t="s">
        <v>2000</v>
      </c>
      <c r="B84" s="3350"/>
      <c r="C84" s="2177"/>
      <c r="D84" s="2177" t="s">
        <v>2001</v>
      </c>
      <c r="E84" s="184" t="s">
        <v>2002</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2020</v>
      </c>
      <c r="C85" s="2762">
        <f ca="1">ROUND(D45/(1+'数据-取费表'!C42),0)</f>
        <v>30152</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2021</v>
      </c>
      <c r="C86" s="2762">
        <f ca="1">IF(H88="仅含出让金",C87+C90+C91+C92+C93+C94,C87+C91+C92+C93+C94)</f>
        <v>181</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2036</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2037</v>
      </c>
      <c r="C88" s="2776"/>
      <c r="D88" s="2771"/>
      <c r="E88" s="198" t="s">
        <v>2038</v>
      </c>
      <c r="F88" s="2518"/>
      <c r="G88" s="199" t="s">
        <v>2039</v>
      </c>
      <c r="H88" s="1978"/>
      <c r="I88" s="1975"/>
      <c r="J88" s="2715" t="s">
        <v>2974</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2028</v>
      </c>
      <c r="C89" s="2770">
        <f>ROUND(C88*D89,0)</f>
        <v>0</v>
      </c>
      <c r="D89" s="2771">
        <f>'数据-取费表'!B48+'数据-取费表'!B49</f>
        <v>3.0499999999999999E-2</v>
      </c>
      <c r="E89" s="198" t="s">
        <v>2040</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2041</v>
      </c>
      <c r="C90" s="2776"/>
      <c r="D90" s="2771"/>
      <c r="E90" s="198" t="str">
        <f>IF(H88="-","土地取得成本中已包含该笔费用"," ")</f>
        <v xml:space="preserve"> </v>
      </c>
      <c r="F90" s="2518"/>
      <c r="G90" s="3315" t="s">
        <v>2811</v>
      </c>
      <c r="H90" s="3316"/>
      <c r="I90" s="1975"/>
      <c r="J90" s="2715" t="s">
        <v>2975</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2042</v>
      </c>
      <c r="B91" s="174" t="s">
        <v>2043</v>
      </c>
      <c r="C91" s="2770">
        <f>IF(H91="——",成本法!C33,I91)</f>
        <v>0</v>
      </c>
      <c r="D91" s="2771"/>
      <c r="E91" s="3346" t="s">
        <v>2044</v>
      </c>
      <c r="F91" s="3347"/>
      <c r="G91" s="3347"/>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2045</v>
      </c>
      <c r="B92" s="174" t="s">
        <v>2046</v>
      </c>
      <c r="C92" s="2770">
        <f>ROUND((C87+C90+C91)*D92,0)</f>
        <v>0</v>
      </c>
      <c r="D92" s="2777"/>
      <c r="E92" s="3346" t="s">
        <v>2047</v>
      </c>
      <c r="F92" s="3347"/>
      <c r="G92" s="3347"/>
      <c r="H92" s="3348"/>
      <c r="I92" s="1975"/>
      <c r="J92" s="2716" t="s">
        <v>2976</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2048</v>
      </c>
      <c r="B93" s="174" t="s">
        <v>2030</v>
      </c>
      <c r="C93" s="2770">
        <f ca="1">ROUND(D45*D93/(1+'数据-取费表'!C42),0)</f>
        <v>181</v>
      </c>
      <c r="D93" s="2771">
        <f>'数据-取费表'!B43</f>
        <v>6.000000000000001E-3</v>
      </c>
      <c r="E93" s="3346" t="s">
        <v>2031</v>
      </c>
      <c r="F93" s="3347"/>
      <c r="G93" s="3347"/>
      <c r="H93" s="3348"/>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2049</v>
      </c>
      <c r="B94" s="174" t="s">
        <v>2050</v>
      </c>
      <c r="C94" s="2776">
        <f>ROUND((C87+C90+C91)*D94,0)</f>
        <v>0</v>
      </c>
      <c r="D94" s="2771">
        <v>0.2</v>
      </c>
      <c r="E94" s="3394" t="s">
        <v>2051</v>
      </c>
      <c r="F94" s="3395"/>
      <c r="G94" s="3395"/>
      <c r="H94" s="3396"/>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2032</v>
      </c>
      <c r="C95" s="2762">
        <f ca="1">ROUND(C85-C86,0)</f>
        <v>29971</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2033</v>
      </c>
      <c r="C96" s="2772">
        <f ca="1">IF(C95&lt;=0,0,C95/C86)</f>
        <v>165.58563535911603</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2034</v>
      </c>
      <c r="C97" s="2773">
        <f ca="1">ROUND(IF(C95&lt;=0,0,IF(C96&gt;=200%,C95*60%-C86*35%,IF(C96&gt;=100%,C95*50%-C86*15%,IF(C96&gt;=50%,C95*40%-C86*5%,IF(C96&lt;50%,C95*30%,0))))),0)</f>
        <v>17919</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2052</v>
      </c>
      <c r="B99" s="1901"/>
      <c r="C99" s="1901"/>
      <c r="D99" s="1901"/>
      <c r="E99" s="1731"/>
      <c r="F99" s="1731"/>
      <c r="G99" s="1731"/>
      <c r="H99" s="1730"/>
      <c r="I99" s="133"/>
    </row>
    <row r="100" spans="1:35" ht="18.75" customHeight="1">
      <c r="A100" s="3296" t="s">
        <v>2053</v>
      </c>
      <c r="B100" s="3297"/>
      <c r="C100" s="3297"/>
      <c r="D100" s="3331"/>
      <c r="E100" s="3297" t="s">
        <v>2054</v>
      </c>
      <c r="F100" s="3297"/>
      <c r="G100" s="3297"/>
      <c r="H100" s="3331"/>
      <c r="I100" s="133"/>
    </row>
    <row r="101" spans="1:35" ht="18.75" customHeight="1">
      <c r="A101" s="3339" t="s">
        <v>2055</v>
      </c>
      <c r="B101" s="3340"/>
      <c r="C101" s="2779" t="str">
        <f>C4</f>
        <v>成本法</v>
      </c>
      <c r="D101" s="2780" t="str">
        <f>D4</f>
        <v>收益法</v>
      </c>
      <c r="E101" s="3309" t="s">
        <v>2056</v>
      </c>
      <c r="F101" s="3310"/>
      <c r="G101" s="1981" t="s">
        <v>2057</v>
      </c>
      <c r="H101" s="2789">
        <f ca="1">H118</f>
        <v>31660</v>
      </c>
      <c r="I101" s="133"/>
    </row>
    <row r="102" spans="1:35" ht="18.75" customHeight="1">
      <c r="A102" s="3341" t="s">
        <v>2058</v>
      </c>
      <c r="B102" s="2778" t="s">
        <v>2057</v>
      </c>
      <c r="C102" s="2779">
        <f ca="1">C19</f>
        <v>18630</v>
      </c>
      <c r="D102" s="2780">
        <f ca="1">D19</f>
        <v>37244</v>
      </c>
      <c r="E102" s="3309"/>
      <c r="F102" s="3310"/>
      <c r="G102" s="1981" t="s">
        <v>2059</v>
      </c>
      <c r="H102" s="2749">
        <f ca="1">I118</f>
        <v>12764</v>
      </c>
      <c r="I102" s="133"/>
    </row>
    <row r="103" spans="1:35" ht="42.75" customHeight="1">
      <c r="A103" s="3341"/>
      <c r="B103" s="2778" t="s">
        <v>2059</v>
      </c>
      <c r="C103" s="2781">
        <f ca="1">C20</f>
        <v>7511</v>
      </c>
      <c r="D103" s="2782">
        <f ca="1">D20</f>
        <v>15240</v>
      </c>
      <c r="E103" s="3302" t="s">
        <v>2060</v>
      </c>
      <c r="F103" s="3303"/>
      <c r="G103" s="1982" t="s">
        <v>2061</v>
      </c>
      <c r="H103" s="2789">
        <f>IF(D36="正常操作",H104+H105+H106,H105+H106)</f>
        <v>0</v>
      </c>
      <c r="I103" s="133"/>
    </row>
    <row r="104" spans="1:35" ht="18.75" customHeight="1">
      <c r="A104" s="3341" t="s">
        <v>2062</v>
      </c>
      <c r="B104" s="2783" t="s">
        <v>2057</v>
      </c>
      <c r="C104" s="2784">
        <f ca="1">H118</f>
        <v>31660</v>
      </c>
      <c r="D104" s="2785"/>
      <c r="E104" s="1828" t="s">
        <v>2063</v>
      </c>
      <c r="F104" s="1819"/>
      <c r="G104" s="1982" t="s">
        <v>2061</v>
      </c>
      <c r="H104" s="2790">
        <f>IF(D36="同一抵押权人同一抵押物续贷",C36&amp;"（续贷，未扣减，详见特别提示）",C36)</f>
        <v>0</v>
      </c>
      <c r="I104" s="133"/>
    </row>
    <row r="105" spans="1:35" ht="18.75" customHeight="1" thickBot="1">
      <c r="A105" s="3351"/>
      <c r="B105" s="2786" t="s">
        <v>2059</v>
      </c>
      <c r="C105" s="2787">
        <f ca="1">I118</f>
        <v>12764</v>
      </c>
      <c r="D105" s="2788"/>
      <c r="E105" s="1828" t="s">
        <v>2064</v>
      </c>
      <c r="F105" s="1819"/>
      <c r="G105" s="1982" t="s">
        <v>2061</v>
      </c>
      <c r="H105" s="2791">
        <f>C37</f>
        <v>0</v>
      </c>
      <c r="I105" s="133"/>
    </row>
    <row r="106" spans="1:35" ht="18.75" customHeight="1">
      <c r="A106" s="1901" t="s">
        <v>2065</v>
      </c>
      <c r="B106" s="1901"/>
      <c r="C106" s="1901"/>
      <c r="D106" s="1901"/>
      <c r="E106" s="1983" t="s">
        <v>2066</v>
      </c>
      <c r="F106" s="1819"/>
      <c r="G106" s="1982" t="s">
        <v>2061</v>
      </c>
      <c r="H106" s="2791">
        <f>C38</f>
        <v>0</v>
      </c>
      <c r="I106" s="133"/>
    </row>
    <row r="107" spans="1:35" ht="18.75" customHeight="1">
      <c r="A107" s="133"/>
      <c r="B107" s="133"/>
      <c r="C107" s="133"/>
      <c r="D107" s="133"/>
      <c r="E107" s="3342" t="str">
        <f>IF(项目基本情况!E8="已注销","——","3.房地产抵押价值")</f>
        <v>3.房地产抵押价值</v>
      </c>
      <c r="F107" s="3310"/>
      <c r="G107" s="1981" t="s">
        <v>2057</v>
      </c>
      <c r="H107" s="2789">
        <f ca="1">IF(E107="——","——",H101-H103)</f>
        <v>31660</v>
      </c>
      <c r="I107" s="133"/>
    </row>
    <row r="108" spans="1:35" ht="18.75" customHeight="1">
      <c r="A108" s="133"/>
      <c r="B108" s="133"/>
      <c r="C108" s="133"/>
      <c r="D108" s="133"/>
      <c r="E108" s="3342"/>
      <c r="F108" s="3310"/>
      <c r="G108" s="1981" t="s">
        <v>2059</v>
      </c>
      <c r="H108" s="2749">
        <f ca="1">ROUND(H107*10000/'数据-汇总表'!E3,0)</f>
        <v>12764</v>
      </c>
      <c r="I108" s="133"/>
    </row>
    <row r="109" spans="1:35" ht="18.75" customHeight="1">
      <c r="A109" s="133"/>
      <c r="B109" s="133"/>
      <c r="C109" s="133"/>
      <c r="D109" s="133"/>
      <c r="E109" s="3342" t="str">
        <f>IF(项目基本情况!E8="已注销及未注销","4.抵押担保权已注销时的房地产抵押价值",IF(项目基本情况!E8="已注销","3.抵押担保权已注销时的房地产抵押价值","——"))</f>
        <v>——</v>
      </c>
      <c r="F109" s="3310"/>
      <c r="G109" s="1981" t="s">
        <v>2057</v>
      </c>
      <c r="H109" s="2792" t="str">
        <f>IF(E109="——","——",H101-H105-H106)</f>
        <v>——</v>
      </c>
      <c r="I109" s="133"/>
    </row>
    <row r="110" spans="1:35" ht="18.75" customHeight="1">
      <c r="A110" s="133"/>
      <c r="B110" s="133"/>
      <c r="C110" s="133"/>
      <c r="D110" s="133"/>
      <c r="E110" s="3342"/>
      <c r="F110" s="3310"/>
      <c r="G110" s="1981" t="s">
        <v>2059</v>
      </c>
      <c r="H110" s="2749" t="str">
        <f>IF(H109="——","——",ROUND(H109*10000/'数据-汇总表'!E3,0))</f>
        <v>——</v>
      </c>
      <c r="I110" s="133"/>
    </row>
    <row r="111" spans="1:35" ht="18.75" customHeight="1">
      <c r="A111" s="133"/>
      <c r="B111" s="133"/>
      <c r="C111" s="133"/>
      <c r="D111" s="133"/>
      <c r="E111" s="3343" t="str">
        <f>IF(项目基本情况!E9="抵押净值",IF(OR(项目基本情况!E8="已注销",项目基本情况!E8="房地产抵押价值"),"4.抵押净值","5.抵押净值"),"——")</f>
        <v>——</v>
      </c>
      <c r="F111" s="3329"/>
      <c r="G111" s="1981" t="s">
        <v>2057</v>
      </c>
      <c r="H111" s="2789" t="str">
        <f>IF(E111="——","——",N59)</f>
        <v>——</v>
      </c>
      <c r="I111" s="133"/>
    </row>
    <row r="112" spans="1:35" ht="18.75" customHeight="1" thickBot="1">
      <c r="A112" s="133"/>
      <c r="B112" s="133"/>
      <c r="C112" s="133"/>
      <c r="D112" s="133"/>
      <c r="E112" s="3344"/>
      <c r="F112" s="3345"/>
      <c r="G112" s="1984" t="s">
        <v>2059</v>
      </c>
      <c r="H112" s="2793" t="str">
        <f>IF(E111="——","——",N61)</f>
        <v>——</v>
      </c>
      <c r="I112" s="133"/>
    </row>
    <row r="113" spans="1:27" ht="18.75" customHeight="1">
      <c r="A113" s="133"/>
      <c r="B113" s="133"/>
      <c r="C113" s="133"/>
      <c r="D113" s="133"/>
      <c r="E113" s="3352" t="s">
        <v>2065</v>
      </c>
      <c r="F113" s="3352"/>
      <c r="G113" s="3352"/>
      <c r="H113" s="3352"/>
      <c r="I113" s="133"/>
    </row>
    <row r="114" spans="1:27" ht="3.75" customHeight="1">
      <c r="A114" s="1901"/>
      <c r="B114" s="1901"/>
      <c r="C114" s="1901"/>
      <c r="D114" s="1901"/>
      <c r="E114" s="1963"/>
      <c r="F114" s="1963"/>
      <c r="G114" s="1963"/>
      <c r="H114" s="1963"/>
      <c r="I114" s="1901"/>
    </row>
    <row r="115" spans="1:27" ht="18.75" customHeight="1">
      <c r="A115" s="3363" t="s">
        <v>2067</v>
      </c>
      <c r="B115" s="3364"/>
      <c r="C115" s="3364"/>
      <c r="D115" s="3364"/>
      <c r="E115" s="3364"/>
      <c r="F115" s="3364"/>
      <c r="G115" s="3364"/>
      <c r="H115" s="3364"/>
      <c r="I115" s="3365"/>
    </row>
    <row r="116" spans="1:27" ht="27" customHeight="1">
      <c r="A116" s="3317" t="s">
        <v>2068</v>
      </c>
      <c r="B116" s="3321" t="s">
        <v>2069</v>
      </c>
      <c r="C116" s="3321" t="s">
        <v>2070</v>
      </c>
      <c r="D116" s="3327" t="s">
        <v>2071</v>
      </c>
      <c r="E116" s="3328"/>
      <c r="F116" s="3359" t="s">
        <v>2072</v>
      </c>
      <c r="G116" s="3359"/>
      <c r="H116" s="3317" t="s">
        <v>2073</v>
      </c>
      <c r="I116" s="3317"/>
    </row>
    <row r="117" spans="1:27" ht="18.75" customHeight="1">
      <c r="A117" s="3317"/>
      <c r="B117" s="3322"/>
      <c r="C117" s="3322"/>
      <c r="D117" s="2520" t="s">
        <v>2074</v>
      </c>
      <c r="E117" s="2520" t="s">
        <v>2075</v>
      </c>
      <c r="F117" s="2520" t="s">
        <v>2074</v>
      </c>
      <c r="G117" s="2520" t="s">
        <v>2076</v>
      </c>
      <c r="H117" s="2520" t="s">
        <v>2074</v>
      </c>
      <c r="I117" s="2520" t="s">
        <v>2076</v>
      </c>
    </row>
    <row r="118" spans="1:27" ht="24.75" customHeight="1">
      <c r="A118" s="2794" t="str">
        <f>项目基本情况!S2</f>
        <v>北京市房地产</v>
      </c>
      <c r="B118" s="2520">
        <f>M18</f>
        <v>24804.469999999998</v>
      </c>
      <c r="C118" s="2520">
        <f>M19</f>
        <v>13382.272999999997</v>
      </c>
      <c r="D118" s="2520">
        <f ca="1">ROUND(IF(D32="总价",C34,E118*B118/10000),0)</f>
        <v>11493</v>
      </c>
      <c r="E118" s="2520">
        <f ca="1">ROUND(IF(C33="自定义",IF(D32="楼面单价",C34,D118*10000/B118),I118-G118),0)</f>
        <v>4634</v>
      </c>
      <c r="F118" s="2520">
        <f ca="1">ROUND(IF(D32="总价",C35,G118*B118/10000),0)</f>
        <v>20167</v>
      </c>
      <c r="G118" s="2520">
        <f ca="1">ROUND(IF(D32="楼面单价",C35,F118*10000/B118),0)</f>
        <v>8130</v>
      </c>
      <c r="H118" s="2520">
        <f ca="1">ROUND(IF(D32="总价",C32,I118*B118/10000),0)</f>
        <v>31660</v>
      </c>
      <c r="I118" s="2520">
        <f ca="1">ROUND(IF(D32="楼面单价",C32,H118*10000/B118),0)</f>
        <v>12764</v>
      </c>
    </row>
    <row r="119" spans="1:27" ht="18.75" customHeight="1">
      <c r="A119" s="3317" t="s">
        <v>2077</v>
      </c>
      <c r="B119" s="3317"/>
      <c r="C119" s="3317"/>
      <c r="D119" s="3323" t="str">
        <f ca="1">NUMBERSTRING(INT(D118*10000),2)&amp;"元整"</f>
        <v>壹亿壹仟肆佰玖拾叁万元整</v>
      </c>
      <c r="E119" s="3324"/>
      <c r="F119" s="3323" t="str">
        <f ca="1">NUMBERSTRING(INT(F118*10000),2)&amp;"元整"</f>
        <v>贰亿零壹佰陆拾柒万元整</v>
      </c>
      <c r="G119" s="3324"/>
      <c r="H119" s="3323" t="str">
        <f ca="1">NUMBERSTRING(INT(H118*10000),2)&amp;"元整"</f>
        <v>叁亿壹仟陆佰陆拾万元整</v>
      </c>
      <c r="I119" s="3324"/>
    </row>
    <row r="120" spans="1:27" ht="18.75" customHeight="1">
      <c r="A120" s="3318" t="str">
        <f>IF(项目基本情况!B9="房地产市场价值","",MID(E103,3,LEN(E103)-2))</f>
        <v>估价师知悉的法定优先受偿款</v>
      </c>
      <c r="B120" s="3319"/>
      <c r="C120" s="3320"/>
      <c r="D120" s="3318">
        <f>H103</f>
        <v>0</v>
      </c>
      <c r="E120" s="3319"/>
      <c r="F120" s="3319"/>
      <c r="G120" s="3319"/>
      <c r="H120" s="3319"/>
      <c r="I120" s="3320"/>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60" t="s">
        <v>2077</v>
      </c>
      <c r="B121" s="3361"/>
      <c r="C121" s="3362"/>
      <c r="D121" s="3323" t="str">
        <f>IF(D120=0,"零元整",NUMBERSTRING(INT(D120*10000),2)&amp;"元整")</f>
        <v>零元整</v>
      </c>
      <c r="E121" s="3325"/>
      <c r="F121" s="3325"/>
      <c r="G121" s="3325"/>
      <c r="H121" s="3325"/>
      <c r="I121" s="3324"/>
      <c r="AA121" s="733"/>
    </row>
    <row r="122" spans="1:27" ht="18.75" customHeight="1">
      <c r="A122" s="3329" t="str">
        <f>IF(项目基本情况!B9="房地产市场价值","",MID(E107,3,LEN(E107)-2))</f>
        <v>房地产抵押价值</v>
      </c>
      <c r="B122" s="3329"/>
      <c r="C122" s="3329"/>
      <c r="D122" s="3318">
        <f ca="1">H107</f>
        <v>31660</v>
      </c>
      <c r="E122" s="3319"/>
      <c r="F122" s="3319"/>
      <c r="G122" s="3319"/>
      <c r="H122" s="3319"/>
      <c r="I122" s="3320"/>
      <c r="AA122" s="733"/>
    </row>
    <row r="123" spans="1:27" ht="18.75" customHeight="1">
      <c r="A123" s="3317" t="s">
        <v>2077</v>
      </c>
      <c r="B123" s="3317"/>
      <c r="C123" s="3317"/>
      <c r="D123" s="3323" t="str">
        <f ca="1">NUMBERSTRING(INT(D122*10000),2)&amp;"元整"</f>
        <v>叁亿壹仟陆佰陆拾万元整</v>
      </c>
      <c r="E123" s="3325"/>
      <c r="F123" s="3325"/>
      <c r="G123" s="3325"/>
      <c r="H123" s="3325"/>
      <c r="I123" s="3324"/>
      <c r="AA123" s="733"/>
    </row>
    <row r="124" spans="1:27" ht="18.75" customHeight="1">
      <c r="A124" s="3329" t="str">
        <f>IF(项目基本情况!B9="房地产市场价值","",MID(E109,3,LEN(E109)-2))</f>
        <v/>
      </c>
      <c r="B124" s="3329"/>
      <c r="C124" s="3329"/>
      <c r="D124" s="3318" t="str">
        <f>H109</f>
        <v>——</v>
      </c>
      <c r="E124" s="3319"/>
      <c r="F124" s="3319"/>
      <c r="G124" s="3319"/>
      <c r="H124" s="3319"/>
      <c r="I124" s="3320"/>
      <c r="AA124" s="733"/>
    </row>
    <row r="125" spans="1:27" ht="18.75" customHeight="1">
      <c r="A125" s="3317" t="s">
        <v>2077</v>
      </c>
      <c r="B125" s="3317"/>
      <c r="C125" s="3317"/>
      <c r="D125" s="3323" t="e">
        <f>NUMBERSTRING(INT(D124*10000),2)&amp;"元整"</f>
        <v>#VALUE!</v>
      </c>
      <c r="E125" s="3325"/>
      <c r="F125" s="3325"/>
      <c r="G125" s="3325"/>
      <c r="H125" s="3325"/>
      <c r="I125" s="3324"/>
      <c r="AA125" s="733"/>
    </row>
    <row r="126" spans="1:27" ht="18.75" customHeight="1">
      <c r="A126" s="3329" t="str">
        <f>IF(项目基本情况!B9="房地产市场价值","",MID(E111,3,LEN(E111)-2))</f>
        <v/>
      </c>
      <c r="B126" s="3329"/>
      <c r="C126" s="3329"/>
      <c r="D126" s="3318" t="str">
        <f>H111</f>
        <v>——</v>
      </c>
      <c r="E126" s="3319"/>
      <c r="F126" s="3319"/>
      <c r="G126" s="3319"/>
      <c r="H126" s="3319"/>
      <c r="I126" s="3320"/>
      <c r="AA126" s="733"/>
    </row>
    <row r="127" spans="1:27" ht="18.75" customHeight="1">
      <c r="A127" s="3317" t="s">
        <v>2077</v>
      </c>
      <c r="B127" s="3317"/>
      <c r="C127" s="3317"/>
      <c r="D127" s="3323" t="e">
        <f>NUMBERSTRING(INT(D126*10000),2)&amp;"元整"</f>
        <v>#VALUE!</v>
      </c>
      <c r="E127" s="3325"/>
      <c r="F127" s="3325"/>
      <c r="G127" s="3325"/>
      <c r="H127" s="3325"/>
      <c r="I127" s="3324"/>
      <c r="AA127" s="733"/>
    </row>
    <row r="128" spans="1:27" ht="21.75" customHeight="1">
      <c r="A128" s="3326" t="s">
        <v>2078</v>
      </c>
      <c r="B128" s="3326"/>
      <c r="C128" s="3326"/>
      <c r="D128" s="3326"/>
      <c r="E128" s="3326"/>
      <c r="F128" s="3326"/>
      <c r="G128" s="3326"/>
      <c r="H128" s="3326"/>
      <c r="I128" s="3326"/>
      <c r="AA128" s="733"/>
    </row>
    <row r="129" spans="1:35" ht="21.75" customHeight="1">
      <c r="A129" s="1985" t="s">
        <v>2079</v>
      </c>
      <c r="B129" s="1986"/>
      <c r="C129" s="1987" t="s">
        <v>2080</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2081</v>
      </c>
      <c r="G135" s="2002"/>
      <c r="H135" s="2002"/>
      <c r="I135" s="2003" t="s">
        <v>2082</v>
      </c>
    </row>
    <row r="136" spans="1:35" ht="21.75" customHeight="1">
      <c r="A136" s="733"/>
      <c r="B136" s="2004"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2084</v>
      </c>
    </row>
    <row r="139" spans="1:35" ht="21.75" customHeight="1">
      <c r="A139" s="733"/>
      <c r="B139" s="2004" t="s">
        <v>2085</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2084</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10" t="str">
        <f>项目基本情况!B1</f>
        <v>北京市房地产抵押价值预评估</v>
      </c>
      <c r="C37" s="3210"/>
      <c r="D37" s="3210"/>
      <c r="E37" s="3210"/>
      <c r="F37" s="3210"/>
      <c r="G37" s="3210"/>
      <c r="H37" s="3210"/>
      <c r="I37" s="3210"/>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23" sqref="K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2086</v>
      </c>
      <c r="B1" s="1622"/>
      <c r="C1" s="203"/>
      <c r="D1" s="203"/>
      <c r="E1" s="203"/>
      <c r="F1" s="203"/>
      <c r="G1" s="1258">
        <f>MATCH(B1,'数据-取费表'!A6:A16,0)+5</f>
        <v>7</v>
      </c>
    </row>
    <row r="2" spans="1:9" s="205" customFormat="1" ht="18" customHeight="1">
      <c r="A2" s="206" t="s">
        <v>2087</v>
      </c>
      <c r="B2" s="207">
        <f ca="1">IF(D2="——",C52,C52-E2)</f>
        <v>18630</v>
      </c>
      <c r="C2" s="204" t="s">
        <v>2088</v>
      </c>
      <c r="D2" s="2007" t="s">
        <v>70</v>
      </c>
      <c r="E2" s="1301" t="e">
        <f ca="1">SUMIF(INDIRECT("'"&amp;G2&amp;"'"&amp;"!A:A"),"承租人权益价值",INDIRECT("'"&amp;G2&amp;"'"&amp;"!c:c"))</f>
        <v>#REF!</v>
      </c>
      <c r="F2" s="2008" t="s">
        <v>2088</v>
      </c>
      <c r="G2" s="2009"/>
    </row>
    <row r="3" spans="1:9" s="205" customFormat="1" ht="18" customHeight="1" thickBot="1">
      <c r="A3" s="208" t="s">
        <v>2089</v>
      </c>
      <c r="B3" s="209">
        <f ca="1">ROUND(B2*10000/(IF(B1="",'数据-汇总表'!E3,INDIRECT("'数据-取费表'!k"&amp;$G$1))),0)</f>
        <v>7511</v>
      </c>
      <c r="C3" s="204" t="s">
        <v>2090</v>
      </c>
      <c r="D3" s="204"/>
      <c r="E3" s="204"/>
      <c r="F3" s="204"/>
      <c r="G3" s="204"/>
    </row>
    <row r="4" spans="1:9" s="213" customFormat="1" ht="15.75">
      <c r="A4" s="210" t="s">
        <v>2091</v>
      </c>
      <c r="B4" s="211"/>
      <c r="C4" s="211"/>
      <c r="D4" s="211"/>
      <c r="E4" s="211"/>
      <c r="F4" s="211"/>
      <c r="G4" s="212"/>
    </row>
    <row r="5" spans="1:9" s="219" customFormat="1" ht="13.5" customHeight="1">
      <c r="A5" s="260" t="s">
        <v>2092</v>
      </c>
      <c r="B5" s="215" t="s">
        <v>2093</v>
      </c>
      <c r="C5" s="216">
        <f ca="1">C6+C7+C8</f>
        <v>5048</v>
      </c>
      <c r="D5" s="216" t="s">
        <v>2094</v>
      </c>
      <c r="E5" s="217" t="s">
        <v>2095</v>
      </c>
      <c r="F5" s="217" t="s">
        <v>2096</v>
      </c>
      <c r="G5" s="218"/>
    </row>
    <row r="6" spans="1:9" s="219" customFormat="1" ht="13.5" customHeight="1">
      <c r="A6" s="885" t="s">
        <v>2097</v>
      </c>
      <c r="B6" s="220" t="s">
        <v>2098</v>
      </c>
      <c r="C6" s="221">
        <f>[3]基准地价修正!$B$2</f>
        <v>4417</v>
      </c>
      <c r="D6" s="222"/>
      <c r="E6" s="223"/>
      <c r="F6" s="223"/>
      <c r="G6" s="224"/>
    </row>
    <row r="7" spans="1:9" s="219" customFormat="1" ht="13.5" customHeight="1">
      <c r="A7" s="885" t="s">
        <v>2099</v>
      </c>
      <c r="B7" s="220" t="s">
        <v>2100</v>
      </c>
      <c r="C7" s="225">
        <f>ROUND(C6*F7,0)</f>
        <v>135</v>
      </c>
      <c r="D7" s="225"/>
      <c r="E7" s="223"/>
      <c r="F7" s="226">
        <f>IF(项目基本情况!B8="出让",0,'数据-取费表'!B48+'数据-取费表'!B49)</f>
        <v>3.0499999999999999E-2</v>
      </c>
      <c r="G7" s="224"/>
    </row>
    <row r="8" spans="1:9" s="228" customFormat="1">
      <c r="A8" s="885" t="s">
        <v>2101</v>
      </c>
      <c r="B8" s="220" t="s">
        <v>2102</v>
      </c>
      <c r="C8" s="225">
        <f ca="1">IF(G8="已包含在土地购买价格中","0",IF(B1="",'数据-取费表'!B29,IF(G9="全部缴纳",C9+C10,H9)))</f>
        <v>496</v>
      </c>
      <c r="D8" s="227"/>
      <c r="E8" s="225"/>
      <c r="F8" s="226"/>
      <c r="G8" s="2010" t="s">
        <v>3160</v>
      </c>
    </row>
    <row r="9" spans="1:9" s="219" customFormat="1" ht="13.5" customHeight="1">
      <c r="A9" s="886" t="s">
        <v>800</v>
      </c>
      <c r="B9" s="229" t="s">
        <v>2103</v>
      </c>
      <c r="C9" s="230">
        <f ca="1">ROUND(D9*E9/10000,0)</f>
        <v>0</v>
      </c>
      <c r="D9" s="953">
        <f ca="1">IF(B1="",'数据-汇总表'!E5,IF(INDIRECT("'数据-取费表'!c"&amp;$G$1)="住宅",INDIRECT("'数据-取费表'!k"&amp;$G$1),0))</f>
        <v>0</v>
      </c>
      <c r="E9" s="230">
        <f>'数据-取费表'!B27</f>
        <v>160</v>
      </c>
      <c r="F9" s="226"/>
      <c r="G9" s="2011" t="s">
        <v>3161</v>
      </c>
      <c r="H9" s="1269"/>
      <c r="I9" s="2012" t="s">
        <v>2104</v>
      </c>
    </row>
    <row r="10" spans="1:9" s="219" customFormat="1" ht="13.5" customHeight="1">
      <c r="A10" s="886" t="s">
        <v>801</v>
      </c>
      <c r="B10" s="229" t="s">
        <v>2105</v>
      </c>
      <c r="C10" s="230">
        <f ca="1">ROUND(D10*E10/10000,0)</f>
        <v>496</v>
      </c>
      <c r="D10" s="953">
        <f ca="1">IF(B1="",'数据-汇总表'!E6,IF(INDIRECT("'数据-取费表'!c"&amp;$G$1)="住宅",INDIRECT("'数据-取费表'!s"&amp;$G$1),INDIRECT("'数据-取费表'!k"&amp;$G$1)+INDIRECT("'数据-取费表'!s"&amp;$G$1)))</f>
        <v>24804.469999999998</v>
      </c>
      <c r="E10" s="230">
        <f>'数据-取费表'!B28</f>
        <v>200</v>
      </c>
      <c r="F10" s="226"/>
      <c r="G10" s="231"/>
    </row>
    <row r="11" spans="1:9" s="219" customFormat="1" ht="13.5" hidden="1" customHeight="1">
      <c r="A11" s="232" t="s">
        <v>7</v>
      </c>
      <c r="B11" s="220" t="s">
        <v>2106</v>
      </c>
      <c r="C11" s="216"/>
      <c r="D11" s="955"/>
      <c r="E11" s="223"/>
      <c r="F11" s="223"/>
      <c r="G11" s="224"/>
    </row>
    <row r="12" spans="1:9" s="219" customFormat="1" ht="13.5" hidden="1" customHeight="1">
      <c r="A12" s="232" t="s">
        <v>8</v>
      </c>
      <c r="B12" s="220" t="s">
        <v>2107</v>
      </c>
      <c r="C12" s="216">
        <v>0</v>
      </c>
      <c r="D12" s="955"/>
      <c r="E12" s="233"/>
      <c r="F12" s="226">
        <v>3.0499999999999999E-2</v>
      </c>
      <c r="G12" s="224"/>
    </row>
    <row r="13" spans="1:9" s="219" customFormat="1" ht="13.5" hidden="1" customHeight="1">
      <c r="A13" s="232" t="s">
        <v>9</v>
      </c>
      <c r="B13" s="220" t="s">
        <v>2108</v>
      </c>
      <c r="C13" s="216"/>
      <c r="D13" s="955"/>
      <c r="E13" s="223"/>
      <c r="F13" s="223"/>
      <c r="G13" s="224"/>
    </row>
    <row r="14" spans="1:9" s="219" customFormat="1" ht="13.5" hidden="1" customHeight="1">
      <c r="A14" s="232" t="s">
        <v>10</v>
      </c>
      <c r="B14" s="220" t="s">
        <v>2109</v>
      </c>
      <c r="C14" s="216"/>
      <c r="D14" s="955"/>
      <c r="E14" s="223"/>
      <c r="F14" s="223"/>
      <c r="G14" s="224" t="s">
        <v>2110</v>
      </c>
    </row>
    <row r="15" spans="1:9" s="219" customFormat="1" ht="13.5" hidden="1" customHeight="1">
      <c r="A15" s="232" t="s">
        <v>11</v>
      </c>
      <c r="B15" s="220" t="s">
        <v>2111</v>
      </c>
      <c r="C15" s="225"/>
      <c r="D15" s="955"/>
      <c r="E15" s="223"/>
      <c r="F15" s="223"/>
      <c r="G15" s="224" t="s">
        <v>2112</v>
      </c>
    </row>
    <row r="16" spans="1:9" s="219" customFormat="1" ht="13.5" hidden="1" customHeight="1">
      <c r="A16" s="232" t="s">
        <v>12</v>
      </c>
      <c r="B16" s="220" t="s">
        <v>2109</v>
      </c>
      <c r="C16" s="225"/>
      <c r="D16" s="955"/>
      <c r="E16" s="223"/>
      <c r="F16" s="223"/>
      <c r="G16" s="224"/>
    </row>
    <row r="17" spans="1:7" s="219" customFormat="1" ht="13.5" hidden="1" customHeight="1">
      <c r="A17" s="232" t="s">
        <v>13</v>
      </c>
      <c r="B17" s="220" t="s">
        <v>2113</v>
      </c>
      <c r="C17" s="234"/>
      <c r="D17" s="956"/>
      <c r="E17" s="234"/>
      <c r="F17" s="234"/>
      <c r="G17" s="224" t="s">
        <v>2112</v>
      </c>
    </row>
    <row r="18" spans="1:7" s="219" customFormat="1" ht="13.5" hidden="1" customHeight="1">
      <c r="A18" s="232" t="s">
        <v>14</v>
      </c>
      <c r="B18" s="220" t="s">
        <v>2114</v>
      </c>
      <c r="C18" s="225">
        <v>0</v>
      </c>
      <c r="D18" s="955"/>
      <c r="E18" s="223"/>
      <c r="F18" s="226">
        <v>3.0499999999999999E-2</v>
      </c>
      <c r="G18" s="224" t="s">
        <v>2115</v>
      </c>
    </row>
    <row r="19" spans="1:7" s="228" customFormat="1" ht="13.5" customHeight="1">
      <c r="A19" s="260" t="s">
        <v>2116</v>
      </c>
      <c r="B19" s="215" t="s">
        <v>2117</v>
      </c>
      <c r="C19" s="216" t="str">
        <f>IF(G19="已包含在土地取得成本中","0",ROUND(D19*E19/10000,0))</f>
        <v>0</v>
      </c>
      <c r="D19" s="957">
        <f ca="1">D9+D10</f>
        <v>24804.469999999998</v>
      </c>
      <c r="E19" s="216">
        <f>'数据-取费表'!B31</f>
        <v>200</v>
      </c>
      <c r="F19" s="236"/>
      <c r="G19" s="2010" t="s">
        <v>3162</v>
      </c>
    </row>
    <row r="20" spans="1:7" s="219" customFormat="1" ht="13.5" customHeight="1">
      <c r="A20" s="260" t="s">
        <v>2118</v>
      </c>
      <c r="B20" s="215" t="s">
        <v>2119</v>
      </c>
      <c r="C20" s="237">
        <f ca="1">ROUND((C5+C19)*F20,0)</f>
        <v>101</v>
      </c>
      <c r="D20" s="237"/>
      <c r="E20" s="237"/>
      <c r="F20" s="238">
        <f>'数据-取费表'!B37</f>
        <v>0.02</v>
      </c>
      <c r="G20" s="239" t="s">
        <v>2120</v>
      </c>
    </row>
    <row r="21" spans="1:7" s="219" customFormat="1" ht="13.5" customHeight="1">
      <c r="A21" s="260" t="s">
        <v>2121</v>
      </c>
      <c r="B21" s="215" t="s">
        <v>2122</v>
      </c>
      <c r="C21" s="240">
        <f>F21</f>
        <v>0.02</v>
      </c>
      <c r="D21" s="241" t="s">
        <v>2123</v>
      </c>
      <c r="E21" s="237"/>
      <c r="F21" s="238">
        <f>'数据-取费表'!B38</f>
        <v>0.02</v>
      </c>
      <c r="G21" s="239" t="s">
        <v>2124</v>
      </c>
    </row>
    <row r="22" spans="1:7" s="219" customFormat="1" ht="13.5" customHeight="1">
      <c r="A22" s="260" t="s">
        <v>2125</v>
      </c>
      <c r="B22" s="215" t="s">
        <v>2126</v>
      </c>
      <c r="C22" s="1234">
        <f ca="1">ROUND(SUM(C23:C25),0)</f>
        <v>324</v>
      </c>
      <c r="D22" s="240">
        <f ca="1">C26</f>
        <v>5.9999999999999995E-4</v>
      </c>
      <c r="E22" s="241" t="s">
        <v>2123</v>
      </c>
      <c r="F22" s="242">
        <f ca="1">'数据-取费表'!B40</f>
        <v>4.2000000000000003E-2</v>
      </c>
      <c r="G22" s="239" t="str">
        <f>IF('数据-取费表'!B22&lt;=1,"单利计息","复利计息")</f>
        <v>复利计息</v>
      </c>
    </row>
    <row r="23" spans="1:7" s="219" customFormat="1" ht="13.5" customHeight="1">
      <c r="A23" s="887" t="s">
        <v>2127</v>
      </c>
      <c r="B23" s="220" t="s">
        <v>2128</v>
      </c>
      <c r="C23" s="1235">
        <f ca="1">ROUND(IF('数据-取费表'!B22&lt;=1,C5*F22*'数据-取费表'!B23,C5*(POWER((1+F22),'数据-取费表'!B23)-1)),0)</f>
        <v>321</v>
      </c>
      <c r="D23" s="243"/>
      <c r="E23" s="243"/>
      <c r="F23" s="244"/>
      <c r="G23" s="245" t="s">
        <v>2129</v>
      </c>
    </row>
    <row r="24" spans="1:7" s="219" customFormat="1" ht="13.5" customHeight="1">
      <c r="A24" s="887" t="s">
        <v>2130</v>
      </c>
      <c r="B24" s="220" t="s">
        <v>2131</v>
      </c>
      <c r="C24" s="1235">
        <f ca="1">ROUND(IF('数据-取费表'!B22&lt;=1,C19*F22*('数据-取费表'!B19/2+'数据-取费表'!B21),C19*(POWER((1+F22),('数据-取费表'!B19/2+'数据-取费表'!B21))-1)),0)</f>
        <v>0</v>
      </c>
      <c r="D24" s="243"/>
      <c r="E24" s="243"/>
      <c r="F24" s="244"/>
      <c r="G24" s="245" t="s">
        <v>2132</v>
      </c>
    </row>
    <row r="25" spans="1:7" s="219" customFormat="1" ht="24">
      <c r="A25" s="887" t="s">
        <v>2133</v>
      </c>
      <c r="B25" s="220" t="s">
        <v>2134</v>
      </c>
      <c r="C25" s="1235">
        <f ca="1">ROUND(IF('数据-取费表'!B22&lt;=1,C20*F22*'数据-取费表'!B23/2,C20*(POWER((1+F22),'数据-取费表'!B23/2)-1)),0)</f>
        <v>3</v>
      </c>
      <c r="D25" s="243"/>
      <c r="E25" s="246"/>
      <c r="F25" s="244"/>
      <c r="G25" s="247" t="s">
        <v>2135</v>
      </c>
    </row>
    <row r="26" spans="1:7" s="219" customFormat="1">
      <c r="A26" s="887" t="s">
        <v>795</v>
      </c>
      <c r="B26" s="220" t="s">
        <v>2136</v>
      </c>
      <c r="C26" s="243">
        <f ca="1">ROUND(IF('数据-取费表'!B22&lt;=1,F21*F22*'数据-取费表'!B23/2,F21*(POWER((1+F22),'数据-取费表'!B23/2)-1)),4)</f>
        <v>5.9999999999999995E-4</v>
      </c>
      <c r="D26" s="243"/>
      <c r="E26" s="246"/>
      <c r="F26" s="244"/>
      <c r="G26" s="248"/>
    </row>
    <row r="27" spans="1:7" s="219" customFormat="1" ht="24.75">
      <c r="A27" s="260" t="s">
        <v>2137</v>
      </c>
      <c r="B27" s="249" t="s">
        <v>2138</v>
      </c>
      <c r="C27" s="250">
        <f ca="1">C28</f>
        <v>772</v>
      </c>
      <c r="D27" s="240">
        <f ca="1">C29</f>
        <v>3.0000000000000001E-3</v>
      </c>
      <c r="E27" s="241" t="s">
        <v>2139</v>
      </c>
      <c r="F27" s="251">
        <f ca="1">IF(B1="",'数据-取费表'!Q16,INDIRECT("'数据-取费表'!q"&amp;$G$1))</f>
        <v>0.15</v>
      </c>
      <c r="G27" s="252" t="s">
        <v>2140</v>
      </c>
    </row>
    <row r="28" spans="1:7" s="219" customFormat="1" ht="13.5" customHeight="1">
      <c r="A28" s="887" t="s">
        <v>791</v>
      </c>
      <c r="B28" s="253" t="s">
        <v>2141</v>
      </c>
      <c r="C28" s="254">
        <f ca="1">ROUND((C5+C19+C20)*F27*'数据-取费表'!B21/'数据-取费表'!B20,0)</f>
        <v>772</v>
      </c>
      <c r="D28" s="240"/>
      <c r="E28" s="241"/>
      <c r="F28" s="251"/>
      <c r="G28" s="252"/>
    </row>
    <row r="29" spans="1:7" s="219" customFormat="1" ht="13.5" customHeight="1">
      <c r="A29" s="887" t="s">
        <v>792</v>
      </c>
      <c r="B29" s="253" t="s">
        <v>2142</v>
      </c>
      <c r="C29" s="243">
        <f ca="1">ROUND(C21*F27*'数据-取费表'!B21/'数据-取费表'!B20,4)</f>
        <v>3.0000000000000001E-3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6765</v>
      </c>
      <c r="D31" s="235"/>
      <c r="E31" s="216"/>
      <c r="F31" s="255"/>
      <c r="G31" s="239" t="s">
        <v>2147</v>
      </c>
    </row>
    <row r="32" spans="1:7" s="213" customFormat="1" ht="15.75">
      <c r="A32" s="257" t="s">
        <v>2148</v>
      </c>
      <c r="B32" s="258"/>
      <c r="C32" s="258"/>
      <c r="D32" s="258"/>
      <c r="E32" s="258"/>
      <c r="F32" s="258"/>
      <c r="G32" s="259"/>
    </row>
    <row r="33" spans="1:7" s="219" customFormat="1" ht="13.5" customHeight="1">
      <c r="A33" s="260" t="s">
        <v>782</v>
      </c>
      <c r="B33" s="215" t="s">
        <v>2149</v>
      </c>
      <c r="C33" s="261">
        <f ca="1">SUM(C34:C38)</f>
        <v>9568</v>
      </c>
      <c r="D33" s="237"/>
      <c r="E33" s="217"/>
      <c r="F33" s="246"/>
      <c r="G33" s="239"/>
    </row>
    <row r="34" spans="1:7" s="263" customFormat="1" ht="13.5" customHeight="1">
      <c r="A34" s="887" t="s">
        <v>791</v>
      </c>
      <c r="B34" s="220" t="s">
        <v>2150</v>
      </c>
      <c r="C34" s="225">
        <f ca="1">IF(B1="",IF(F34=100%,'数据-取费表'!M16,'数据-取费表'!O16),IF(F34=100%,INDIRECT("'数据-取费表'!m"&amp;$G$1)+INDIRECT("'数据-取费表'!t"&amp;$G$1),INDIRECT("'数据-取费表'!o"&amp;$G$1)+INDIRECT("'数据-取费表'!aq"&amp;$G$1)))</f>
        <v>8682</v>
      </c>
      <c r="D34" s="222"/>
      <c r="E34" s="225"/>
      <c r="F34" s="262">
        <f ca="1">IF('数据-取费表'!B24=0,1,IF(B1="",'数据-取费表'!N16,INDIRECT("'数据-取费表'!n"&amp;$G$1)))</f>
        <v>1</v>
      </c>
      <c r="G34" s="224" t="s">
        <v>2151</v>
      </c>
    </row>
    <row r="35" spans="1:7" ht="13.5" customHeight="1">
      <c r="A35" s="887" t="s">
        <v>796</v>
      </c>
      <c r="B35" s="220" t="s">
        <v>2152</v>
      </c>
      <c r="C35" s="225">
        <f ca="1">ROUND(C34*F35,0)</f>
        <v>260</v>
      </c>
      <c r="D35" s="225"/>
      <c r="E35" s="225"/>
      <c r="F35" s="264">
        <f>'数据-取费表'!B33</f>
        <v>0.03</v>
      </c>
      <c r="G35" s="224" t="s">
        <v>2153</v>
      </c>
    </row>
    <row r="36" spans="1:7" ht="24">
      <c r="A36" s="887" t="s">
        <v>797</v>
      </c>
      <c r="B36" s="220" t="s">
        <v>2154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2155</v>
      </c>
    </row>
    <row r="37" spans="1:7" s="263" customFormat="1" ht="13.5" customHeight="1">
      <c r="A37" s="887" t="s">
        <v>798</v>
      </c>
      <c r="B37" s="220" t="s">
        <v>2156</v>
      </c>
      <c r="C37" s="254">
        <f ca="1">ROUND(E37*D37*F34/10000,0)</f>
        <v>496</v>
      </c>
      <c r="D37" s="222">
        <f ca="1">D19</f>
        <v>24804.469999999998</v>
      </c>
      <c r="E37" s="254">
        <f>'数据-取费表'!B35</f>
        <v>200</v>
      </c>
      <c r="F37" s="264"/>
      <c r="G37" s="266" t="s">
        <v>2157</v>
      </c>
    </row>
    <row r="38" spans="1:7" ht="13.5" customHeight="1">
      <c r="A38" s="887" t="s">
        <v>799</v>
      </c>
      <c r="B38" s="220" t="s">
        <v>2158</v>
      </c>
      <c r="C38" s="225">
        <f ca="1">ROUND(C34*F38,0)</f>
        <v>130</v>
      </c>
      <c r="D38" s="225"/>
      <c r="E38" s="225"/>
      <c r="F38" s="264">
        <f>'数据-取费表'!B36</f>
        <v>1.4999999999999999E-2</v>
      </c>
      <c r="G38" s="224" t="s">
        <v>2153</v>
      </c>
    </row>
    <row r="39" spans="1:7" s="219" customFormat="1" ht="13.5" customHeight="1">
      <c r="A39" s="260" t="s">
        <v>2159</v>
      </c>
      <c r="B39" s="215" t="s">
        <v>2160</v>
      </c>
      <c r="C39" s="237">
        <f ca="1">ROUND(C33*F20,0)</f>
        <v>191</v>
      </c>
      <c r="D39" s="237"/>
      <c r="E39" s="237"/>
      <c r="F39" s="2503">
        <f>F20</f>
        <v>0.02</v>
      </c>
      <c r="G39" s="239" t="s">
        <v>2161</v>
      </c>
    </row>
    <row r="40" spans="1:7" s="219" customFormat="1" ht="13.5" customHeight="1">
      <c r="A40" s="260" t="s">
        <v>2162</v>
      </c>
      <c r="B40" s="215" t="s">
        <v>2163</v>
      </c>
      <c r="C40" s="1465">
        <f>F21</f>
        <v>0.02</v>
      </c>
      <c r="D40" s="241" t="s">
        <v>2164</v>
      </c>
      <c r="E40" s="237"/>
      <c r="F40" s="2503">
        <f>F21</f>
        <v>0.02</v>
      </c>
      <c r="G40" s="239" t="s">
        <v>2165</v>
      </c>
    </row>
    <row r="41" spans="1:7" s="219" customFormat="1" ht="13.5" customHeight="1">
      <c r="A41" s="260" t="s">
        <v>2166</v>
      </c>
      <c r="B41" s="215" t="s">
        <v>2167</v>
      </c>
      <c r="C41" s="237">
        <f ca="1">ROUND(SUM(C42:C43),0)</f>
        <v>306</v>
      </c>
      <c r="D41" s="240">
        <f ca="1">C44</f>
        <v>5.9999999999999995E-4</v>
      </c>
      <c r="E41" s="241" t="s">
        <v>2164</v>
      </c>
      <c r="F41" s="2504">
        <f ca="1">F22</f>
        <v>4.2000000000000003E-2</v>
      </c>
      <c r="G41" s="239" t="str">
        <f>IF('数据-取费表'!B22&lt;=1,"单利计息","复利计息")</f>
        <v>复利计息</v>
      </c>
    </row>
    <row r="42" spans="1:7" ht="13.5" customHeight="1">
      <c r="A42" s="887" t="s">
        <v>791</v>
      </c>
      <c r="B42" s="220" t="s">
        <v>2168</v>
      </c>
      <c r="C42" s="243">
        <f ca="1">ROUND(IF('数据-取费表'!B22&lt;=1,C33*F22*'数据-取费表'!B21/2,C33*(POWER((1+F22),'数据-取费表'!B21/2)-1)),0)</f>
        <v>300</v>
      </c>
      <c r="D42" s="243"/>
      <c r="E42" s="243"/>
      <c r="F42" s="244"/>
      <c r="G42" s="3399" t="s">
        <v>2169</v>
      </c>
    </row>
    <row r="43" spans="1:7" ht="13.5" customHeight="1">
      <c r="A43" s="887" t="s">
        <v>792</v>
      </c>
      <c r="B43" s="220" t="s">
        <v>2170</v>
      </c>
      <c r="C43" s="243">
        <f ca="1">ROUND(IF('数据-取费表'!B22&lt;=1,C39*F22*'数据-取费表'!B21/2,C39*(POWER((1+F22),'数据-取费表'!B21/2)-1)),0)</f>
        <v>6</v>
      </c>
      <c r="D43" s="243"/>
      <c r="E43" s="243"/>
      <c r="F43" s="244"/>
      <c r="G43" s="3400"/>
    </row>
    <row r="44" spans="1:7" ht="13.5" customHeight="1">
      <c r="A44" s="887" t="s">
        <v>793</v>
      </c>
      <c r="B44" s="220" t="s">
        <v>2171</v>
      </c>
      <c r="C44" s="243">
        <f ca="1">ROUND(IF('数据-取费表'!B22&lt;=1,C40*F22*'数据-取费表'!B21/2,C40*(POWER((1+F22),'数据-取费表'!B21/2)-1)),4)</f>
        <v>5.9999999999999995E-4</v>
      </c>
      <c r="D44" s="243"/>
      <c r="E44" s="243"/>
      <c r="F44" s="244"/>
      <c r="G44" s="3401"/>
    </row>
    <row r="45" spans="1:7" s="219" customFormat="1" ht="13.5" customHeight="1">
      <c r="A45" s="260" t="s">
        <v>2172</v>
      </c>
      <c r="B45" s="249" t="s">
        <v>2138</v>
      </c>
      <c r="C45" s="250">
        <f ca="1">C46</f>
        <v>1464</v>
      </c>
      <c r="D45" s="240">
        <f ca="1">C47</f>
        <v>3.0000000000000001E-3</v>
      </c>
      <c r="E45" s="241" t="s">
        <v>2164</v>
      </c>
      <c r="F45" s="2505">
        <f ca="1">F27</f>
        <v>0.15</v>
      </c>
      <c r="G45" s="252" t="s">
        <v>2173</v>
      </c>
    </row>
    <row r="46" spans="1:7" s="219" customFormat="1" ht="13.5" customHeight="1">
      <c r="A46" s="887" t="s">
        <v>791</v>
      </c>
      <c r="B46" s="253" t="s">
        <v>2174</v>
      </c>
      <c r="C46" s="254">
        <f ca="1">ROUND((C33+C39)*F27,0)</f>
        <v>1464</v>
      </c>
      <c r="D46" s="268"/>
      <c r="E46" s="241"/>
      <c r="F46" s="251"/>
      <c r="G46" s="252"/>
    </row>
    <row r="47" spans="1:7" s="219" customFormat="1" ht="13.5" customHeight="1">
      <c r="A47" s="887" t="s">
        <v>792</v>
      </c>
      <c r="B47" s="253" t="s">
        <v>2175</v>
      </c>
      <c r="C47" s="243">
        <f ca="1">ROUND(C40*F27,4)</f>
        <v>3.0000000000000001E-3</v>
      </c>
      <c r="D47" s="268"/>
      <c r="E47" s="241"/>
      <c r="F47" s="251"/>
      <c r="G47" s="252"/>
    </row>
    <row r="48" spans="1:7" s="219" customFormat="1" ht="13.5" customHeight="1">
      <c r="A48" s="260" t="s">
        <v>2137</v>
      </c>
      <c r="B48" s="215" t="s">
        <v>2176</v>
      </c>
      <c r="C48" s="1465">
        <f>ROUND(F30/(1+'数据-取费表'!C42),4)</f>
        <v>5.33E-2</v>
      </c>
      <c r="D48" s="241" t="s">
        <v>2164</v>
      </c>
      <c r="E48" s="237"/>
      <c r="F48" s="2504">
        <f>F30</f>
        <v>5.6000000000000001E-2</v>
      </c>
      <c r="G48" s="239" t="s">
        <v>2177</v>
      </c>
    </row>
    <row r="49" spans="1:7" ht="16.5" customHeight="1">
      <c r="A49" s="260" t="s">
        <v>2143</v>
      </c>
      <c r="B49" s="215" t="s">
        <v>2178</v>
      </c>
      <c r="C49" s="237">
        <f ca="1">ROUND((C33+C39+C41+C45)/(1-C40-D41-D45-C48),0)</f>
        <v>12489</v>
      </c>
      <c r="D49" s="237"/>
      <c r="E49" s="237"/>
      <c r="F49" s="269"/>
      <c r="G49" s="239" t="s">
        <v>2179</v>
      </c>
    </row>
    <row r="50" spans="1:7" s="263" customFormat="1" ht="24">
      <c r="A50" s="260" t="s">
        <v>2180</v>
      </c>
      <c r="B50" s="215" t="s">
        <v>2181</v>
      </c>
      <c r="C50" s="237"/>
      <c r="D50" s="237"/>
      <c r="E50" s="237"/>
      <c r="F50" s="269">
        <f>IF('数据-取费表'!B24=0,'数据-取费表'!N16,1)</f>
        <v>0.95</v>
      </c>
      <c r="G50" s="252" t="s">
        <v>2182</v>
      </c>
    </row>
    <row r="51" spans="1:7" ht="16.5" customHeight="1">
      <c r="A51" s="260" t="s">
        <v>2183</v>
      </c>
      <c r="B51" s="215" t="s">
        <v>2184</v>
      </c>
      <c r="C51" s="237">
        <f ca="1">ROUND(C49*F50,0)</f>
        <v>11865</v>
      </c>
      <c r="D51" s="237"/>
      <c r="E51" s="237"/>
      <c r="F51" s="269"/>
      <c r="G51" s="239" t="s">
        <v>2185</v>
      </c>
    </row>
    <row r="52" spans="1:7" s="213" customFormat="1" ht="16.5" thickBot="1">
      <c r="A52" s="270" t="s">
        <v>2186</v>
      </c>
      <c r="B52" s="271"/>
      <c r="C52" s="272">
        <f ca="1">C31+C51</f>
        <v>18630</v>
      </c>
      <c r="D52" s="271"/>
      <c r="E52" s="271"/>
      <c r="F52" s="271"/>
      <c r="G52" s="273"/>
    </row>
    <row r="55" spans="1:7" ht="15">
      <c r="B55" s="275" t="s">
        <v>2187</v>
      </c>
      <c r="C55" s="276"/>
    </row>
    <row r="56" spans="1:7">
      <c r="B56" s="278" t="s">
        <v>1418</v>
      </c>
      <c r="C56" s="280">
        <f ca="1">1-C57</f>
        <v>0.36299999999999999</v>
      </c>
    </row>
    <row r="57" spans="1:7">
      <c r="B57" s="278" t="s">
        <v>1419</v>
      </c>
      <c r="C57" s="279">
        <f ca="1">ROUND(C51/C52,3)</f>
        <v>0.63700000000000001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2086</v>
      </c>
      <c r="B1" s="1622"/>
      <c r="C1" s="2013" t="s">
        <v>2188</v>
      </c>
      <c r="D1" s="203"/>
      <c r="E1" s="203"/>
      <c r="F1" s="203"/>
      <c r="G1" s="1258">
        <f>MATCH(B1,'数据-取费表'!A6:A16,0)+5</f>
        <v>7</v>
      </c>
      <c r="H1" s="1190" t="str">
        <f>IF(ISERROR(FIND("住宅",B1)),"非住宅","住宅")</f>
        <v>非住宅</v>
      </c>
    </row>
    <row r="2" spans="1:8" s="205" customFormat="1" ht="18" customHeight="1">
      <c r="A2" s="206" t="s">
        <v>2087</v>
      </c>
      <c r="B2" s="207">
        <f ca="1">ROUND(IF(D2="——",C52/10000,C52/10000-E2),0)</f>
        <v>13195</v>
      </c>
      <c r="C2" s="204" t="s">
        <v>2088</v>
      </c>
      <c r="D2" s="2007" t="s">
        <v>70</v>
      </c>
      <c r="E2" s="1301" t="e">
        <f ca="1">SUMIF(INDIRECT("'"&amp;G2&amp;"'"&amp;"!A:A"),"承租人权益价值",INDIRECT("'"&amp;G2&amp;"'"&amp;"!c:c"))</f>
        <v>#REF!</v>
      </c>
      <c r="F2" s="2008" t="s">
        <v>2088</v>
      </c>
      <c r="G2" s="2009"/>
    </row>
    <row r="3" spans="1:8" s="205" customFormat="1" ht="18" customHeight="1" thickBot="1">
      <c r="A3" s="208" t="s">
        <v>2089</v>
      </c>
      <c r="B3" s="209">
        <f ca="1">ROUND(B2*10000/(IF(B1="",'数据-汇总表'!E3,INDIRECT("'数据-取费表'!k"&amp;$G$1))),0)</f>
        <v>5320</v>
      </c>
      <c r="C3" s="204" t="s">
        <v>2090</v>
      </c>
      <c r="D3" s="204"/>
      <c r="E3" s="204"/>
      <c r="F3" s="204"/>
      <c r="G3" s="204"/>
    </row>
    <row r="4" spans="1:8" s="213" customFormat="1" ht="15.75">
      <c r="A4" s="210" t="s">
        <v>2091</v>
      </c>
      <c r="B4" s="211"/>
      <c r="C4" s="211"/>
      <c r="D4" s="211"/>
      <c r="E4" s="211"/>
      <c r="F4" s="211"/>
      <c r="G4" s="212"/>
    </row>
    <row r="5" spans="1:8" s="219" customFormat="1" ht="13.5" customHeight="1">
      <c r="A5" s="260" t="s">
        <v>2092</v>
      </c>
      <c r="B5" s="215" t="s">
        <v>2093</v>
      </c>
      <c r="C5" s="216">
        <f ca="1">C6+C7+C8</f>
        <v>4960894</v>
      </c>
      <c r="D5" s="216" t="s">
        <v>2094</v>
      </c>
      <c r="E5" s="217" t="s">
        <v>2095</v>
      </c>
      <c r="F5" s="217" t="s">
        <v>2096</v>
      </c>
      <c r="G5" s="218"/>
    </row>
    <row r="6" spans="1:8" s="219" customFormat="1" ht="13.5" customHeight="1">
      <c r="A6" s="885" t="s">
        <v>2097</v>
      </c>
      <c r="B6" s="220" t="s">
        <v>2098</v>
      </c>
      <c r="C6" s="221"/>
      <c r="D6" s="222"/>
      <c r="E6" s="223"/>
      <c r="F6" s="223"/>
      <c r="G6" s="224"/>
    </row>
    <row r="7" spans="1:8" s="219" customFormat="1" ht="13.5" customHeight="1">
      <c r="A7" s="885" t="s">
        <v>2099</v>
      </c>
      <c r="B7" s="220" t="s">
        <v>2100</v>
      </c>
      <c r="C7" s="225">
        <f>ROUND(C6*F7,0)</f>
        <v>0</v>
      </c>
      <c r="D7" s="225"/>
      <c r="E7" s="223"/>
      <c r="F7" s="226">
        <f>IF(项目基本情况!B8="出让",0,'数据-取费表'!B48+'数据-取费表'!B49)</f>
        <v>3.0499999999999999E-2</v>
      </c>
      <c r="G7" s="224"/>
    </row>
    <row r="8" spans="1:8" s="228" customFormat="1">
      <c r="A8" s="885" t="s">
        <v>2101</v>
      </c>
      <c r="B8" s="220" t="s">
        <v>2102</v>
      </c>
      <c r="C8" s="225">
        <f ca="1">IF(G8="已包含在土地购买价格中",0,C9+C10)</f>
        <v>4960894</v>
      </c>
      <c r="D8" s="227"/>
      <c r="E8" s="225"/>
      <c r="F8" s="226"/>
      <c r="G8" s="2010"/>
    </row>
    <row r="9" spans="1:8" s="219" customFormat="1" ht="13.5" customHeight="1">
      <c r="A9" s="886" t="s">
        <v>800</v>
      </c>
      <c r="B9" s="229" t="s">
        <v>2103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2105</v>
      </c>
      <c r="C10" s="230">
        <f ca="1">ROUND(D10*E10,0)</f>
        <v>4960894</v>
      </c>
      <c r="D10" s="953">
        <f ca="1">IF(B1="",'数据-汇总表'!E6,IF(INDIRECT("'数据-取费表'!c"&amp;$G$1)="住宅",INDIRECT("'数据-取费表'!s"&amp;$G$1),INDIRECT("'数据-取费表'!k"&amp;$G$1)+INDIRECT("'数据-取费表'!s"&amp;$G$1)))</f>
        <v>24804.469999999998</v>
      </c>
      <c r="E10" s="230">
        <f>'数据-取费表'!B28</f>
        <v>200</v>
      </c>
      <c r="F10" s="226"/>
      <c r="G10" s="231"/>
    </row>
    <row r="11" spans="1:8" s="219" customFormat="1" ht="13.5" hidden="1" customHeight="1">
      <c r="A11" s="232" t="s">
        <v>7</v>
      </c>
      <c r="B11" s="220" t="s">
        <v>2106</v>
      </c>
      <c r="C11" s="216"/>
      <c r="D11" s="955"/>
      <c r="E11" s="223"/>
      <c r="F11" s="223"/>
      <c r="G11" s="224"/>
    </row>
    <row r="12" spans="1:8" s="219" customFormat="1" ht="13.5" hidden="1" customHeight="1">
      <c r="A12" s="232" t="s">
        <v>8</v>
      </c>
      <c r="B12" s="220" t="s">
        <v>2189</v>
      </c>
      <c r="C12" s="216">
        <v>0</v>
      </c>
      <c r="D12" s="955"/>
      <c r="E12" s="233"/>
      <c r="F12" s="226">
        <v>3.0499999999999999E-2</v>
      </c>
      <c r="G12" s="224"/>
    </row>
    <row r="13" spans="1:8" s="219" customFormat="1" ht="13.5" hidden="1" customHeight="1">
      <c r="A13" s="232" t="s">
        <v>9</v>
      </c>
      <c r="B13" s="220" t="s">
        <v>2190</v>
      </c>
      <c r="C13" s="216"/>
      <c r="D13" s="955"/>
      <c r="E13" s="223"/>
      <c r="F13" s="223"/>
      <c r="G13" s="224"/>
    </row>
    <row r="14" spans="1:8" s="219" customFormat="1" ht="13.5" hidden="1" customHeight="1">
      <c r="A14" s="232" t="s">
        <v>10</v>
      </c>
      <c r="B14" s="220" t="s">
        <v>2102</v>
      </c>
      <c r="C14" s="216"/>
      <c r="D14" s="955"/>
      <c r="E14" s="223"/>
      <c r="F14" s="223"/>
      <c r="G14" s="224" t="s">
        <v>2191</v>
      </c>
    </row>
    <row r="15" spans="1:8" s="219" customFormat="1" ht="13.5" hidden="1" customHeight="1">
      <c r="A15" s="232" t="s">
        <v>11</v>
      </c>
      <c r="B15" s="220" t="s">
        <v>2192</v>
      </c>
      <c r="C15" s="225"/>
      <c r="D15" s="955"/>
      <c r="E15" s="223"/>
      <c r="F15" s="223"/>
      <c r="G15" s="224" t="s">
        <v>2193</v>
      </c>
    </row>
    <row r="16" spans="1:8" s="219" customFormat="1" ht="13.5" hidden="1" customHeight="1">
      <c r="A16" s="232" t="s">
        <v>12</v>
      </c>
      <c r="B16" s="220" t="s">
        <v>2102</v>
      </c>
      <c r="C16" s="225"/>
      <c r="D16" s="955"/>
      <c r="E16" s="223"/>
      <c r="F16" s="223"/>
      <c r="G16" s="224"/>
    </row>
    <row r="17" spans="1:7" s="219" customFormat="1" ht="13.5" hidden="1" customHeight="1">
      <c r="A17" s="232" t="s">
        <v>13</v>
      </c>
      <c r="B17" s="220" t="s">
        <v>2194</v>
      </c>
      <c r="C17" s="234"/>
      <c r="D17" s="956"/>
      <c r="E17" s="234"/>
      <c r="F17" s="234"/>
      <c r="G17" s="224" t="s">
        <v>2193</v>
      </c>
    </row>
    <row r="18" spans="1:7" s="219" customFormat="1" ht="13.5" hidden="1" customHeight="1">
      <c r="A18" s="232" t="s">
        <v>14</v>
      </c>
      <c r="B18" s="220" t="s">
        <v>2195</v>
      </c>
      <c r="C18" s="225">
        <v>0</v>
      </c>
      <c r="D18" s="955"/>
      <c r="E18" s="223"/>
      <c r="F18" s="226">
        <v>3.0499999999999999E-2</v>
      </c>
      <c r="G18" s="224" t="s">
        <v>2196</v>
      </c>
    </row>
    <row r="19" spans="1:7" s="228" customFormat="1" ht="13.5" customHeight="1">
      <c r="A19" s="260" t="s">
        <v>2197</v>
      </c>
      <c r="B19" s="215" t="s">
        <v>2198</v>
      </c>
      <c r="C19" s="216">
        <f ca="1">IF(G19="已包含在土地取得成本中","0",ROUND(D19*E19,0))</f>
        <v>4960894</v>
      </c>
      <c r="D19" s="957">
        <f ca="1">D9+D10</f>
        <v>24804.469999999998</v>
      </c>
      <c r="E19" s="216">
        <f>'数据-取费表'!B31</f>
        <v>200</v>
      </c>
      <c r="F19" s="236"/>
      <c r="G19" s="2010"/>
    </row>
    <row r="20" spans="1:7" s="219" customFormat="1" ht="13.5" customHeight="1">
      <c r="A20" s="260" t="s">
        <v>2199</v>
      </c>
      <c r="B20" s="215" t="s">
        <v>2200</v>
      </c>
      <c r="C20" s="237">
        <f ca="1">ROUND((C5+C19)*F20,0)</f>
        <v>198436</v>
      </c>
      <c r="D20" s="237"/>
      <c r="E20" s="237"/>
      <c r="F20" s="238">
        <f>'数据-取费表'!B37</f>
        <v>0.02</v>
      </c>
      <c r="G20" s="239" t="s">
        <v>2201</v>
      </c>
    </row>
    <row r="21" spans="1:7" s="219" customFormat="1" ht="13.5" customHeight="1">
      <c r="A21" s="260" t="s">
        <v>2202</v>
      </c>
      <c r="B21" s="215" t="s">
        <v>2203</v>
      </c>
      <c r="C21" s="240">
        <f>F21</f>
        <v>0.02</v>
      </c>
      <c r="D21" s="241" t="s">
        <v>2204</v>
      </c>
      <c r="E21" s="237"/>
      <c r="F21" s="238">
        <f>'数据-取费表'!B38</f>
        <v>0.02</v>
      </c>
      <c r="G21" s="239" t="s">
        <v>2205</v>
      </c>
    </row>
    <row r="22" spans="1:7" s="219" customFormat="1" ht="13.5" customHeight="1">
      <c r="A22" s="260" t="s">
        <v>2206</v>
      </c>
      <c r="B22" s="215" t="s">
        <v>2207</v>
      </c>
      <c r="C22" s="1259">
        <f ca="1">ROUND(SUM(C23:C25),0)</f>
        <v>637808</v>
      </c>
      <c r="D22" s="240">
        <f ca="1">C26</f>
        <v>5.9999999999999995E-4</v>
      </c>
      <c r="E22" s="241" t="s">
        <v>2204</v>
      </c>
      <c r="F22" s="242">
        <f ca="1">'数据-取费表'!B40</f>
        <v>4.2000000000000003E-2</v>
      </c>
      <c r="G22" s="239" t="str">
        <f>IF('数据-取费表'!B22&lt;=1,"单利计息","复利计息")</f>
        <v>复利计息</v>
      </c>
    </row>
    <row r="23" spans="1:7" s="219" customFormat="1" ht="13.5" customHeight="1">
      <c r="A23" s="887" t="s">
        <v>2097</v>
      </c>
      <c r="B23" s="220" t="s">
        <v>2208</v>
      </c>
      <c r="C23" s="1260">
        <f ca="1">ROUND(IF('数据-取费表'!B22&lt;=1,C5*F22*'数据-取费表'!B22,C5*(POWER((1+F22),'数据-取费表'!B22)-1)),0)</f>
        <v>315795</v>
      </c>
      <c r="D23" s="243"/>
      <c r="E23" s="243"/>
      <c r="F23" s="244"/>
      <c r="G23" s="245" t="s">
        <v>2209</v>
      </c>
    </row>
    <row r="24" spans="1:7" s="219" customFormat="1" ht="13.5" customHeight="1">
      <c r="A24" s="887" t="s">
        <v>2099</v>
      </c>
      <c r="B24" s="220" t="s">
        <v>2210</v>
      </c>
      <c r="C24" s="1260">
        <f ca="1">ROUND(IF('数据-取费表'!B22&lt;=1,C19*F22*('数据-取费表'!B19/2+'数据-取费表'!B20),C19*(POWER((1+F22),('数据-取费表'!B19/2+'数据-取费表'!B20))-1)),0)</f>
        <v>315795</v>
      </c>
      <c r="D24" s="243"/>
      <c r="E24" s="243"/>
      <c r="F24" s="244"/>
      <c r="G24" s="245" t="s">
        <v>2211</v>
      </c>
    </row>
    <row r="25" spans="1:7" s="219" customFormat="1" ht="24">
      <c r="A25" s="887" t="s">
        <v>2101</v>
      </c>
      <c r="B25" s="220" t="s">
        <v>2212</v>
      </c>
      <c r="C25" s="1260">
        <f ca="1">ROUND(IF('数据-取费表'!B22&lt;=1,C20*F22*'数据-取费表'!B22/2,C20*(POWER((1+F22),'数据-取费表'!B22/2)-1)),0)</f>
        <v>6218</v>
      </c>
      <c r="D25" s="243"/>
      <c r="E25" s="246"/>
      <c r="F25" s="244"/>
      <c r="G25" s="247" t="s">
        <v>2213</v>
      </c>
    </row>
    <row r="26" spans="1:7" s="219" customFormat="1">
      <c r="A26" s="887" t="s">
        <v>795</v>
      </c>
      <c r="B26" s="220" t="s">
        <v>2136</v>
      </c>
      <c r="C26" s="243">
        <f ca="1">ROUND(IF('数据-取费表'!B22&lt;=1,F21*F22*'数据-取费表'!B22/2,F21*(POWER((1+F22),'数据-取费表'!B22/2)-1)),4)</f>
        <v>5.9999999999999995E-4</v>
      </c>
      <c r="D26" s="243"/>
      <c r="E26" s="246"/>
      <c r="F26" s="244"/>
      <c r="G26" s="248"/>
    </row>
    <row r="27" spans="1:7" s="219" customFormat="1" ht="24.75">
      <c r="A27" s="260" t="s">
        <v>2137</v>
      </c>
      <c r="B27" s="249" t="s">
        <v>2138</v>
      </c>
      <c r="C27" s="250">
        <f ca="1">C28</f>
        <v>1518034</v>
      </c>
      <c r="D27" s="240">
        <f ca="1">C29</f>
        <v>3.0000000000000001E-3</v>
      </c>
      <c r="E27" s="241" t="s">
        <v>2139</v>
      </c>
      <c r="F27" s="251">
        <f ca="1">IF(B1="",'数据-取费表'!Q16,INDIRECT("'数据-取费表'!q"&amp;$G$1))</f>
        <v>0.15</v>
      </c>
      <c r="G27" s="252" t="s">
        <v>2140</v>
      </c>
    </row>
    <row r="28" spans="1:7" s="219" customFormat="1" ht="13.5" customHeight="1">
      <c r="A28" s="887" t="s">
        <v>791</v>
      </c>
      <c r="B28" s="253" t="s">
        <v>2141</v>
      </c>
      <c r="C28" s="254">
        <f ca="1">ROUND((C5+C19+C20)*F27,0)</f>
        <v>1518034</v>
      </c>
      <c r="D28" s="240"/>
      <c r="E28" s="241"/>
      <c r="F28" s="251"/>
      <c r="G28" s="252"/>
    </row>
    <row r="29" spans="1:7" s="219" customFormat="1" ht="13.5" customHeight="1">
      <c r="A29" s="887" t="s">
        <v>792</v>
      </c>
      <c r="B29" s="253" t="s">
        <v>2142</v>
      </c>
      <c r="C29" s="243">
        <f ca="1">ROUND(C21*F27,4)</f>
        <v>3.0000000000000001E-3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13298739</v>
      </c>
      <c r="D31" s="235"/>
      <c r="E31" s="216"/>
      <c r="F31" s="255"/>
      <c r="G31" s="239" t="s">
        <v>2147</v>
      </c>
    </row>
    <row r="32" spans="1:7" s="213" customFormat="1" ht="15.75">
      <c r="A32" s="257" t="s">
        <v>2214</v>
      </c>
      <c r="B32" s="258"/>
      <c r="C32" s="258"/>
      <c r="D32" s="258"/>
      <c r="E32" s="258"/>
      <c r="F32" s="258"/>
      <c r="G32" s="259"/>
    </row>
    <row r="33" spans="1:7" s="219" customFormat="1" ht="13.5" customHeight="1">
      <c r="A33" s="260" t="s">
        <v>782</v>
      </c>
      <c r="B33" s="215" t="s">
        <v>2215</v>
      </c>
      <c r="C33" s="261">
        <f ca="1">SUM(C34:C38)</f>
        <v>95683243</v>
      </c>
      <c r="D33" s="237"/>
      <c r="E33" s="217"/>
      <c r="F33" s="246"/>
      <c r="G33" s="239"/>
    </row>
    <row r="34" spans="1:7" s="263" customFormat="1" ht="13.5" customHeight="1">
      <c r="A34" s="887" t="s">
        <v>791</v>
      </c>
      <c r="B34" s="220" t="s">
        <v>2150</v>
      </c>
      <c r="C34" s="225">
        <f ca="1">ROUND(IF(B1="",SUMPRODUCT('数据-取费表'!K6:K14,'数据-取费表'!L6:L14),INDIRECT("'数据-取费表'!l"&amp;$G$1)*INDIRECT("'数据-取费表'!k"&amp;$G$1)+'数据-取费表'!L14*INDIRECT("'数据-取费表'!S"&amp;$G$1)),0)</f>
        <v>86815645</v>
      </c>
      <c r="D34" s="222"/>
      <c r="E34" s="225"/>
      <c r="F34" s="262"/>
      <c r="G34" s="224"/>
    </row>
    <row r="35" spans="1:7" ht="13.5" customHeight="1">
      <c r="A35" s="887" t="s">
        <v>796</v>
      </c>
      <c r="B35" s="220" t="s">
        <v>2152</v>
      </c>
      <c r="C35" s="225">
        <f ca="1">ROUND(C34*F35,0)</f>
        <v>2604469</v>
      </c>
      <c r="D35" s="225"/>
      <c r="E35" s="225"/>
      <c r="F35" s="264">
        <f>'数据-取费表'!B33</f>
        <v>0.03</v>
      </c>
      <c r="G35" s="224" t="s">
        <v>2153</v>
      </c>
    </row>
    <row r="36" spans="1:7" ht="24">
      <c r="A36" s="887" t="s">
        <v>797</v>
      </c>
      <c r="B36" s="220" t="s">
        <v>2154</v>
      </c>
      <c r="C36" s="225">
        <f ca="1">ROUND(IF(B1="",SUM('数据-取费表'!AP6:AP13)*F36,IF(INDIRECT("'数据-取费表'!c"&amp;$G$1)="住宅",INDIRECT("'数据-取费表'!k"&amp;$G$1)*INDIRECT("'数据-取费表'!l"&amp;$G$1)*F36,0)),0)</f>
        <v>0</v>
      </c>
      <c r="D36" s="225"/>
      <c r="E36" s="225"/>
      <c r="F36" s="264">
        <f>'数据-取费表'!B34</f>
        <v>0.05</v>
      </c>
      <c r="G36" s="265" t="s">
        <v>2155</v>
      </c>
    </row>
    <row r="37" spans="1:7" s="263" customFormat="1" ht="13.5" customHeight="1">
      <c r="A37" s="887" t="s">
        <v>798</v>
      </c>
      <c r="B37" s="220" t="s">
        <v>2156</v>
      </c>
      <c r="C37" s="254">
        <f ca="1">ROUND(E37*D37,0)</f>
        <v>4960894</v>
      </c>
      <c r="D37" s="222">
        <f ca="1">D19</f>
        <v>24804.469999999998</v>
      </c>
      <c r="E37" s="254">
        <f>'数据-取费表'!B35</f>
        <v>200</v>
      </c>
      <c r="F37" s="264"/>
      <c r="G37" s="266"/>
    </row>
    <row r="38" spans="1:7" ht="13.5" customHeight="1">
      <c r="A38" s="887" t="s">
        <v>799</v>
      </c>
      <c r="B38" s="220" t="s">
        <v>2158</v>
      </c>
      <c r="C38" s="225">
        <f ca="1">ROUND(C34*F38,0)</f>
        <v>1302235</v>
      </c>
      <c r="D38" s="225"/>
      <c r="E38" s="225"/>
      <c r="F38" s="264">
        <f>'数据-取费表'!B36</f>
        <v>1.4999999999999999E-2</v>
      </c>
      <c r="G38" s="224" t="s">
        <v>2153</v>
      </c>
    </row>
    <row r="39" spans="1:7" s="219" customFormat="1" ht="13.5" customHeight="1">
      <c r="A39" s="260" t="s">
        <v>2159</v>
      </c>
      <c r="B39" s="215" t="s">
        <v>2160</v>
      </c>
      <c r="C39" s="237">
        <f ca="1">ROUND(C33*F20,0)</f>
        <v>1913665</v>
      </c>
      <c r="D39" s="237"/>
      <c r="E39" s="237"/>
      <c r="F39" s="2503">
        <f>F20</f>
        <v>0.02</v>
      </c>
      <c r="G39" s="239" t="s">
        <v>2161</v>
      </c>
    </row>
    <row r="40" spans="1:7" s="219" customFormat="1" ht="13.5" customHeight="1">
      <c r="A40" s="260" t="s">
        <v>2162</v>
      </c>
      <c r="B40" s="215" t="s">
        <v>2163</v>
      </c>
      <c r="C40" s="1465">
        <f>F21</f>
        <v>0.02</v>
      </c>
      <c r="D40" s="241" t="s">
        <v>2164</v>
      </c>
      <c r="E40" s="237"/>
      <c r="F40" s="2503">
        <f>F21</f>
        <v>0.02</v>
      </c>
      <c r="G40" s="239" t="s">
        <v>2165</v>
      </c>
    </row>
    <row r="41" spans="1:7" s="219" customFormat="1" ht="13.5" customHeight="1">
      <c r="A41" s="260" t="s">
        <v>2166</v>
      </c>
      <c r="B41" s="215" t="s">
        <v>2167</v>
      </c>
      <c r="C41" s="237">
        <f ca="1">ROUND(SUM(C42:C43),0)</f>
        <v>3058438</v>
      </c>
      <c r="D41" s="240">
        <f ca="1">C44</f>
        <v>5.9999999999999995E-4</v>
      </c>
      <c r="E41" s="241" t="s">
        <v>2164</v>
      </c>
      <c r="F41" s="2504">
        <f ca="1">F22</f>
        <v>4.2000000000000003E-2</v>
      </c>
      <c r="G41" s="239" t="str">
        <f>IF('数据-取费表'!B22&lt;=1,"单利计息","复利计息")</f>
        <v>复利计息</v>
      </c>
    </row>
    <row r="42" spans="1:7" ht="13.5" customHeight="1">
      <c r="A42" s="887" t="s">
        <v>791</v>
      </c>
      <c r="B42" s="220" t="s">
        <v>2168</v>
      </c>
      <c r="C42" s="243">
        <f ca="1">ROUND(IF('数据-取费表'!B22&lt;=1,C33*F22*'数据-取费表'!B20/2,C33*(POWER((1+F22),'数据-取费表'!B20/2)-1)),0)</f>
        <v>2998469</v>
      </c>
      <c r="D42" s="243"/>
      <c r="E42" s="243"/>
      <c r="F42" s="244"/>
      <c r="G42" s="3399" t="s">
        <v>2216</v>
      </c>
    </row>
    <row r="43" spans="1:7" ht="13.5" customHeight="1">
      <c r="A43" s="887" t="s">
        <v>792</v>
      </c>
      <c r="B43" s="220" t="s">
        <v>2170</v>
      </c>
      <c r="C43" s="243">
        <f ca="1">ROUND(IF('数据-取费表'!B22&lt;=1,C39*F22*'数据-取费表'!B20/2,C39*(POWER((1+F22),'数据-取费表'!B20/2)-1)),0)</f>
        <v>59969</v>
      </c>
      <c r="D43" s="243"/>
      <c r="E43" s="243"/>
      <c r="F43" s="244"/>
      <c r="G43" s="3400"/>
    </row>
    <row r="44" spans="1:7" ht="13.5" customHeight="1">
      <c r="A44" s="887" t="s">
        <v>793</v>
      </c>
      <c r="B44" s="220" t="s">
        <v>2171</v>
      </c>
      <c r="C44" s="243">
        <f ca="1">ROUND(IF('数据-取费表'!B22&lt;=1,C40*F22*'数据-取费表'!B20/2,C40*(POWER((1+F22),'数据-取费表'!B20/2)-1)),4)</f>
        <v>5.9999999999999995E-4</v>
      </c>
      <c r="D44" s="243"/>
      <c r="E44" s="243"/>
      <c r="F44" s="244"/>
      <c r="G44" s="3401"/>
    </row>
    <row r="45" spans="1:7" s="219" customFormat="1" ht="13.5" customHeight="1">
      <c r="A45" s="260" t="s">
        <v>2172</v>
      </c>
      <c r="B45" s="249" t="s">
        <v>2138</v>
      </c>
      <c r="C45" s="250">
        <f ca="1">C46</f>
        <v>14639536</v>
      </c>
      <c r="D45" s="240">
        <f ca="1">C47</f>
        <v>3.0000000000000001E-3</v>
      </c>
      <c r="E45" s="241" t="s">
        <v>2164</v>
      </c>
      <c r="F45" s="2505">
        <f ca="1">F27</f>
        <v>0.15</v>
      </c>
      <c r="G45" s="252" t="s">
        <v>2173</v>
      </c>
    </row>
    <row r="46" spans="1:7" s="219" customFormat="1" ht="13.5" customHeight="1">
      <c r="A46" s="887" t="s">
        <v>791</v>
      </c>
      <c r="B46" s="253" t="s">
        <v>2174</v>
      </c>
      <c r="C46" s="254">
        <f ca="1">ROUND((C33+C39)*F27,0)</f>
        <v>14639536</v>
      </c>
      <c r="D46" s="268"/>
      <c r="E46" s="241"/>
      <c r="F46" s="251"/>
      <c r="G46" s="252"/>
    </row>
    <row r="47" spans="1:7" s="219" customFormat="1" ht="13.5" customHeight="1">
      <c r="A47" s="887" t="s">
        <v>792</v>
      </c>
      <c r="B47" s="253" t="s">
        <v>2175</v>
      </c>
      <c r="C47" s="243">
        <f ca="1">ROUND(C40*F27,4)</f>
        <v>3.0000000000000001E-3</v>
      </c>
      <c r="D47" s="268"/>
      <c r="E47" s="241"/>
      <c r="F47" s="251"/>
      <c r="G47" s="252"/>
    </row>
    <row r="48" spans="1:7" s="219" customFormat="1" ht="13.5" customHeight="1">
      <c r="A48" s="260" t="s">
        <v>2137</v>
      </c>
      <c r="B48" s="215" t="s">
        <v>2176</v>
      </c>
      <c r="C48" s="267">
        <f>ROUND(F30/(1+'数据-取费表'!C42),4)</f>
        <v>5.33E-2</v>
      </c>
      <c r="D48" s="241" t="s">
        <v>2164</v>
      </c>
      <c r="E48" s="237"/>
      <c r="F48" s="2504">
        <f>F30</f>
        <v>5.6000000000000001E-2</v>
      </c>
      <c r="G48" s="239" t="s">
        <v>2177</v>
      </c>
    </row>
    <row r="49" spans="1:7" ht="16.5" customHeight="1">
      <c r="A49" s="260" t="s">
        <v>2143</v>
      </c>
      <c r="B49" s="215" t="s">
        <v>2217</v>
      </c>
      <c r="C49" s="237">
        <f ca="1">ROUND((C33+C39+C41+C45)/(1-C40-D41-D45-C48),0)</f>
        <v>124899666</v>
      </c>
      <c r="D49" s="237"/>
      <c r="E49" s="237"/>
      <c r="F49" s="269"/>
      <c r="G49" s="239" t="s">
        <v>2179</v>
      </c>
    </row>
    <row r="50" spans="1:7" s="263" customFormat="1">
      <c r="A50" s="260" t="s">
        <v>2180</v>
      </c>
      <c r="B50" s="215" t="s">
        <v>2181</v>
      </c>
      <c r="C50" s="237"/>
      <c r="D50" s="237"/>
      <c r="E50" s="237"/>
      <c r="F50" s="269">
        <f>IF('数据-取费表'!B24=0,'数据-取费表'!N16,1)</f>
        <v>0.95</v>
      </c>
      <c r="G50" s="252"/>
    </row>
    <row r="51" spans="1:7" ht="16.5" customHeight="1">
      <c r="A51" s="260" t="s">
        <v>2183</v>
      </c>
      <c r="B51" s="215" t="s">
        <v>2218</v>
      </c>
      <c r="C51" s="237">
        <f ca="1">ROUND(C49*F50,0)</f>
        <v>118654683</v>
      </c>
      <c r="D51" s="237"/>
      <c r="E51" s="237"/>
      <c r="F51" s="269"/>
      <c r="G51" s="239" t="s">
        <v>2185</v>
      </c>
    </row>
    <row r="52" spans="1:7" s="213" customFormat="1" ht="16.5" thickBot="1">
      <c r="A52" s="270" t="s">
        <v>2186</v>
      </c>
      <c r="B52" s="271"/>
      <c r="C52" s="272">
        <f ca="1">C31+C51</f>
        <v>131953422</v>
      </c>
      <c r="D52" s="271"/>
      <c r="E52" s="271"/>
      <c r="F52" s="271"/>
      <c r="G52" s="273"/>
    </row>
    <row r="55" spans="1:7" ht="15">
      <c r="B55" s="275" t="s">
        <v>2187</v>
      </c>
      <c r="C55" s="276"/>
    </row>
    <row r="56" spans="1:7">
      <c r="B56" s="278" t="s">
        <v>1418</v>
      </c>
      <c r="C56" s="280">
        <f ca="1">1-C57</f>
        <v>0.10099999999999998</v>
      </c>
    </row>
    <row r="57" spans="1:7">
      <c r="B57" s="278" t="s">
        <v>1419</v>
      </c>
      <c r="C57" s="279">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2219</v>
      </c>
      <c r="B1" s="1323"/>
      <c r="C1" s="1324"/>
      <c r="D1" s="1322"/>
      <c r="E1" s="3005"/>
      <c r="F1" s="3005"/>
      <c r="G1" s="2868"/>
      <c r="H1" s="3005"/>
      <c r="I1" s="3005"/>
      <c r="J1" s="3005"/>
      <c r="K1" s="3006">
        <f>MATCH(C1,'数据-取费表'!A6:A16,0)+5</f>
        <v>7</v>
      </c>
    </row>
    <row r="2" spans="1:33" ht="18" customHeight="1">
      <c r="A2" s="206" t="s">
        <v>2087</v>
      </c>
      <c r="B2" s="209">
        <f ca="1">C32</f>
        <v>0</v>
      </c>
      <c r="C2" s="281" t="s">
        <v>2220</v>
      </c>
      <c r="D2" s="281"/>
      <c r="E2" s="3005"/>
      <c r="F2" s="3005"/>
      <c r="G2" s="3005"/>
      <c r="H2" s="3005"/>
      <c r="I2" s="3005"/>
      <c r="J2" s="3005"/>
      <c r="K2" s="3005"/>
    </row>
    <row r="3" spans="1:33" ht="18" customHeight="1" thickBot="1">
      <c r="A3" s="208" t="s">
        <v>2089</v>
      </c>
      <c r="B3" s="209">
        <f ca="1">ROUND(B2*10000/IF(C1="",'数据-汇总表'!E3,INDIRECT("'数据-取费表'!K"&amp;$K$1)),0)</f>
        <v>0</v>
      </c>
      <c r="C3" s="281" t="s">
        <v>2221</v>
      </c>
      <c r="D3" s="281"/>
      <c r="E3" s="3005"/>
      <c r="F3" s="3005"/>
      <c r="G3" s="3005"/>
      <c r="H3" s="3005"/>
      <c r="I3" s="3005"/>
      <c r="J3" s="3005"/>
      <c r="K3" s="3005"/>
    </row>
    <row r="4" spans="1:33" s="892" customFormat="1" ht="16.5" customHeight="1">
      <c r="A4" s="889" t="s">
        <v>2222</v>
      </c>
      <c r="B4" s="890"/>
      <c r="C4" s="932">
        <f>SUM(C8:K8)</f>
        <v>0</v>
      </c>
      <c r="D4" s="890"/>
      <c r="E4" s="890"/>
      <c r="F4" s="890"/>
      <c r="G4" s="890"/>
      <c r="H4" s="890"/>
      <c r="I4" s="890"/>
      <c r="J4" s="890"/>
      <c r="K4" s="891"/>
    </row>
    <row r="5" spans="1:33" s="896" customFormat="1" ht="24.75">
      <c r="A5" s="893" t="s">
        <v>2223</v>
      </c>
      <c r="B5" s="894" t="s">
        <v>2224</v>
      </c>
      <c r="C5" s="2014" t="s">
        <v>2225</v>
      </c>
      <c r="D5" s="2014" t="s">
        <v>2226</v>
      </c>
      <c r="E5" s="2014" t="s">
        <v>2227</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2229</v>
      </c>
      <c r="B7" s="135" t="s">
        <v>2230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2231</v>
      </c>
      <c r="B8" s="168" t="s">
        <v>2232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2233</v>
      </c>
      <c r="B9" s="890"/>
      <c r="C9" s="890"/>
      <c r="D9" s="890"/>
      <c r="E9" s="890"/>
      <c r="F9" s="890"/>
      <c r="G9" s="890"/>
      <c r="H9" s="890"/>
      <c r="I9" s="890"/>
      <c r="J9" s="890"/>
      <c r="K9" s="891"/>
    </row>
    <row r="10" spans="1:33" s="906" customFormat="1" ht="13.5" customHeight="1">
      <c r="A10" s="893" t="s">
        <v>2234</v>
      </c>
      <c r="B10" s="8" t="s">
        <v>2235</v>
      </c>
      <c r="C10" s="902" t="s">
        <v>2236</v>
      </c>
      <c r="D10" s="903" t="s">
        <v>2237</v>
      </c>
      <c r="E10" s="903" t="s">
        <v>2238</v>
      </c>
      <c r="F10" s="903" t="s">
        <v>2239</v>
      </c>
      <c r="G10" s="8"/>
      <c r="H10" s="904"/>
      <c r="I10" s="904"/>
      <c r="J10" s="904"/>
      <c r="K10" s="905"/>
    </row>
    <row r="11" spans="1:33" s="911" customFormat="1" ht="13.5" customHeight="1">
      <c r="A11" s="907" t="s">
        <v>1241</v>
      </c>
      <c r="B11" s="908" t="s">
        <v>2240</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2241</v>
      </c>
      <c r="C12" s="24">
        <f ca="1">ROUND(C11*F12,0)</f>
        <v>0</v>
      </c>
      <c r="D12" s="909"/>
      <c r="E12" s="334"/>
      <c r="F12" s="912">
        <f>'数据-取费表'!B33</f>
        <v>0.03</v>
      </c>
      <c r="G12" s="8" t="s">
        <v>2242</v>
      </c>
      <c r="H12" s="904"/>
      <c r="I12" s="904"/>
      <c r="J12" s="904"/>
      <c r="K12" s="905"/>
    </row>
    <row r="13" spans="1:33" s="911" customFormat="1" ht="13.5" customHeight="1">
      <c r="A13" s="907" t="s">
        <v>1243</v>
      </c>
      <c r="B13" s="908" t="s">
        <v>2243</v>
      </c>
      <c r="C13" s="24">
        <f ca="1">ROUND(IF(C1="",SUMIF('数据-取费表'!C:C,"住宅",'数据-取费表'!P:P)*F13,IF(INDIRECT("'数据-取费表'!c"&amp;$K$1)="住宅",INDIRECT("'数据-取费表'!P"&amp;$K$1)*F13,0)),0)</f>
        <v>0</v>
      </c>
      <c r="D13" s="954"/>
      <c r="E13" s="334"/>
      <c r="F13" s="912">
        <f>'数据-取费表'!B34</f>
        <v>0.05</v>
      </c>
      <c r="G13" s="8" t="s">
        <v>2244</v>
      </c>
      <c r="H13" s="904"/>
      <c r="I13" s="904"/>
      <c r="J13" s="904"/>
      <c r="K13" s="905"/>
    </row>
    <row r="14" spans="1:33" s="913" customFormat="1" ht="13.5" customHeight="1">
      <c r="A14" s="907" t="s">
        <v>1244</v>
      </c>
      <c r="B14" s="908" t="s">
        <v>2245</v>
      </c>
      <c r="C14" s="24">
        <f ca="1">ROUND(D14*E14*F11/10000,0)</f>
        <v>0</v>
      </c>
      <c r="D14" s="954">
        <f ca="1">IF(C1="",'数据-汇总表'!E3,INDIRECT("'数据-取费表'!K"&amp;$K$1)+INDIRECT("'数据-取费表'!S"&amp;$K$1))</f>
        <v>24804.469999999998</v>
      </c>
      <c r="E14" s="24">
        <f>'数据-取费表'!B35</f>
        <v>200</v>
      </c>
      <c r="F14" s="912"/>
      <c r="G14" s="8" t="s">
        <v>2246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2247</v>
      </c>
      <c r="C15" s="919">
        <f ca="1">ROUND(C11*F15,0)</f>
        <v>0</v>
      </c>
      <c r="D15" s="914"/>
      <c r="E15" s="919"/>
      <c r="F15" s="920">
        <f>'数据-取费表'!B36</f>
        <v>1.4999999999999999E-2</v>
      </c>
      <c r="G15" s="135" t="s">
        <v>2248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2249</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2250</v>
      </c>
      <c r="C17" s="24">
        <f ca="1">ROUND(D17*E17/10000,0)</f>
        <v>0</v>
      </c>
      <c r="D17" s="954">
        <f ca="1">D14</f>
        <v>24804.469999999998</v>
      </c>
      <c r="E17" s="24">
        <f>'数据-取费表'!B32</f>
        <v>0</v>
      </c>
      <c r="F17" s="914"/>
      <c r="G17" s="135" t="s">
        <v>2251</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2252</v>
      </c>
      <c r="C18" s="24">
        <f ca="1">C19+C20-IF(C1="",'数据-取费表'!B29,IF(G18="已全部缴纳",C19+C20,H18))</f>
        <v>0</v>
      </c>
      <c r="D18" s="954"/>
      <c r="E18" s="24"/>
      <c r="F18" s="912"/>
      <c r="G18" s="2016"/>
      <c r="H18" s="1319"/>
      <c r="I18" s="2017" t="s">
        <v>2253</v>
      </c>
      <c r="J18" s="915"/>
      <c r="K18" s="916"/>
    </row>
    <row r="19" spans="1:33" s="911" customFormat="1" ht="13.5" customHeight="1">
      <c r="A19" s="907" t="s">
        <v>805</v>
      </c>
      <c r="B19" s="908" t="s">
        <v>2254</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2255</v>
      </c>
      <c r="C20" s="24">
        <f ca="1">ROUND(D20*E20/10000,0)</f>
        <v>496</v>
      </c>
      <c r="D20" s="954">
        <f ca="1">IF(C1="",'数据-汇总表'!E6,IF(INDIRECT("'数据-取费表'!c"&amp;$K$1)="住宅",INDIRECT("'数据-取费表'!s"&amp;$K$1),INDIRECT("'数据-取费表'!k"&amp;$K$1)+INDIRECT("'数据-取费表'!s"&amp;$K$1)))</f>
        <v>24804.469999999998</v>
      </c>
      <c r="E20" s="24">
        <f>'数据-取费表'!B28</f>
        <v>200</v>
      </c>
      <c r="F20" s="912"/>
      <c r="G20" s="15"/>
      <c r="H20" s="917"/>
      <c r="I20" s="917"/>
      <c r="J20" s="917"/>
      <c r="K20" s="918"/>
    </row>
    <row r="21" spans="1:33" s="911" customFormat="1" ht="13.5" customHeight="1">
      <c r="A21" s="897" t="s">
        <v>802</v>
      </c>
      <c r="B21" s="921" t="s">
        <v>2256</v>
      </c>
      <c r="C21" s="922">
        <f ca="1">C16+C17+C18</f>
        <v>0</v>
      </c>
      <c r="D21" s="923"/>
      <c r="E21" s="286"/>
      <c r="F21" s="286"/>
      <c r="G21" s="135" t="s">
        <v>2257</v>
      </c>
      <c r="H21" s="915"/>
      <c r="I21" s="915"/>
      <c r="J21" s="915"/>
      <c r="K21" s="916"/>
    </row>
    <row r="22" spans="1:33" s="911" customFormat="1" ht="13.5" customHeight="1">
      <c r="A22" s="897" t="s">
        <v>2229</v>
      </c>
      <c r="B22" s="921" t="s">
        <v>2258</v>
      </c>
      <c r="C22" s="922">
        <f ca="1">ROUND(C21*F22,0)</f>
        <v>0</v>
      </c>
      <c r="D22" s="286"/>
      <c r="E22" s="286"/>
      <c r="F22" s="924">
        <f>'数据-取费表'!B37</f>
        <v>0.02</v>
      </c>
      <c r="G22" s="8" t="s">
        <v>2259</v>
      </c>
      <c r="H22" s="904"/>
      <c r="I22" s="904"/>
      <c r="J22" s="904"/>
      <c r="K22" s="905"/>
    </row>
    <row r="23" spans="1:33" s="911" customFormat="1" ht="13.5" customHeight="1">
      <c r="A23" s="897" t="s">
        <v>2231</v>
      </c>
      <c r="B23" s="921" t="s">
        <v>2260</v>
      </c>
      <c r="C23" s="922">
        <f ca="1">ROUND(C4*F23*F11,0)</f>
        <v>0</v>
      </c>
      <c r="D23" s="286"/>
      <c r="E23" s="286"/>
      <c r="F23" s="924">
        <f>'数据-取费表'!B38</f>
        <v>0.02</v>
      </c>
      <c r="G23" s="8" t="s">
        <v>2261</v>
      </c>
      <c r="H23" s="904"/>
      <c r="I23" s="904"/>
      <c r="J23" s="904"/>
      <c r="K23" s="905"/>
    </row>
    <row r="24" spans="1:33" s="911" customFormat="1" ht="13.5" customHeight="1">
      <c r="A24" s="897" t="s">
        <v>2262</v>
      </c>
      <c r="B24" s="921" t="s">
        <v>2263</v>
      </c>
      <c r="C24" s="285">
        <f>ROUND(F24/(1+'数据-取费表'!C42),4)</f>
        <v>2.9000000000000001E-2</v>
      </c>
      <c r="D24" s="286" t="s">
        <v>15</v>
      </c>
      <c r="E24" s="286"/>
      <c r="F24" s="924">
        <f>IF(项目基本情况!B8="出让",0,'数据-取费表'!B48+'数据-取费表'!B49)</f>
        <v>3.0499999999999999E-2</v>
      </c>
      <c r="G24" s="8" t="s">
        <v>2264</v>
      </c>
      <c r="H24" s="926"/>
      <c r="I24" s="926"/>
      <c r="J24" s="926"/>
      <c r="K24" s="927"/>
    </row>
    <row r="25" spans="1:33" s="911" customFormat="1" ht="13.5" customHeight="1">
      <c r="A25" s="897" t="s">
        <v>2265</v>
      </c>
      <c r="B25" s="923" t="s">
        <v>2266</v>
      </c>
      <c r="C25" s="1236">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2267</v>
      </c>
      <c r="C26" s="1237">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2268</v>
      </c>
      <c r="C27" s="1238">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2269</v>
      </c>
      <c r="B28" s="2019" t="s">
        <v>2270</v>
      </c>
      <c r="C28" s="292">
        <f ca="1">C30</f>
        <v>0</v>
      </c>
      <c r="D28" s="285">
        <f ca="1">C29</f>
        <v>0</v>
      </c>
      <c r="E28" s="287" t="s">
        <v>15</v>
      </c>
      <c r="F28" s="293">
        <f ca="1">IF(C1="",'数据-取费表'!Q16,INDIRECT("'数据-取费表'!q"&amp;$K$1))</f>
        <v>0.15</v>
      </c>
      <c r="G28" s="925"/>
      <c r="H28" s="926"/>
      <c r="I28" s="926"/>
      <c r="J28" s="926"/>
      <c r="K28" s="927"/>
    </row>
    <row r="29" spans="1:33" s="296" customFormat="1" ht="13.5" customHeight="1">
      <c r="A29" s="907" t="s">
        <v>803</v>
      </c>
      <c r="B29" s="930" t="s">
        <v>2271</v>
      </c>
      <c r="C29" s="289">
        <f ca="1">ROUND((1+C24)*F28*'数据-取费表'!B24/'数据-取费表'!B20,4)</f>
        <v>0</v>
      </c>
      <c r="D29" s="289"/>
      <c r="E29" s="290"/>
      <c r="F29" s="295"/>
      <c r="G29" s="135" t="s">
        <v>2272</v>
      </c>
      <c r="H29" s="915"/>
      <c r="I29" s="915"/>
      <c r="J29" s="915"/>
      <c r="K29" s="916"/>
    </row>
    <row r="30" spans="1:33" s="296" customFormat="1" ht="13.5" customHeight="1">
      <c r="A30" s="907" t="s">
        <v>804</v>
      </c>
      <c r="B30" s="930" t="s">
        <v>2273</v>
      </c>
      <c r="C30" s="297">
        <f ca="1">ROUND((C21+C22+C23)*F28,0)</f>
        <v>0</v>
      </c>
      <c r="D30" s="289"/>
      <c r="E30" s="290"/>
      <c r="F30" s="295"/>
      <c r="G30" s="135"/>
      <c r="H30" s="915"/>
      <c r="I30" s="915"/>
      <c r="J30" s="915"/>
      <c r="K30" s="916"/>
    </row>
    <row r="31" spans="1:33" s="911" customFormat="1" ht="13.5" customHeight="1" thickBot="1">
      <c r="A31" s="2020" t="s">
        <v>2274</v>
      </c>
      <c r="B31" s="941" t="s">
        <v>2275</v>
      </c>
      <c r="C31" s="942">
        <f>ROUND(C4*F31/(1+'数据-取费表'!C42),0)</f>
        <v>0</v>
      </c>
      <c r="D31" s="943"/>
      <c r="E31" s="944"/>
      <c r="F31" s="945">
        <f>'数据-取费表'!B41</f>
        <v>5.6000000000000001E-2</v>
      </c>
      <c r="G31" s="946" t="s">
        <v>2276</v>
      </c>
      <c r="H31" s="947"/>
      <c r="I31" s="947"/>
      <c r="J31" s="947"/>
      <c r="K31" s="948"/>
    </row>
    <row r="32" spans="1:33" s="906" customFormat="1" ht="13.5" customHeight="1" thickBot="1">
      <c r="A32" s="936" t="s">
        <v>2277</v>
      </c>
      <c r="B32" s="937"/>
      <c r="C32" s="938">
        <f ca="1">ROUND((C4-C21-C22-C23-C25-C28-C31)/(1+C24+D25+D28),0)</f>
        <v>0</v>
      </c>
      <c r="D32" s="937"/>
      <c r="E32" s="937"/>
      <c r="F32" s="937"/>
      <c r="G32" s="939" t="s">
        <v>2278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3" sqref="H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6</v>
      </c>
      <c r="D1" s="1514" t="s">
        <v>70</v>
      </c>
      <c r="E1" s="1515" t="s">
        <v>1292</v>
      </c>
      <c r="F1" s="1191">
        <f ca="1">J53</f>
        <v>41.15</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37244</v>
      </c>
      <c r="C2" s="1539" t="s">
        <v>1421</v>
      </c>
      <c r="D2" s="1539"/>
      <c r="E2" s="1540"/>
      <c r="F2" s="1541"/>
      <c r="G2" s="2903"/>
      <c r="H2" s="2892"/>
      <c r="I2" s="2892"/>
      <c r="J2" s="2892"/>
      <c r="K2" s="2893"/>
      <c r="L2" s="2892"/>
      <c r="M2" s="2892"/>
    </row>
    <row r="3" spans="1:37" ht="18" customHeight="1" thickBot="1">
      <c r="A3" s="1542" t="s">
        <v>1422</v>
      </c>
      <c r="B3" s="1543">
        <f ca="1">IF(ISERROR(B2*10000/F43),0,ROUND(B2*10000/F43,0))</f>
        <v>15240</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0">
        <f ca="1">C6+C10+C12</f>
        <v>1760</v>
      </c>
      <c r="D5" s="1516" t="s">
        <v>1307</v>
      </c>
      <c r="E5" s="1201"/>
      <c r="F5" s="1202"/>
      <c r="G5" s="1536"/>
      <c r="H5" s="304">
        <v>1</v>
      </c>
      <c r="I5" s="305" t="s">
        <v>1306</v>
      </c>
      <c r="J5" s="1200">
        <f ca="1">J6+J10+J12</f>
        <v>0</v>
      </c>
      <c r="K5" s="1516" t="s">
        <v>1307</v>
      </c>
      <c r="L5" s="1201"/>
      <c r="M5" s="1202"/>
    </row>
    <row r="6" spans="1:37" ht="18" customHeight="1">
      <c r="A6" s="1199" t="s">
        <v>1003</v>
      </c>
      <c r="B6" s="3404" t="s">
        <v>1308</v>
      </c>
      <c r="C6" s="1204">
        <f ca="1">ROUND(F6*F8*F7*(1-F9)/10000,0)</f>
        <v>1758</v>
      </c>
      <c r="D6" s="159" t="s">
        <v>2790</v>
      </c>
      <c r="E6" s="307" t="s">
        <v>1310</v>
      </c>
      <c r="F6" s="308">
        <f ca="1">INDIRECT("'数据-取费表'!u"&amp;$G$1)</f>
        <v>2.19</v>
      </c>
      <c r="G6" s="1536"/>
      <c r="H6" s="1199" t="s">
        <v>1003</v>
      </c>
      <c r="I6" s="3404" t="s">
        <v>1308</v>
      </c>
      <c r="J6" s="306">
        <f ca="1">ROUND(M6*M8*M7*(1-M9)/10000,0)</f>
        <v>0</v>
      </c>
      <c r="K6" s="159" t="s">
        <v>2789</v>
      </c>
      <c r="L6" s="307" t="s">
        <v>1310</v>
      </c>
      <c r="M6" s="308">
        <f ca="1">INDIRECT("'数据-取费表'!z"&amp;$G$1)</f>
        <v>0</v>
      </c>
    </row>
    <row r="7" spans="1:37" ht="18" customHeight="1">
      <c r="A7" s="1203"/>
      <c r="B7" s="3405"/>
      <c r="C7" s="1205"/>
      <c r="D7" s="312"/>
      <c r="E7" s="1206" t="s">
        <v>1311</v>
      </c>
      <c r="F7" s="308">
        <f ca="1">IF(INDIRECT("'数据-取费表'!ah"&amp;$G$1)="",INDIRECT("'数据-取费表'!k"&amp;$G$1),INDIRECT("'数据-取费表'!ah"&amp;$G$1))</f>
        <v>24438.69</v>
      </c>
      <c r="G7" s="1536"/>
      <c r="H7" s="309"/>
      <c r="I7" s="3405"/>
      <c r="J7" s="311"/>
      <c r="K7" s="312"/>
      <c r="L7" s="307" t="s">
        <v>1311</v>
      </c>
      <c r="M7" s="308">
        <f ca="1">F7</f>
        <v>24438.69</v>
      </c>
    </row>
    <row r="8" spans="1:37" ht="18" customHeight="1">
      <c r="A8" s="309"/>
      <c r="B8" s="3405"/>
      <c r="C8" s="311"/>
      <c r="D8" s="312"/>
      <c r="E8" s="307" t="s">
        <v>1312</v>
      </c>
      <c r="F8" s="308">
        <f ca="1">INDIRECT("'数据-取费表'!ai"&amp;$G$1)</f>
        <v>365</v>
      </c>
      <c r="G8" s="1536"/>
      <c r="H8" s="309"/>
      <c r="I8" s="3405"/>
      <c r="J8" s="311"/>
      <c r="K8" s="312"/>
      <c r="L8" s="307" t="s">
        <v>1312</v>
      </c>
      <c r="M8" s="308">
        <f ca="1">INDIRECT("'数据-取费表'!ai"&amp;$G$1)</f>
        <v>365</v>
      </c>
    </row>
    <row r="9" spans="1:37" ht="18" customHeight="1">
      <c r="A9" s="309"/>
      <c r="B9" s="3406"/>
      <c r="C9" s="311"/>
      <c r="D9" s="312"/>
      <c r="E9" s="307" t="s">
        <v>1313</v>
      </c>
      <c r="F9" s="317">
        <f ca="1">INDIRECT("'数据-取费表'!w"&amp;$G$1)</f>
        <v>0.1</v>
      </c>
      <c r="G9" s="1536"/>
      <c r="H9" s="309"/>
      <c r="I9" s="3406"/>
      <c r="J9" s="311"/>
      <c r="K9" s="312"/>
      <c r="L9" s="318" t="s">
        <v>1313</v>
      </c>
      <c r="M9" s="319">
        <f ca="1">INDIRECT("'数据-取费表'!ab"&amp;$G$1)</f>
        <v>0</v>
      </c>
    </row>
    <row r="10" spans="1:37" ht="18" customHeight="1">
      <c r="A10" s="1199" t="s">
        <v>1007</v>
      </c>
      <c r="B10" s="1517" t="s">
        <v>1314</v>
      </c>
      <c r="C10" s="321">
        <f ca="1">ROUND(IF(F10="押一",C6/12*F11,IF(F10="押二",C6/12*2*F11,IF(F10="押三",C6/12*3*F11,C11*F11))),0)</f>
        <v>2</v>
      </c>
      <c r="D10" s="1518" t="s">
        <v>2798</v>
      </c>
      <c r="E10" s="318" t="s">
        <v>1315</v>
      </c>
      <c r="F10" s="1246" t="s">
        <v>3164</v>
      </c>
      <c r="G10" s="1536"/>
      <c r="H10" s="1199" t="s">
        <v>1007</v>
      </c>
      <c r="I10" s="1517" t="s">
        <v>1314</v>
      </c>
      <c r="J10" s="306">
        <f ca="1">ROUND(IF(M10="押一",J6/12*M11,IF(M10="押二",J6/12*2*M11,IF(M10="押三",J6/12*3*M11,J11*M11))),0)</f>
        <v>0</v>
      </c>
      <c r="K10" s="1518" t="s">
        <v>2797</v>
      </c>
      <c r="L10" s="318" t="s">
        <v>1315</v>
      </c>
      <c r="M10" s="1246" t="s">
        <v>1316</v>
      </c>
    </row>
    <row r="11" spans="1:37" ht="18" customHeight="1">
      <c r="A11" s="313"/>
      <c r="B11" s="1519" t="s">
        <v>1293</v>
      </c>
      <c r="C11" s="1089"/>
      <c r="D11" s="1520"/>
      <c r="E11" s="318" t="s">
        <v>1317</v>
      </c>
      <c r="F11" s="319">
        <f ca="1">'数据-取费表'!B39</f>
        <v>1.4999999999999999E-2</v>
      </c>
      <c r="G11" s="1536"/>
      <c r="H11" s="1207"/>
      <c r="I11" s="1519" t="s">
        <v>1293</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11865</v>
      </c>
      <c r="D13" s="1211" t="s">
        <v>1320</v>
      </c>
      <c r="E13" s="1211" t="s">
        <v>1321</v>
      </c>
      <c r="F13" s="1212">
        <f ca="1">INDIRECT("'数据-取费表'!y"&amp;$G$1)</f>
        <v>0.95</v>
      </c>
      <c r="G13" s="1536"/>
      <c r="H13" s="1209">
        <v>2</v>
      </c>
      <c r="I13" s="1210" t="s">
        <v>1319</v>
      </c>
      <c r="J13" s="1198">
        <f ca="1">ROUND(J14*J15,0)</f>
        <v>0</v>
      </c>
      <c r="K13" s="1217" t="s">
        <v>1320</v>
      </c>
      <c r="L13" s="1544"/>
      <c r="M13" s="1545"/>
    </row>
    <row r="14" spans="1:37" ht="18" customHeight="1">
      <c r="A14" s="1112" t="s">
        <v>1002</v>
      </c>
      <c r="B14" s="307" t="s">
        <v>1322</v>
      </c>
      <c r="C14" s="323">
        <f ca="1">INDIRECT("'数据-取费表'!m"&amp;$G$1)+INDIRECT("'数据-取费表'!t"&amp;$G$1)</f>
        <v>8682</v>
      </c>
      <c r="D14" s="1497" t="s">
        <v>1323</v>
      </c>
      <c r="E14" s="1494"/>
      <c r="F14" s="324"/>
      <c r="G14" s="1536"/>
      <c r="H14" s="1112" t="s">
        <v>1003</v>
      </c>
      <c r="I14" s="307" t="s">
        <v>1324</v>
      </c>
      <c r="J14" s="24">
        <f ca="1">C29</f>
        <v>12489</v>
      </c>
      <c r="K14" s="15"/>
      <c r="L14" s="915"/>
      <c r="M14" s="916"/>
    </row>
    <row r="15" spans="1:37" s="1549" customFormat="1" ht="18" customHeight="1" thickBot="1">
      <c r="A15" s="1112" t="s">
        <v>1004</v>
      </c>
      <c r="B15" s="307" t="s">
        <v>1325</v>
      </c>
      <c r="C15" s="24">
        <f ca="1">ROUND(C14*F15,0)</f>
        <v>260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6"/>
      <c r="H16" s="1209" t="s">
        <v>998</v>
      </c>
      <c r="I16" s="1210" t="s">
        <v>1329</v>
      </c>
      <c r="J16" s="315">
        <f ca="1">ROUND(J17+J22+J23+J24,0)</f>
        <v>171</v>
      </c>
      <c r="K16" s="1217" t="s">
        <v>1330</v>
      </c>
      <c r="L16" s="1218"/>
      <c r="M16" s="1202"/>
    </row>
    <row r="17" spans="1:37" s="1549" customFormat="1" ht="18" customHeight="1">
      <c r="A17" s="1112" t="s">
        <v>1295</v>
      </c>
      <c r="B17" s="307" t="s">
        <v>1331</v>
      </c>
      <c r="C17" s="24">
        <f ca="1">ROUND(F17*(F43+INDIRECT("'数据-取费表'!S"&amp;$G$1))/10000,0)</f>
        <v>496</v>
      </c>
      <c r="D17" s="307" t="s">
        <v>1332</v>
      </c>
      <c r="E17" s="307" t="s">
        <v>1333</v>
      </c>
      <c r="F17" s="26">
        <f>'数据-取费表'!B35</f>
        <v>200</v>
      </c>
      <c r="G17" s="1548"/>
      <c r="H17" s="1112" t="s">
        <v>1003</v>
      </c>
      <c r="I17" s="307" t="s">
        <v>1334</v>
      </c>
      <c r="J17" s="2502">
        <f ca="1">ROUND(IF(AND(项目基本情况!B11="自然人",项目基本情况!B10="北京市"),J6*M17/(1+'数据-取费表'!C42),J18+J19+J20),0)</f>
        <v>109</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130</v>
      </c>
      <c r="D18" s="307" t="s">
        <v>1326</v>
      </c>
      <c r="E18" s="307" t="s">
        <v>1327</v>
      </c>
      <c r="F18" s="327">
        <f>'数据-取费表'!B36</f>
        <v>1.4999999999999999E-2</v>
      </c>
      <c r="G18" s="1548"/>
      <c r="H18" s="1112" t="s">
        <v>1002</v>
      </c>
      <c r="I18" s="307" t="s">
        <v>1338</v>
      </c>
      <c r="J18" s="24">
        <f ca="1">ROUND(J6*M18/(1+'数据-取费表'!C42),2)</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9568</v>
      </c>
      <c r="D19" s="135" t="s">
        <v>1341</v>
      </c>
      <c r="E19" s="1512"/>
      <c r="F19" s="26"/>
      <c r="G19" s="1536"/>
      <c r="H19" s="1112" t="s">
        <v>1004</v>
      </c>
      <c r="I19" s="307" t="s">
        <v>1342</v>
      </c>
      <c r="J19" s="24">
        <f ca="1">IF(K19="按租金收入计税",ROUND(J6*M19/(1+'数据-取费表'!C42),2),ROUND(C29*M19*0.7,2))</f>
        <v>104.91</v>
      </c>
      <c r="K19" s="1522" t="s">
        <v>1343</v>
      </c>
      <c r="L19" s="307" t="s">
        <v>1327</v>
      </c>
      <c r="M19" s="327">
        <f>IF(K19="按租金收入计税",'数据-取费表'!B51,'数据-取费表'!B50)</f>
        <v>1.2E-2</v>
      </c>
    </row>
    <row r="20" spans="1:37" s="1549" customFormat="1" ht="18" customHeight="1">
      <c r="A20" s="1112" t="s">
        <v>1007</v>
      </c>
      <c r="B20" s="307" t="s">
        <v>1344</v>
      </c>
      <c r="C20" s="24">
        <f ca="1">ROUND(C19*F20,0)</f>
        <v>191</v>
      </c>
      <c r="D20" s="328" t="s">
        <v>1345</v>
      </c>
      <c r="E20" s="307" t="s">
        <v>1327</v>
      </c>
      <c r="F20" s="327">
        <f>'数据-取费表'!B37</f>
        <v>0.02</v>
      </c>
      <c r="G20" s="1548"/>
      <c r="H20" s="1112" t="s">
        <v>1294</v>
      </c>
      <c r="I20" s="159" t="s">
        <v>1346</v>
      </c>
      <c r="J20" s="25">
        <f ca="1">ROUND(M20*M21/10000,2)</f>
        <v>4.01</v>
      </c>
      <c r="K20" s="329" t="s">
        <v>1347</v>
      </c>
      <c r="L20" s="307" t="s">
        <v>1348</v>
      </c>
      <c r="M20" s="330">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18</v>
      </c>
      <c r="D21" s="328" t="s">
        <v>1350</v>
      </c>
      <c r="E21" s="307" t="s">
        <v>1351</v>
      </c>
      <c r="F21" s="327">
        <f>'数据-取费表'!B38</f>
        <v>0.02</v>
      </c>
      <c r="G21" s="1548"/>
      <c r="H21" s="331"/>
      <c r="I21" s="316"/>
      <c r="J21" s="29"/>
      <c r="K21" s="332"/>
      <c r="L21" s="307" t="s">
        <v>1352</v>
      </c>
      <c r="M21" s="308">
        <f ca="1">INDIRECT("'数据-取费表'!r"&amp;$G$1)</f>
        <v>13382.27</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ROUND(J14*M22,1)</f>
        <v>62.4</v>
      </c>
      <c r="K22" s="1496" t="s">
        <v>1355</v>
      </c>
      <c r="L22" s="307" t="s">
        <v>1327</v>
      </c>
      <c r="M22" s="333">
        <f ca="1">INDIRECT("'数据-取费表'!Ak"&amp;$G$1)</f>
        <v>5.0000000000000001E-3</v>
      </c>
    </row>
    <row r="23" spans="1:37" s="1549" customFormat="1" ht="18" customHeight="1">
      <c r="A23" s="1112" t="s">
        <v>1002</v>
      </c>
      <c r="B23" s="307" t="s">
        <v>1356</v>
      </c>
      <c r="C23" s="24">
        <f ca="1">IF('数据-取费表'!B22&lt;=1,ROUND(C19*F24*F23/2,0)+ROUND(C20*F24*F23/2,0),ROUND(C19*(POWER((1+F24),F23/2)-1),0)+ROUND(C20*(POWER((1+F24),F23/2)-1),0))</f>
        <v>306</v>
      </c>
      <c r="D23" s="334" t="str">
        <f>IF(F23&lt;=1,"(建造成本+管理费用)×利率×(建设周期÷2)","(建造成本+管理费用)×((1+利率)^(建设周期÷2)-1)")</f>
        <v>(建造成本+管理费用)×((1+利率)^(建设周期÷2)-1)</v>
      </c>
      <c r="E23" s="307" t="s">
        <v>1357</v>
      </c>
      <c r="F23" s="330">
        <f>'数据-取费表'!B20</f>
        <v>1.5</v>
      </c>
      <c r="G23" s="1548"/>
      <c r="H23" s="1112" t="s">
        <v>1043</v>
      </c>
      <c r="I23" s="307" t="s">
        <v>1358</v>
      </c>
      <c r="J23" s="24">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5.9999999999999995E-4</v>
      </c>
      <c r="D24" s="334" t="str">
        <f>IF(F23&lt;=1,"销售费用×利率×(建设周期÷2)","销售费用×((1+利率)^(建设周期÷2)-1)")</f>
        <v>销售费用×((1+利率)^(建设周期÷2)-1)</v>
      </c>
      <c r="E24" s="307" t="s">
        <v>1363</v>
      </c>
      <c r="F24" s="336">
        <f ca="1">'数据-取费表'!B40</f>
        <v>4.2000000000000003E-2</v>
      </c>
      <c r="G24" s="1548"/>
      <c r="H24" s="1219" t="s">
        <v>1298</v>
      </c>
      <c r="I24" s="1220" t="s">
        <v>1344</v>
      </c>
      <c r="J24" s="1221">
        <f ca="1">ROUND(J5*M24,1)</f>
        <v>0</v>
      </c>
      <c r="K24" s="1222" t="s">
        <v>1364</v>
      </c>
      <c r="L24" s="1220" t="s">
        <v>1360</v>
      </c>
      <c r="M24" s="1216">
        <f ca="1">INDIRECT("'数据-取费表'!Am"&amp;$G$1)</f>
        <v>0.02</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4"/>
      <c r="D25" s="135" t="s">
        <v>1367</v>
      </c>
      <c r="E25" s="1512"/>
      <c r="F25" s="26"/>
      <c r="G25" s="1536"/>
      <c r="H25" s="1209" t="s">
        <v>999</v>
      </c>
      <c r="I25" s="1224" t="s">
        <v>1368</v>
      </c>
      <c r="J25" s="315">
        <f ca="1">J5-J16</f>
        <v>-171</v>
      </c>
      <c r="K25" s="1225" t="s">
        <v>1369</v>
      </c>
      <c r="L25" s="1226"/>
      <c r="M25" s="1227"/>
    </row>
    <row r="26" spans="1:37">
      <c r="A26" s="1112" t="s">
        <v>1002</v>
      </c>
      <c r="B26" s="307" t="s">
        <v>1370</v>
      </c>
      <c r="C26" s="24">
        <f ca="1">ROUND((C19+C20)*F26,0)</f>
        <v>1464</v>
      </c>
      <c r="D26" s="328" t="s">
        <v>1371</v>
      </c>
      <c r="E26" s="318" t="s">
        <v>1372</v>
      </c>
      <c r="F26" s="317">
        <f ca="1">INDIRECT("'数据-取费表'!q"&amp;$G$1)</f>
        <v>0.15</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4">
        <f ca="1">ROUND(F21*F26,4)</f>
        <v>3.0000000000000001E-3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12489</v>
      </c>
      <c r="D29" s="1222"/>
      <c r="E29" s="1220"/>
      <c r="F29" s="1223"/>
      <c r="G29" s="1548"/>
      <c r="H29" s="339" t="s">
        <v>1001</v>
      </c>
      <c r="I29" s="340" t="s">
        <v>1384</v>
      </c>
      <c r="J29" s="341">
        <f ca="1">ROUND(J26/(1+F40)^F41,0)</f>
        <v>0</v>
      </c>
      <c r="K29" s="342" t="s">
        <v>1385</v>
      </c>
      <c r="L29" s="343"/>
      <c r="M29" s="344">
        <f ca="1">INDIRECT("'数据-取费表'!k"&amp;$G$1)</f>
        <v>24438.69</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409</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299</v>
      </c>
      <c r="D31" s="1497" t="s">
        <v>1335</v>
      </c>
      <c r="E31" s="1496"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2" t="s">
        <v>1002</v>
      </c>
      <c r="B32" s="307" t="s">
        <v>1338</v>
      </c>
      <c r="C32" s="24">
        <f ca="1">IF(项目基本情况!B11="自然人","——",ROUND(C6*F32/(1+'数据-取费表'!C42),2))</f>
        <v>93.76</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IF(项目基本情况!B11="自然人","——",IF(D33="按租金收入计税",ROUND(C6*F33/(1+'数据-取费表'!C42),2),IF(D33="按房产原值计税",ROUND(C29*F33*0.7,2),INDIRECT("'数据-取费表'!Aj"&amp;$G$1))))</f>
        <v>200.91</v>
      </c>
      <c r="D33" s="1522" t="s">
        <v>3165</v>
      </c>
      <c r="E33" s="307" t="s">
        <v>1327</v>
      </c>
      <c r="F33" s="327">
        <f>IF(D33="按票据","——",IF(D33="按租金收入计税",'数据-取费表'!B51,'数据-取费表'!B50))</f>
        <v>0.12</v>
      </c>
      <c r="G33" s="1536"/>
      <c r="H33" s="2897"/>
      <c r="I33" s="1550"/>
      <c r="J33" s="1551"/>
      <c r="K33" s="2898"/>
      <c r="L33" s="2897"/>
      <c r="M33" s="2897"/>
    </row>
    <row r="34" spans="1:18" ht="18" customHeight="1">
      <c r="A34" s="1199" t="s">
        <v>1294</v>
      </c>
      <c r="B34" s="159" t="s">
        <v>1346</v>
      </c>
      <c r="C34" s="25">
        <f ca="1">IF(项目基本情况!B11="自然人","——",ROUND(F34*F35/10000,2))</f>
        <v>4.01</v>
      </c>
      <c r="D34" s="329" t="s">
        <v>1347</v>
      </c>
      <c r="E34" s="307" t="s">
        <v>1348</v>
      </c>
      <c r="F34" s="330">
        <f>'数据-取费表'!B52</f>
        <v>3</v>
      </c>
      <c r="G34" s="1536"/>
      <c r="H34" s="2894"/>
      <c r="I34" s="1550"/>
      <c r="J34" s="1551"/>
      <c r="K34" s="2899"/>
      <c r="L34" s="2900"/>
      <c r="M34" s="2900"/>
    </row>
    <row r="35" spans="1:18" ht="18" customHeight="1">
      <c r="A35" s="1233"/>
      <c r="B35" s="1231"/>
      <c r="C35" s="29"/>
      <c r="D35" s="332"/>
      <c r="E35" s="307" t="s">
        <v>1352</v>
      </c>
      <c r="F35" s="308">
        <f ca="1">INDIRECT("'数据-取费表'!r"&amp;$G$1)</f>
        <v>13382.27</v>
      </c>
      <c r="G35" s="1536"/>
      <c r="H35" s="2894"/>
      <c r="I35" s="1550"/>
      <c r="J35" s="1551"/>
      <c r="K35" s="2898"/>
      <c r="L35" s="2897"/>
      <c r="M35" s="2897"/>
    </row>
    <row r="36" spans="1:18" ht="18" customHeight="1">
      <c r="A36" s="1232" t="s">
        <v>1007</v>
      </c>
      <c r="B36" s="307" t="s">
        <v>1354</v>
      </c>
      <c r="C36" s="24">
        <f ca="1">ROUND(C29*F36,1)</f>
        <v>62.4</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4">
        <f ca="1">ROUND(C13*F37,1)</f>
        <v>11.9</v>
      </c>
      <c r="D37" s="1496" t="s">
        <v>1359</v>
      </c>
      <c r="E37" s="307" t="s">
        <v>1360</v>
      </c>
      <c r="F37" s="335">
        <f ca="1">INDIRECT("'数据-取费表'!Al"&amp;$G$1)</f>
        <v>1E-3</v>
      </c>
      <c r="G37" s="1536"/>
      <c r="H37" s="2897"/>
      <c r="I37" s="1550"/>
      <c r="J37" s="1551"/>
      <c r="K37" s="2738"/>
      <c r="L37" s="2897"/>
      <c r="M37" s="2897"/>
    </row>
    <row r="38" spans="1:18" ht="18" customHeight="1" thickBot="1">
      <c r="A38" s="1219" t="s">
        <v>1298</v>
      </c>
      <c r="B38" s="1220" t="s">
        <v>1344</v>
      </c>
      <c r="C38" s="1221">
        <f ca="1">ROUND(C5*F38,1)</f>
        <v>35.200000000000003</v>
      </c>
      <c r="D38" s="1222" t="s">
        <v>1364</v>
      </c>
      <c r="E38" s="1220" t="s">
        <v>1360</v>
      </c>
      <c r="F38" s="1216">
        <f ca="1">INDIRECT("'数据-取费表'!Am"&amp;$G$1)</f>
        <v>0.02</v>
      </c>
      <c r="G38" s="1536"/>
      <c r="H38" s="2897"/>
      <c r="I38" s="1550"/>
      <c r="J38" s="1551"/>
      <c r="K38" s="2901"/>
      <c r="L38" s="2897"/>
      <c r="M38" s="2897"/>
    </row>
    <row r="39" spans="1:18" ht="24.6" customHeight="1" thickTop="1">
      <c r="A39" s="1209" t="s">
        <v>999</v>
      </c>
      <c r="B39" s="1224" t="s">
        <v>1388</v>
      </c>
      <c r="C39" s="315">
        <f ca="1">C5-C30</f>
        <v>1351</v>
      </c>
      <c r="D39" s="1225" t="s">
        <v>1389</v>
      </c>
      <c r="E39" s="1226"/>
      <c r="F39" s="1227"/>
      <c r="G39" s="1536"/>
      <c r="H39" s="2897"/>
      <c r="I39" s="1550"/>
      <c r="J39" s="1551"/>
      <c r="K39" s="2901"/>
      <c r="L39" s="2897"/>
      <c r="M39" s="2897"/>
    </row>
    <row r="40" spans="1:18" ht="18" customHeight="1">
      <c r="A40" s="304" t="s">
        <v>1000</v>
      </c>
      <c r="B40" s="305" t="s">
        <v>1390</v>
      </c>
      <c r="C40" s="306">
        <f ca="1">ROUND(C39*(1-((1+F42)/(1+F40))^F41)/(F40-F42),0)</f>
        <v>36935</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41.15</v>
      </c>
      <c r="G41" s="1536"/>
      <c r="H41" s="1323"/>
      <c r="I41" s="1550"/>
      <c r="J41" s="1551"/>
      <c r="K41" s="2738"/>
      <c r="L41" s="1323"/>
      <c r="M41" s="1323"/>
    </row>
    <row r="42" spans="1:18" ht="18" customHeight="1">
      <c r="A42" s="313"/>
      <c r="B42" s="314"/>
      <c r="C42" s="315"/>
      <c r="D42" s="332"/>
      <c r="E42" s="307" t="s">
        <v>1382</v>
      </c>
      <c r="F42" s="317">
        <f ca="1">INDIRECT("'数据-取费表'!v"&amp;$G$1)</f>
        <v>0.03</v>
      </c>
      <c r="G42" s="1536"/>
      <c r="H42" s="1323"/>
      <c r="I42" s="1550"/>
      <c r="J42" s="1551"/>
      <c r="K42" s="2738"/>
      <c r="L42" s="1323"/>
      <c r="M42" s="1323"/>
    </row>
    <row r="43" spans="1:18" ht="18" customHeight="1" thickBot="1">
      <c r="A43" s="339" t="s">
        <v>1001</v>
      </c>
      <c r="B43" s="340" t="s">
        <v>1392</v>
      </c>
      <c r="C43" s="341">
        <f ca="1">ROUND(C40*10000/F43,0)</f>
        <v>15113</v>
      </c>
      <c r="D43" s="342" t="s">
        <v>1393</v>
      </c>
      <c r="E43" s="343" t="s">
        <v>1394</v>
      </c>
      <c r="F43" s="344">
        <f ca="1">INDIRECT("'数据-取费表'!k"&amp;$G$1)</f>
        <v>24438.69</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f ca="1">C68-C40</f>
        <v>-56448</v>
      </c>
      <c r="D46" s="1558" t="str">
        <f>C2</f>
        <v>万元</v>
      </c>
      <c r="E46" s="1552"/>
      <c r="F46" s="1552"/>
      <c r="I46" s="1559" t="s">
        <v>1426</v>
      </c>
      <c r="J46" s="1560"/>
      <c r="K46" s="1561"/>
      <c r="L46" s="1562">
        <f ca="1">IF(M47="住宅",0,IF(L48&gt;J51,L60,J60))</f>
        <v>309</v>
      </c>
      <c r="O46" s="1563" t="s">
        <v>1427</v>
      </c>
      <c r="P46" s="1564" t="s">
        <v>1428</v>
      </c>
      <c r="Q46" s="1565" t="s">
        <v>1429</v>
      </c>
      <c r="R46" s="1565" t="s">
        <v>1430</v>
      </c>
    </row>
    <row r="47" spans="1:18" s="1536" customFormat="1" ht="13.5" thickBot="1">
      <c r="A47" s="1076" t="s">
        <v>1301</v>
      </c>
      <c r="B47" s="1108" t="s">
        <v>1302</v>
      </c>
      <c r="C47" s="1247" t="s">
        <v>1303</v>
      </c>
      <c r="D47" s="1108" t="s">
        <v>1304</v>
      </c>
      <c r="E47" s="1187" t="s">
        <v>1305</v>
      </c>
      <c r="F47" s="1188"/>
      <c r="G47" s="730"/>
      <c r="I47" s="1566" t="s">
        <v>1431</v>
      </c>
      <c r="J47" s="1567" t="s">
        <v>3166</v>
      </c>
      <c r="K47" s="1568" t="s">
        <v>1432</v>
      </c>
      <c r="L47" s="1569">
        <f ca="1">INDIRECT("'数据-取费表'!d"&amp;$G$1)</f>
        <v>50</v>
      </c>
      <c r="M47" s="1532" t="str">
        <f>IF(ISNUMBER(FIND("住宅",C1)),"住宅","非住宅")</f>
        <v>非住宅</v>
      </c>
      <c r="O47" s="1570" t="s">
        <v>1008</v>
      </c>
      <c r="P47" s="1571" t="s">
        <v>1433</v>
      </c>
      <c r="Q47" s="1572">
        <f ca="1">C40+J29</f>
        <v>36935</v>
      </c>
      <c r="R47" s="1572" t="s">
        <v>1434</v>
      </c>
    </row>
    <row r="48" spans="1:18" s="1536" customFormat="1" ht="28.5" thickBot="1">
      <c r="A48" s="1240" t="s">
        <v>1044</v>
      </c>
      <c r="B48" s="305" t="s">
        <v>1306</v>
      </c>
      <c r="C48" s="1511">
        <f ca="1">C49+C53+C55</f>
        <v>0</v>
      </c>
      <c r="D48" s="1242"/>
      <c r="E48" s="1243"/>
      <c r="F48" s="1092"/>
      <c r="G48" s="730"/>
      <c r="H48" s="731"/>
      <c r="I48" s="1573" t="s">
        <v>1435</v>
      </c>
      <c r="J48" s="1574" t="s">
        <v>3167</v>
      </c>
      <c r="K48" s="1575" t="s">
        <v>1436</v>
      </c>
      <c r="L48" s="1576">
        <f ca="1">INDIRECT("'数据-取费表'!f"&amp;$G$1)</f>
        <v>41.15</v>
      </c>
      <c r="O48" s="1570" t="s">
        <v>1009</v>
      </c>
      <c r="P48" s="1571" t="s">
        <v>1437</v>
      </c>
      <c r="Q48" s="1572">
        <f ca="1">J60</f>
        <v>309</v>
      </c>
      <c r="R48" s="1572" t="s">
        <v>1438</v>
      </c>
    </row>
    <row r="49" spans="1:18" s="1536" customFormat="1" ht="13.5" thickBot="1">
      <c r="A49" s="1105" t="s">
        <v>1045</v>
      </c>
      <c r="B49" s="1523" t="s">
        <v>1395</v>
      </c>
      <c r="C49" s="1244">
        <f ca="1">ROUND(F49*F51*F50*(1-F52)/10000,0)</f>
        <v>0</v>
      </c>
      <c r="D49" s="1184" t="s">
        <v>2791</v>
      </c>
      <c r="E49" s="1524" t="s">
        <v>1396</v>
      </c>
      <c r="F49" s="1189"/>
      <c r="G49" s="1577"/>
      <c r="H49" s="731"/>
      <c r="I49" s="1573" t="s">
        <v>1439</v>
      </c>
      <c r="J49" s="1578">
        <v>2019</v>
      </c>
      <c r="K49" s="1575" t="s">
        <v>1440</v>
      </c>
      <c r="L49" s="1579"/>
      <c r="O49" s="1580" t="s">
        <v>1010</v>
      </c>
      <c r="P49" s="1571" t="s">
        <v>1441</v>
      </c>
      <c r="Q49" s="1572">
        <f ca="1">C29</f>
        <v>12489</v>
      </c>
      <c r="R49" s="1572" t="s">
        <v>1434</v>
      </c>
    </row>
    <row r="50" spans="1:18" s="1536" customFormat="1" ht="13.5" thickBot="1">
      <c r="A50" s="1106"/>
      <c r="B50" s="1109"/>
      <c r="C50" s="1248"/>
      <c r="D50" s="1083"/>
      <c r="E50" s="1185" t="s">
        <v>1311</v>
      </c>
      <c r="F50" s="1186">
        <f ca="1">F7</f>
        <v>24438.69</v>
      </c>
      <c r="H50" s="731"/>
      <c r="I50" s="1573" t="s">
        <v>1442</v>
      </c>
      <c r="J50" s="1581">
        <f>SUMPRODUCT((I63:I65=J47)*(J62:L62=J48)*(J63:L65))</f>
        <v>60</v>
      </c>
      <c r="K50" s="1575" t="s">
        <v>1443</v>
      </c>
      <c r="L50" s="1579"/>
      <c r="M50" s="1582"/>
      <c r="O50" s="1580" t="s">
        <v>1011</v>
      </c>
      <c r="P50" s="1571" t="s">
        <v>1444</v>
      </c>
      <c r="Q50" s="1583">
        <f ca="1">J58</f>
        <v>0.4</v>
      </c>
      <c r="R50" s="1572"/>
    </row>
    <row r="51" spans="1:18" s="1536" customFormat="1" ht="13.5" thickBot="1">
      <c r="A51" s="1107"/>
      <c r="B51" s="1109"/>
      <c r="C51" s="1110"/>
      <c r="D51" s="1083"/>
      <c r="E51" s="1111" t="s">
        <v>1312</v>
      </c>
      <c r="F51" s="308">
        <f ca="1">F8</f>
        <v>365</v>
      </c>
      <c r="I51" s="1584" t="s">
        <v>1445</v>
      </c>
      <c r="J51" s="1585">
        <f>IF(J49="",J50,J49+J50-YEAR('数据-取费表'!B2))</f>
        <v>57</v>
      </c>
      <c r="K51" s="1586" t="s">
        <v>1446</v>
      </c>
      <c r="L51" s="1587">
        <f ca="1">ROUND(-PV(INDIRECT("'数据-取费表'!h"&amp;$G$1),J51,(C39-C13*C76),0),0)</f>
        <v>11836</v>
      </c>
      <c r="M51" s="1588"/>
      <c r="O51" s="1580" t="s">
        <v>1012</v>
      </c>
      <c r="P51" s="1571" t="s">
        <v>1447</v>
      </c>
      <c r="Q51" s="1583">
        <f>J52</f>
        <v>7.0000000000000007E-2</v>
      </c>
      <c r="R51" s="1572"/>
    </row>
    <row r="52" spans="1:18" s="1536" customFormat="1" ht="13.5" thickBot="1">
      <c r="A52" s="1107"/>
      <c r="B52" s="1109"/>
      <c r="C52" s="1110"/>
      <c r="D52" s="1083"/>
      <c r="E52" s="1111" t="s">
        <v>1313</v>
      </c>
      <c r="F52" s="1183"/>
      <c r="I52" s="1589" t="s">
        <v>1448</v>
      </c>
      <c r="J52" s="1590">
        <v>7.0000000000000007E-2</v>
      </c>
      <c r="K52" s="1589" t="s">
        <v>1449</v>
      </c>
      <c r="L52" s="1590"/>
      <c r="O52" s="1580" t="s">
        <v>1013</v>
      </c>
      <c r="P52" s="1571" t="s">
        <v>1450</v>
      </c>
      <c r="Q52" s="1572">
        <f ca="1">J53</f>
        <v>41.15</v>
      </c>
      <c r="R52" s="1572" t="s">
        <v>1451</v>
      </c>
    </row>
    <row r="53" spans="1:18" s="1536" customFormat="1" ht="24.75" thickBot="1">
      <c r="A53" s="1284" t="s">
        <v>1046</v>
      </c>
      <c r="B53" s="1525" t="s">
        <v>1314</v>
      </c>
      <c r="C53" s="321">
        <f ca="1">ROUND(IF(F53="押一",C49/12*F11,IF(F53="押二",C49/12*2*F11,IF(F53="押三",C49/12*3*F11,C54*F11))),0)</f>
        <v>0</v>
      </c>
      <c r="D53" s="1518" t="s">
        <v>2797</v>
      </c>
      <c r="E53" s="318" t="s">
        <v>1315</v>
      </c>
      <c r="F53" s="1246"/>
      <c r="I53" s="1591" t="s">
        <v>1452</v>
      </c>
      <c r="J53" s="2354">
        <f ca="1">IF(M47="住宅",IF(D1="——",MAX(J51,L48),MAX(J51,L48-'数据-取费表'!B24)),IF(D1="——",MIN(J51,L48),MIN(J51,L48-'数据-取费表'!B24)))</f>
        <v>41.15</v>
      </c>
      <c r="K53" s="3402" t="s">
        <v>1453</v>
      </c>
      <c r="L53" s="3403"/>
      <c r="O53" s="1570" t="s">
        <v>1014</v>
      </c>
      <c r="P53" s="1571" t="s">
        <v>1454</v>
      </c>
      <c r="Q53" s="1572">
        <f ca="1">Q47+Q48</f>
        <v>37244</v>
      </c>
      <c r="R53" s="1572" t="s">
        <v>1015</v>
      </c>
    </row>
    <row r="54" spans="1:18" s="1536" customFormat="1" ht="13.5" thickBot="1">
      <c r="A54" s="1285"/>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f ca="1">ROUND(IF(J47="钢混",J57/J50,1-(1-2%)*(J50-J57)/J50),3)</f>
        <v>0.26400000000000001</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11865</v>
      </c>
      <c r="D56" s="1599"/>
      <c r="E56" s="1600"/>
      <c r="F56" s="1592"/>
      <c r="I56" s="1601" t="s">
        <v>1459</v>
      </c>
      <c r="J56" s="1602" t="s">
        <v>3168</v>
      </c>
      <c r="K56" s="1573" t="s">
        <v>1460</v>
      </c>
      <c r="L56" s="1576" t="str">
        <f ca="1">IF(L48&lt;J51,"——",L48-J53)</f>
        <v>——</v>
      </c>
      <c r="O56" s="1570" t="s">
        <v>1008</v>
      </c>
      <c r="P56" s="1571" t="s">
        <v>1433</v>
      </c>
      <c r="Q56" s="1572">
        <f ca="1">C40+J29</f>
        <v>36935</v>
      </c>
      <c r="R56" s="1572" t="s">
        <v>1434</v>
      </c>
    </row>
    <row r="57" spans="1:18" s="1536" customFormat="1" ht="24.75" thickBot="1">
      <c r="A57" s="1603"/>
      <c r="B57" s="1080" t="s">
        <v>1383</v>
      </c>
      <c r="C57" s="243">
        <f ca="1">C29</f>
        <v>12489</v>
      </c>
      <c r="D57" s="1604"/>
      <c r="E57" s="1605"/>
      <c r="F57" s="1606"/>
      <c r="I57" s="1607" t="s">
        <v>1461</v>
      </c>
      <c r="J57" s="1608">
        <f ca="1">IF(OR(M47="住宅",J51&lt;L48,J56="是"),"——",J51-L48)</f>
        <v>15.850000000000001</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1127</v>
      </c>
      <c r="D58" s="1090" t="s">
        <v>1330</v>
      </c>
      <c r="E58" s="1091"/>
      <c r="F58" s="1092"/>
      <c r="I58" s="1607" t="s">
        <v>1465</v>
      </c>
      <c r="J58" s="1609">
        <f ca="1">IF(J55&lt;0.4,0.4,J55)</f>
        <v>0.4</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1053</v>
      </c>
      <c r="D59" s="1093" t="s">
        <v>1335</v>
      </c>
      <c r="E59" s="1094" t="s">
        <v>1336</v>
      </c>
      <c r="F59" s="2501" t="str">
        <f>IF(项目基本情况!B11="企业","——",IF('数据-取费表'!B10="住宅",IF(F49*F50*F51/12/(1+'数据-取费表'!F30)&gt;100000,4%,2.5%),IF(F49*F50*F51/12/(1+'数据-取费表'!F30)&gt;100000,12%,7%)))</f>
        <v>——</v>
      </c>
      <c r="I59" s="1607" t="s">
        <v>1468</v>
      </c>
      <c r="J59" s="1608">
        <f ca="1">IF(OR(M47="住宅",J51&lt;L48,J56="是"),"——",ROUND(C29*J58,0))</f>
        <v>4996</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IF(项目基本情况!B11="自然人","——",ROUND(C48*F60/(1+'数据-取费表'!C42),2))</f>
        <v>0</v>
      </c>
      <c r="D60" s="1094" t="s">
        <v>1339</v>
      </c>
      <c r="E60" s="1080" t="s">
        <v>1327</v>
      </c>
      <c r="F60" s="336">
        <f t="shared" ref="F60:F66" si="0">F32</f>
        <v>5.6000000000000001E-2</v>
      </c>
      <c r="I60" s="1610" t="s">
        <v>1470</v>
      </c>
      <c r="J60" s="1611">
        <f ca="1">IF(OR(M47="住宅",J51&lt;L48,J56="是"),"0",ROUND(J59/(1+J52)^J53,0))</f>
        <v>309</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IF(项目基本情况!B11="自然人","——",IF(D61="按租金收入计税",ROUND(C49*F61/(1+'数据-取费表'!C42),2),IF(D61="按房产原值计税",ROUND(C57*F61*0.7,2),INDIRECT("'数据-取费表'!Aj"&amp;$G$1))))</f>
        <v>1049.08</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5">
        <f ca="1">IF(项目基本情况!B11="自然人","——",ROUND(F62*F63/10000,2))</f>
        <v>4.01</v>
      </c>
      <c r="D62" s="1095" t="s">
        <v>1402</v>
      </c>
      <c r="E62" s="1080" t="s">
        <v>1403</v>
      </c>
      <c r="F62" s="330">
        <f t="shared" si="0"/>
        <v>3</v>
      </c>
      <c r="I62" s="1614" t="s">
        <v>1475</v>
      </c>
      <c r="J62" s="1615" t="s">
        <v>1476</v>
      </c>
      <c r="K62" s="1615" t="s">
        <v>1477</v>
      </c>
      <c r="L62" s="1615" t="s">
        <v>1478</v>
      </c>
      <c r="M62" s="1616" t="s">
        <v>1479</v>
      </c>
      <c r="O62" s="1570" t="s">
        <v>1014</v>
      </c>
      <c r="P62" s="1571" t="s">
        <v>1480</v>
      </c>
      <c r="Q62" s="1572">
        <f ca="1">Q56+Q57</f>
        <v>36935</v>
      </c>
      <c r="R62" s="1572" t="s">
        <v>1015</v>
      </c>
    </row>
    <row r="63" spans="1:18" s="1536" customFormat="1" ht="13.5" thickBot="1">
      <c r="A63" s="331"/>
      <c r="B63" s="1086"/>
      <c r="C63" s="29"/>
      <c r="D63" s="1096"/>
      <c r="E63" s="1080" t="s">
        <v>1404</v>
      </c>
      <c r="F63" s="308">
        <f t="shared" ca="1" si="0"/>
        <v>13382.27</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ROUND(C57*F64,1)</f>
        <v>62.4</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ROUND(C56*F65,1)</f>
        <v>11.9</v>
      </c>
      <c r="D65" s="1094" t="s">
        <v>1359</v>
      </c>
      <c r="E65" s="1080" t="s">
        <v>1360</v>
      </c>
      <c r="F65" s="335">
        <f t="shared" ca="1" si="0"/>
        <v>1E-3</v>
      </c>
      <c r="I65" s="1614" t="s">
        <v>1484</v>
      </c>
      <c r="J65" s="1615">
        <v>40</v>
      </c>
      <c r="K65" s="1615">
        <v>30</v>
      </c>
      <c r="L65" s="1615">
        <v>50</v>
      </c>
      <c r="M65" s="1617">
        <v>0.02</v>
      </c>
      <c r="O65" s="1570" t="s">
        <v>1008</v>
      </c>
      <c r="P65" s="1571" t="s">
        <v>1485</v>
      </c>
      <c r="Q65" s="1572">
        <f ca="1">C40+J29</f>
        <v>36935</v>
      </c>
      <c r="R65" s="1572" t="s">
        <v>1434</v>
      </c>
    </row>
    <row r="66" spans="1:18" s="1536" customFormat="1" ht="16.5" thickBot="1">
      <c r="A66" s="1112" t="s">
        <v>1409</v>
      </c>
      <c r="B66" s="1080" t="s">
        <v>1344</v>
      </c>
      <c r="C66" s="24">
        <f ca="1">ROUND(C48*F66,1)</f>
        <v>0</v>
      </c>
      <c r="D66" s="1094" t="s">
        <v>1410</v>
      </c>
      <c r="E66" s="1080" t="s">
        <v>1327</v>
      </c>
      <c r="F66" s="317">
        <f t="shared" ca="1" si="0"/>
        <v>0.02</v>
      </c>
      <c r="O66" s="1570" t="s">
        <v>1009</v>
      </c>
      <c r="P66" s="1571" t="s">
        <v>1463</v>
      </c>
      <c r="Q66" s="1572">
        <f ca="1">L60</f>
        <v>0</v>
      </c>
      <c r="R66" s="1572" t="s">
        <v>1486</v>
      </c>
    </row>
    <row r="67" spans="1:18" s="1536" customFormat="1" ht="16.5" thickBot="1">
      <c r="A67" s="1087" t="s">
        <v>999</v>
      </c>
      <c r="B67" s="1097" t="s">
        <v>1368</v>
      </c>
      <c r="C67" s="321">
        <f ca="1">C48-C58</f>
        <v>-1127</v>
      </c>
      <c r="D67" s="1093" t="s">
        <v>1369</v>
      </c>
      <c r="E67" s="1098"/>
      <c r="F67" s="1099"/>
      <c r="O67" s="1580" t="s">
        <v>1010</v>
      </c>
      <c r="P67" s="1571" t="s">
        <v>1467</v>
      </c>
      <c r="Q67" s="1618">
        <f ca="1">L51</f>
        <v>11836</v>
      </c>
      <c r="R67" s="1572" t="s">
        <v>1487</v>
      </c>
    </row>
    <row r="68" spans="1:18" s="1536" customFormat="1" ht="16.5" thickBot="1">
      <c r="A68" s="1077" t="s">
        <v>1000</v>
      </c>
      <c r="B68" s="1078" t="s">
        <v>1390</v>
      </c>
      <c r="C68" s="306">
        <f ca="1">ROUND(C67*(1-((1+F70)/(1+F68))^F69)/(F68-F70),0)</f>
        <v>-19513</v>
      </c>
      <c r="D68" s="1095" t="s">
        <v>1374</v>
      </c>
      <c r="E68" s="1080" t="s">
        <v>1375</v>
      </c>
      <c r="F68" s="317">
        <f ca="1">F40</f>
        <v>0.05</v>
      </c>
      <c r="O68" s="1580" t="s">
        <v>1011</v>
      </c>
      <c r="P68" s="1619" t="s">
        <v>1488</v>
      </c>
      <c r="Q68" s="1572">
        <f ca="1">ROUND(Q69-Q70*Q71,0)</f>
        <v>580</v>
      </c>
      <c r="R68" s="1572" t="s">
        <v>1019</v>
      </c>
    </row>
    <row r="69" spans="1:18" s="1536" customFormat="1" ht="13.5" thickBot="1">
      <c r="A69" s="1081"/>
      <c r="B69" s="1082"/>
      <c r="C69" s="311"/>
      <c r="D69" s="1100" t="s">
        <v>1378</v>
      </c>
      <c r="E69" s="1080" t="s">
        <v>1379</v>
      </c>
      <c r="F69" s="338">
        <f ca="1">F41</f>
        <v>41.15</v>
      </c>
      <c r="O69" s="1580" t="s">
        <v>1016</v>
      </c>
      <c r="P69" s="1619" t="s">
        <v>1489</v>
      </c>
      <c r="Q69" s="1572">
        <f ca="1">C39</f>
        <v>1351</v>
      </c>
      <c r="R69" s="1572" t="s">
        <v>1434</v>
      </c>
    </row>
    <row r="70" spans="1:18" s="1536" customFormat="1" ht="13.5" thickBot="1">
      <c r="A70" s="1084"/>
      <c r="B70" s="1085"/>
      <c r="C70" s="315"/>
      <c r="D70" s="1096"/>
      <c r="E70" s="1080" t="s">
        <v>1382</v>
      </c>
      <c r="F70" s="1183"/>
      <c r="O70" s="1580" t="s">
        <v>1017</v>
      </c>
      <c r="P70" s="1619" t="s">
        <v>1490</v>
      </c>
      <c r="Q70" s="1572">
        <f ca="1">C13</f>
        <v>11865</v>
      </c>
      <c r="R70" s="1572" t="s">
        <v>1434</v>
      </c>
    </row>
    <row r="71" spans="1:18" s="1536" customFormat="1" ht="13.5" thickBot="1">
      <c r="A71" s="1101" t="s">
        <v>1001</v>
      </c>
      <c r="B71" s="1102" t="s">
        <v>1392</v>
      </c>
      <c r="C71" s="341">
        <f ca="1">ROUND(C68*10000/F71,0)</f>
        <v>-7984</v>
      </c>
      <c r="D71" s="1103" t="s">
        <v>1393</v>
      </c>
      <c r="E71" s="1104" t="s">
        <v>1394</v>
      </c>
      <c r="F71" s="344">
        <f ca="1">F43</f>
        <v>24438.69</v>
      </c>
      <c r="O71" s="1580" t="s">
        <v>1018</v>
      </c>
      <c r="P71" s="1619" t="s">
        <v>1491</v>
      </c>
      <c r="Q71" s="1583">
        <f ca="1">C76</f>
        <v>6.5000000000000002E-2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771</v>
      </c>
      <c r="D75" s="1536"/>
      <c r="E75" s="1536"/>
      <c r="F75" s="1536"/>
      <c r="K75" s="1554"/>
      <c r="L75" s="1536"/>
      <c r="O75" s="1570" t="s">
        <v>1014</v>
      </c>
      <c r="P75" s="1571" t="s">
        <v>1454</v>
      </c>
      <c r="Q75" s="1572">
        <f ca="1">Q65+Q66</f>
        <v>36935</v>
      </c>
      <c r="R75" s="1572" t="s">
        <v>1015</v>
      </c>
    </row>
    <row r="76" spans="1:18">
      <c r="B76" s="347" t="s">
        <v>1412</v>
      </c>
      <c r="C76" s="348">
        <f ca="1">INDIRECT("'数据-取费表'!j"&amp;$G$1)</f>
        <v>6.5000000000000002E-2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0.42900000000000005</v>
      </c>
    </row>
    <row r="80" spans="1:18">
      <c r="B80" s="345" t="s">
        <v>1416</v>
      </c>
      <c r="C80" s="279">
        <f ca="1">ROUND(C75/C39,3)</f>
        <v>0.57099999999999995</v>
      </c>
    </row>
    <row r="81" spans="2:3">
      <c r="B81" s="275" t="s">
        <v>1417</v>
      </c>
      <c r="C81" s="243"/>
    </row>
    <row r="82" spans="2:3">
      <c r="B82" s="278" t="s">
        <v>1418</v>
      </c>
      <c r="C82" s="280">
        <f ca="1">1-C83</f>
        <v>0.67900000000000005</v>
      </c>
    </row>
    <row r="83" spans="2:3">
      <c r="B83" s="278" t="s">
        <v>1419</v>
      </c>
      <c r="C83" s="279">
        <f ca="1">ROUND(C13/C40,3)</f>
        <v>0.32100000000000001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c r="D1" s="1514"/>
      <c r="E1" s="1515" t="s">
        <v>1292</v>
      </c>
      <c r="F1" s="1191">
        <f ca="1">J53</f>
        <v>0</v>
      </c>
      <c r="G1" s="1530">
        <f>MATCH(C1,'数据-取费表'!A6:A16,0)+5</f>
        <v>7</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#DIV/0!</v>
      </c>
      <c r="C2" s="1539" t="s">
        <v>1496</v>
      </c>
      <c r="D2" s="1623" t="e">
        <f ca="1">C40+J29+L46</f>
        <v>#DIV/0!</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0">
        <f ca="1">C6+C10+C12</f>
        <v>0</v>
      </c>
      <c r="D5" s="1516" t="s">
        <v>1506</v>
      </c>
      <c r="E5" s="1201"/>
      <c r="F5" s="1202"/>
      <c r="G5" s="1536"/>
      <c r="H5" s="304">
        <v>1</v>
      </c>
      <c r="I5" s="305" t="s">
        <v>1505</v>
      </c>
      <c r="J5" s="1200">
        <f ca="1">J6+J10+J12</f>
        <v>0</v>
      </c>
      <c r="K5" s="1516" t="s">
        <v>1506</v>
      </c>
      <c r="L5" s="1201"/>
      <c r="M5" s="1202"/>
    </row>
    <row r="6" spans="1:37" ht="18" customHeight="1">
      <c r="A6" s="1199" t="s">
        <v>1003</v>
      </c>
      <c r="B6" s="3404" t="s">
        <v>1308</v>
      </c>
      <c r="C6" s="1204">
        <f ca="1">ROUND(F6*F8*F7*(1-F9),0)</f>
        <v>0</v>
      </c>
      <c r="D6" s="159" t="s">
        <v>2787</v>
      </c>
      <c r="E6" s="307" t="s">
        <v>1310</v>
      </c>
      <c r="F6" s="308">
        <f ca="1">INDIRECT("'数据-取费表'!u"&amp;$G$1)</f>
        <v>0</v>
      </c>
      <c r="G6" s="1536"/>
      <c r="H6" s="1199" t="s">
        <v>1003</v>
      </c>
      <c r="I6" s="3404" t="s">
        <v>1308</v>
      </c>
      <c r="J6" s="306">
        <f ca="1">ROUND(M6*M8*M7*(1-M9),0)</f>
        <v>0</v>
      </c>
      <c r="K6" s="1528" t="s">
        <v>2788</v>
      </c>
      <c r="L6" s="307" t="s">
        <v>1310</v>
      </c>
      <c r="M6" s="308">
        <f ca="1">INDIRECT("'数据-取费表'!z"&amp;$G$1)</f>
        <v>0</v>
      </c>
    </row>
    <row r="7" spans="1:37" ht="18" customHeight="1">
      <c r="A7" s="1203"/>
      <c r="B7" s="3405"/>
      <c r="C7" s="1205"/>
      <c r="D7" s="312"/>
      <c r="E7" s="1206" t="s">
        <v>1311</v>
      </c>
      <c r="F7" s="308">
        <f ca="1">IF(INDIRECT("'数据-取费表'!ah"&amp;$G$1)="",INDIRECT("'数据-取费表'!k"&amp;$G$1),INDIRECT("'数据-取费表'!ah"&amp;$G$1))</f>
        <v>0</v>
      </c>
      <c r="G7" s="1536"/>
      <c r="H7" s="309"/>
      <c r="I7" s="3405"/>
      <c r="J7" s="311"/>
      <c r="K7" s="312"/>
      <c r="L7" s="307" t="s">
        <v>1311</v>
      </c>
      <c r="M7" s="308">
        <f ca="1">F7</f>
        <v>0</v>
      </c>
    </row>
    <row r="8" spans="1:37" ht="18" customHeight="1">
      <c r="A8" s="309"/>
      <c r="B8" s="3405"/>
      <c r="C8" s="311"/>
      <c r="D8" s="312"/>
      <c r="E8" s="307" t="s">
        <v>1312</v>
      </c>
      <c r="F8" s="308">
        <f ca="1">INDIRECT("'数据-取费表'!ai"&amp;$G$1)</f>
        <v>0</v>
      </c>
      <c r="G8" s="1536"/>
      <c r="H8" s="309"/>
      <c r="I8" s="3405"/>
      <c r="J8" s="311"/>
      <c r="K8" s="312"/>
      <c r="L8" s="307" t="s">
        <v>1312</v>
      </c>
      <c r="M8" s="308">
        <f ca="1">INDIRECT("'数据-取费表'!ai"&amp;$G$1)</f>
        <v>0</v>
      </c>
    </row>
    <row r="9" spans="1:37" ht="18" customHeight="1">
      <c r="A9" s="309"/>
      <c r="B9" s="3406"/>
      <c r="C9" s="311"/>
      <c r="D9" s="312"/>
      <c r="E9" s="307" t="s">
        <v>1313</v>
      </c>
      <c r="F9" s="317">
        <f ca="1">INDIRECT("'数据-取费表'!w"&amp;$G$1)</f>
        <v>0</v>
      </c>
      <c r="G9" s="1536"/>
      <c r="H9" s="309"/>
      <c r="I9" s="3406"/>
      <c r="J9" s="311"/>
      <c r="K9" s="312"/>
      <c r="L9" s="318" t="s">
        <v>1313</v>
      </c>
      <c r="M9" s="319">
        <f ca="1">INDIRECT("'数据-取费表'!ab"&amp;$G$1)</f>
        <v>0</v>
      </c>
    </row>
    <row r="10" spans="1:37" ht="18" customHeight="1">
      <c r="A10" s="1199" t="s">
        <v>1007</v>
      </c>
      <c r="B10" s="1517" t="s">
        <v>1314</v>
      </c>
      <c r="C10" s="321">
        <f ca="1">ROUND(IF(F10="押一",C6/12*F11,IF(F10="押二",C6/12*2*F11,IF(F10="押三",C6/12*3*F11,C11*F11))),0)</f>
        <v>0</v>
      </c>
      <c r="D10" s="1518" t="s">
        <v>2797</v>
      </c>
      <c r="E10" s="318" t="s">
        <v>1315</v>
      </c>
      <c r="F10" s="1246"/>
      <c r="G10" s="1536"/>
      <c r="H10" s="1199" t="s">
        <v>1007</v>
      </c>
      <c r="I10" s="1517" t="s">
        <v>1314</v>
      </c>
      <c r="J10" s="306">
        <f ca="1">ROUND(IF(M10="押一",J6/12*M11,IF(M10="押二",J6/12*2*M11,IF(M10="押三",J6/12*3*M11,J11*M11))),0)</f>
        <v>0</v>
      </c>
      <c r="K10" s="1529" t="s">
        <v>2799</v>
      </c>
      <c r="L10" s="318" t="s">
        <v>1315</v>
      </c>
      <c r="M10" s="1246"/>
    </row>
    <row r="11" spans="1:37" ht="18" customHeight="1">
      <c r="A11" s="313"/>
      <c r="B11" s="1519" t="s">
        <v>1507</v>
      </c>
      <c r="C11" s="1089"/>
      <c r="D11" s="312"/>
      <c r="E11" s="318" t="s">
        <v>1317</v>
      </c>
      <c r="F11" s="319">
        <f ca="1">'数据-取费表'!B39</f>
        <v>1.4999999999999999E-2</v>
      </c>
      <c r="G11" s="1536"/>
      <c r="H11" s="1207"/>
      <c r="I11" s="1519" t="s">
        <v>1508</v>
      </c>
      <c r="J11" s="1089"/>
      <c r="K11" s="692"/>
      <c r="L11" s="318" t="s">
        <v>1317</v>
      </c>
      <c r="M11" s="970">
        <f ca="1">'数据-取费表'!B39</f>
        <v>1.4999999999999999E-2</v>
      </c>
    </row>
    <row r="12" spans="1:37" ht="18" customHeight="1" thickBot="1">
      <c r="A12" s="1213" t="s">
        <v>1043</v>
      </c>
      <c r="B12" s="1521" t="s">
        <v>1318</v>
      </c>
      <c r="C12" s="1214"/>
      <c r="D12" s="1215"/>
      <c r="E12" s="1220"/>
      <c r="F12" s="1216"/>
      <c r="G12" s="1536"/>
      <c r="H12" s="1213" t="s">
        <v>1043</v>
      </c>
      <c r="I12" s="1521" t="s">
        <v>1318</v>
      </c>
      <c r="J12" s="1214"/>
      <c r="K12" s="1228"/>
      <c r="L12" s="1220"/>
      <c r="M12" s="1229"/>
    </row>
    <row r="13" spans="1:37" ht="18" customHeight="1" thickTop="1">
      <c r="A13" s="1209">
        <v>2</v>
      </c>
      <c r="B13" s="1210" t="s">
        <v>1319</v>
      </c>
      <c r="C13" s="315">
        <f ca="1">ROUND(C29*F13,0)</f>
        <v>0</v>
      </c>
      <c r="D13" s="1211" t="s">
        <v>1320</v>
      </c>
      <c r="E13" s="1211" t="s">
        <v>1321</v>
      </c>
      <c r="F13" s="1212">
        <f ca="1">INDIRECT("'数据-取费表'!y"&amp;$G$1)</f>
        <v>0</v>
      </c>
      <c r="G13" s="1536"/>
      <c r="H13" s="1209">
        <v>2</v>
      </c>
      <c r="I13" s="1210" t="s">
        <v>1319</v>
      </c>
      <c r="J13" s="1198">
        <f ca="1">ROUND(J14*J15,0)</f>
        <v>0</v>
      </c>
      <c r="K13" s="1217" t="s">
        <v>1320</v>
      </c>
      <c r="L13" s="1544"/>
      <c r="M13" s="1545"/>
    </row>
    <row r="14" spans="1:37" ht="18" customHeight="1">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c r="A15" s="1112" t="s">
        <v>1004</v>
      </c>
      <c r="B15" s="307" t="s">
        <v>1325</v>
      </c>
      <c r="C15" s="24">
        <f ca="1">ROUND(C14*F15,0)</f>
        <v>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v>
      </c>
      <c r="G16" s="1536"/>
      <c r="H16" s="1209" t="s">
        <v>998</v>
      </c>
      <c r="I16" s="1210" t="s">
        <v>1329</v>
      </c>
      <c r="J16" s="315">
        <f ca="1">ROUND(J17+J22+J23+J24,0)</f>
        <v>0</v>
      </c>
      <c r="K16" s="1217" t="s">
        <v>1330</v>
      </c>
      <c r="L16" s="1218"/>
      <c r="M16" s="1202"/>
    </row>
    <row r="17" spans="1:37" s="1549" customFormat="1" ht="18" customHeight="1">
      <c r="A17" s="1112" t="s">
        <v>1295</v>
      </c>
      <c r="B17" s="307" t="s">
        <v>1331</v>
      </c>
      <c r="C17" s="24">
        <f ca="1">ROUND(F17*(F43+INDIRECT("'数据-取费表'!S"&amp;$G$1)),0)</f>
        <v>0</v>
      </c>
      <c r="D17" s="307" t="s">
        <v>1332</v>
      </c>
      <c r="E17" s="307" t="s">
        <v>1333</v>
      </c>
      <c r="F17" s="26">
        <f>'数据-取费表'!B35</f>
        <v>200</v>
      </c>
      <c r="G17" s="1548"/>
      <c r="H17" s="1112" t="s">
        <v>1003</v>
      </c>
      <c r="I17" s="307" t="s">
        <v>1334</v>
      </c>
      <c r="J17" s="2502">
        <f ca="1">ROUND(IF(AND(项目基本情况!B11="自然人",项目基本情况!B10="北京市"),J6*M17/(1+'数据-取费表'!C42),J18+J19+J20),0)</f>
        <v>0</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5.6000000000000001E-2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4">
        <f ca="1">SUM(C14:C18)</f>
        <v>0</v>
      </c>
      <c r="D19" s="135"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c r="A20" s="1112" t="s">
        <v>1007</v>
      </c>
      <c r="B20" s="307" t="s">
        <v>1344</v>
      </c>
      <c r="C20" s="24">
        <f ca="1">ROUND(C19*F20,0)</f>
        <v>0</v>
      </c>
      <c r="D20" s="328" t="s">
        <v>1345</v>
      </c>
      <c r="E20" s="307" t="s">
        <v>1327</v>
      </c>
      <c r="F20" s="327">
        <f>'数据-取费表'!B37</f>
        <v>0.02</v>
      </c>
      <c r="G20" s="1548"/>
      <c r="H20" s="1112" t="s">
        <v>1294</v>
      </c>
      <c r="I20" s="159" t="s">
        <v>1346</v>
      </c>
      <c r="J20" s="25">
        <f ca="1">ROUND(M20*M21,0)</f>
        <v>0</v>
      </c>
      <c r="K20" s="329" t="s">
        <v>1347</v>
      </c>
      <c r="L20" s="307" t="s">
        <v>1348</v>
      </c>
      <c r="M20" s="330">
        <f>'数据-取费表'!B52</f>
        <v>3</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4" t="s">
        <v>1</v>
      </c>
      <c r="D21" s="328" t="s">
        <v>1350</v>
      </c>
      <c r="E21" s="307" t="s">
        <v>1351</v>
      </c>
      <c r="F21" s="327">
        <f>'数据-取费表'!B38</f>
        <v>0.02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4"/>
      <c r="D22" s="135" t="str">
        <f>IF(F23&lt;=1,"单利计息。","复利计息。")&amp;"建造成本、管理费用、销售费用产生的利息。"</f>
        <v>复利计息。建造成本、管理费用、销售费用产生的利息。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4">
        <f ca="1">ROUND(IF('数据-取费表'!B22&lt;=1,F21*F24*F23/2,F21*(POWER((1+F24),F23/2)-1)),4)</f>
        <v>5.9999999999999995E-4</v>
      </c>
      <c r="D24" s="334" t="str">
        <f>IF(F23&lt;=1,"销售费用×利率×(建设周期÷2)","销售费用×((1+利率)^(建设周期÷2)-1)")</f>
        <v>销售费用×((1+利率)^(建设周期÷2)-1)</v>
      </c>
      <c r="E24" s="307" t="s">
        <v>1363</v>
      </c>
      <c r="F24" s="336">
        <f ca="1">'数据-取费表'!B40</f>
        <v>4.2000000000000003E-2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4"/>
      <c r="D25" s="135" t="s">
        <v>1367</v>
      </c>
      <c r="E25" s="1512"/>
      <c r="F25" s="26"/>
      <c r="G25" s="1536"/>
      <c r="H25" s="1209" t="s">
        <v>999</v>
      </c>
      <c r="I25" s="1224" t="s">
        <v>1368</v>
      </c>
      <c r="J25" s="315">
        <f ca="1">J5-J16</f>
        <v>0</v>
      </c>
      <c r="K25" s="1225" t="s">
        <v>1369</v>
      </c>
      <c r="L25" s="1226"/>
      <c r="M25" s="1227"/>
    </row>
    <row r="26" spans="1:37" ht="18" customHeight="1">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4">
        <f>ROUND(F28/(1+'数据-取费表'!C42),4)</f>
        <v>5.33E-2</v>
      </c>
      <c r="D28" s="328" t="s">
        <v>1381</v>
      </c>
      <c r="E28" s="307" t="s">
        <v>1327</v>
      </c>
      <c r="F28" s="327">
        <f>'数据-取费表'!B41</f>
        <v>5.6000000000000001E-2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19" t="s">
        <v>1006</v>
      </c>
      <c r="B29" s="1220" t="s">
        <v>1383</v>
      </c>
      <c r="C29" s="1221">
        <f ca="1">ROUND((C19+C20+C23+C26)/(1-F21-C24-C27-C28),0)</f>
        <v>0</v>
      </c>
      <c r="D29" s="1222"/>
      <c r="E29" s="1220"/>
      <c r="F29" s="1223"/>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09" t="s">
        <v>998</v>
      </c>
      <c r="B30" s="1210" t="s">
        <v>1329</v>
      </c>
      <c r="C30" s="315">
        <f ca="1">ROUND(C31+C36+C37+C38,0)</f>
        <v>0</v>
      </c>
      <c r="D30" s="1217" t="s">
        <v>1330</v>
      </c>
      <c r="E30" s="1218"/>
      <c r="F30" s="1202"/>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0</v>
      </c>
      <c r="D31" s="1497" t="s">
        <v>1335</v>
      </c>
      <c r="E31" s="1496" t="s">
        <v>1386</v>
      </c>
      <c r="F31" s="2501" t="str">
        <f>IF(项目基本情况!B11="企业","——",IF('数据-取费表'!B10="住宅",IF(F6*F7*F8/12/(1+'数据-取费表'!F30)&gt;100000,4%,2.5%),IF(F6*F7*F8/12/(1+'数据-取费表'!F30)&gt;100000,12%,7%)))</f>
        <v>——</v>
      </c>
      <c r="G31" s="1536"/>
      <c r="H31" s="3007" t="s">
        <v>2997</v>
      </c>
      <c r="I31" s="1550"/>
      <c r="J31" s="1551"/>
      <c r="K31" s="2669"/>
      <c r="L31" s="2895"/>
      <c r="M31" s="2896"/>
    </row>
    <row r="32" spans="1:37" ht="18" customHeight="1">
      <c r="A32" s="1112" t="s">
        <v>1002</v>
      </c>
      <c r="B32" s="307" t="s">
        <v>1338</v>
      </c>
      <c r="C32" s="24">
        <f ca="1">IF(项目基本情况!B11="自然人","——",ROUND(C6*F32/(1+'数据-取费表'!C42),0))</f>
        <v>0</v>
      </c>
      <c r="D32" s="1496" t="s">
        <v>1339</v>
      </c>
      <c r="E32" s="307" t="s">
        <v>1327</v>
      </c>
      <c r="F32" s="336">
        <f>'数据-取费表'!B41</f>
        <v>5.6000000000000001E-2</v>
      </c>
      <c r="G32" s="1536"/>
      <c r="H32" s="2894"/>
      <c r="I32" s="1550"/>
      <c r="J32" s="1551"/>
      <c r="K32" s="2669"/>
      <c r="L32" s="2895"/>
      <c r="M32" s="2896"/>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7"/>
      <c r="I33" s="1550"/>
      <c r="J33" s="1551"/>
      <c r="K33" s="2898"/>
      <c r="L33" s="2897"/>
      <c r="M33" s="2897"/>
    </row>
    <row r="34" spans="1:18" ht="18" customHeight="1">
      <c r="A34" s="1199" t="s">
        <v>1294</v>
      </c>
      <c r="B34" s="159" t="s">
        <v>1346</v>
      </c>
      <c r="C34" s="25">
        <f ca="1">IF(项目基本情况!B11="自然人","——",ROUND(F34*F35,))</f>
        <v>0</v>
      </c>
      <c r="D34" s="329" t="s">
        <v>1347</v>
      </c>
      <c r="E34" s="307" t="s">
        <v>1348</v>
      </c>
      <c r="F34" s="330">
        <f>'数据-取费表'!B52</f>
        <v>3</v>
      </c>
      <c r="G34" s="1536"/>
      <c r="H34" s="2894"/>
      <c r="I34" s="1550"/>
      <c r="J34" s="1551"/>
      <c r="K34" s="2899"/>
      <c r="L34" s="2900"/>
      <c r="M34" s="2900"/>
    </row>
    <row r="35" spans="1:18" ht="18" customHeight="1">
      <c r="A35" s="1233"/>
      <c r="B35" s="1231"/>
      <c r="C35" s="29"/>
      <c r="D35" s="332"/>
      <c r="E35" s="307" t="s">
        <v>1352</v>
      </c>
      <c r="F35" s="308">
        <f ca="1">INDIRECT("'数据-取费表'!r"&amp;$G$1)</f>
        <v>0</v>
      </c>
      <c r="G35" s="1536"/>
      <c r="H35" s="2894"/>
      <c r="I35" s="1550"/>
      <c r="J35" s="1551"/>
      <c r="K35" s="2898"/>
      <c r="L35" s="2897"/>
      <c r="M35" s="2897"/>
    </row>
    <row r="36" spans="1:18" ht="18" customHeight="1">
      <c r="A36" s="1232" t="s">
        <v>1007</v>
      </c>
      <c r="B36" s="307" t="s">
        <v>1354</v>
      </c>
      <c r="C36" s="24">
        <f ca="1">ROUND(C29*F36,0)</f>
        <v>0</v>
      </c>
      <c r="D36" s="1496" t="s">
        <v>1387</v>
      </c>
      <c r="E36" s="307" t="s">
        <v>1327</v>
      </c>
      <c r="F36" s="333">
        <f ca="1">INDIRECT("'数据-取费表'!Ak"&amp;$G$1)</f>
        <v>0</v>
      </c>
      <c r="G36" s="1536"/>
      <c r="H36" s="2897"/>
      <c r="I36" s="1550"/>
      <c r="J36" s="1551"/>
      <c r="K36" s="2738"/>
      <c r="L36" s="2897"/>
      <c r="M36" s="2897"/>
    </row>
    <row r="37" spans="1:18" ht="18" customHeight="1">
      <c r="A37" s="1112" t="s">
        <v>1043</v>
      </c>
      <c r="B37" s="307" t="s">
        <v>1358</v>
      </c>
      <c r="C37" s="24">
        <f ca="1">ROUND(C13*F37,0)</f>
        <v>0</v>
      </c>
      <c r="D37" s="1496" t="s">
        <v>1359</v>
      </c>
      <c r="E37" s="307" t="s">
        <v>1360</v>
      </c>
      <c r="F37" s="335">
        <f ca="1">INDIRECT("'数据-取费表'!Al"&amp;$G$1)</f>
        <v>0</v>
      </c>
      <c r="G37" s="1536"/>
      <c r="H37" s="2897"/>
      <c r="I37" s="1550"/>
      <c r="J37" s="1551"/>
      <c r="K37" s="2738"/>
      <c r="L37" s="2897"/>
      <c r="M37" s="2897"/>
    </row>
    <row r="38" spans="1:18" ht="18" customHeight="1" thickBot="1">
      <c r="A38" s="1219" t="s">
        <v>1298</v>
      </c>
      <c r="B38" s="1220" t="s">
        <v>1344</v>
      </c>
      <c r="C38" s="1221">
        <f ca="1">ROUND(C5*F38,1)</f>
        <v>0</v>
      </c>
      <c r="D38" s="1222" t="s">
        <v>1364</v>
      </c>
      <c r="E38" s="1220" t="s">
        <v>1360</v>
      </c>
      <c r="F38" s="1216">
        <f ca="1">INDIRECT("'数据-取费表'!Am"&amp;$G$1)</f>
        <v>0</v>
      </c>
      <c r="G38" s="1536"/>
      <c r="H38" s="2897"/>
      <c r="I38" s="1550"/>
      <c r="J38" s="1551"/>
      <c r="K38" s="2901"/>
      <c r="L38" s="2897"/>
      <c r="M38" s="2897"/>
    </row>
    <row r="39" spans="1:18" ht="24.6" customHeight="1" thickTop="1">
      <c r="A39" s="1209" t="s">
        <v>999</v>
      </c>
      <c r="B39" s="1224" t="s">
        <v>1388</v>
      </c>
      <c r="C39" s="315">
        <f ca="1">C5-C30</f>
        <v>0</v>
      </c>
      <c r="D39" s="1225" t="s">
        <v>1389</v>
      </c>
      <c r="E39" s="1226"/>
      <c r="F39" s="1227"/>
      <c r="G39" s="1536"/>
      <c r="H39" s="2897"/>
      <c r="I39" s="1550"/>
      <c r="J39" s="1551"/>
      <c r="K39" s="2901"/>
      <c r="L39" s="2897"/>
      <c r="M39" s="2897"/>
    </row>
    <row r="40" spans="1:18" ht="18" customHeight="1">
      <c r="A40" s="304" t="s">
        <v>1000</v>
      </c>
      <c r="B40" s="305" t="s">
        <v>1390</v>
      </c>
      <c r="C40" s="306" t="e">
        <f ca="1">ROUND(C39*(1-((1+F42)/(1+F40))^F41)/(F40-F42),0)</f>
        <v>#DIV/0!</v>
      </c>
      <c r="D40" s="329" t="s">
        <v>1374</v>
      </c>
      <c r="E40" s="307" t="s">
        <v>1375</v>
      </c>
      <c r="F40" s="317">
        <f ca="1">INDIRECT("'数据-取费表'!I"&amp;$G$1)</f>
        <v>0</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0</v>
      </c>
      <c r="G41" s="1536"/>
      <c r="H41" s="1323"/>
      <c r="I41" s="1550"/>
      <c r="J41" s="1551"/>
      <c r="K41" s="2738"/>
      <c r="L41" s="1323"/>
      <c r="M41" s="1323"/>
    </row>
    <row r="42" spans="1:18" ht="18" customHeight="1">
      <c r="A42" s="313"/>
      <c r="B42" s="314"/>
      <c r="C42" s="315"/>
      <c r="D42" s="332"/>
      <c r="E42" s="307" t="s">
        <v>1382</v>
      </c>
      <c r="F42" s="317">
        <f ca="1">INDIRECT("'数据-取费表'!v"&amp;$G$1)</f>
        <v>0</v>
      </c>
      <c r="G42" s="1536"/>
      <c r="H42" s="1323"/>
      <c r="I42" s="1550"/>
      <c r="J42" s="1551"/>
      <c r="K42" s="2738"/>
      <c r="L42" s="1323"/>
      <c r="M42" s="1323"/>
    </row>
    <row r="43" spans="1:18" ht="18" customHeight="1" thickBot="1">
      <c r="A43" s="339" t="s">
        <v>1001</v>
      </c>
      <c r="B43" s="340" t="s">
        <v>1392</v>
      </c>
      <c r="C43" s="341" t="e">
        <f ca="1">ROUND(C40/F43,0)</f>
        <v>#DIV/0!</v>
      </c>
      <c r="D43" s="342" t="s">
        <v>1393</v>
      </c>
      <c r="E43" s="343" t="s">
        <v>1394</v>
      </c>
      <c r="F43" s="344">
        <f ca="1">INDIRECT("'数据-取费表'!k"&amp;$G$1)</f>
        <v>0</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#DIV/0!</v>
      </c>
      <c r="D45" s="1625" t="s">
        <v>1509</v>
      </c>
      <c r="E45" s="1552"/>
      <c r="F45" s="1552"/>
      <c r="O45" s="1555" t="s">
        <v>1424</v>
      </c>
      <c r="P45" s="1613"/>
      <c r="Q45" s="1613"/>
      <c r="R45" s="1613"/>
    </row>
    <row r="46" spans="1:18" s="1536" customFormat="1" ht="13.5" thickBot="1">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3.5" thickBot="1">
      <c r="A47" s="1076" t="s">
        <v>1301</v>
      </c>
      <c r="B47" s="1108" t="s">
        <v>1302</v>
      </c>
      <c r="C47" s="1108" t="s">
        <v>1303</v>
      </c>
      <c r="D47" s="1108" t="s">
        <v>1304</v>
      </c>
      <c r="E47" s="1187" t="s">
        <v>1305</v>
      </c>
      <c r="F47" s="1188"/>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28.5" thickBot="1">
      <c r="A48" s="1240" t="s">
        <v>1044</v>
      </c>
      <c r="B48" s="305"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3.5" thickBot="1">
      <c r="A49" s="1105" t="s">
        <v>1045</v>
      </c>
      <c r="B49" s="1523" t="s">
        <v>1395</v>
      </c>
      <c r="C49" s="1244">
        <f ca="1">ROUND(F49*F51*F50*(1-F52),0)</f>
        <v>0</v>
      </c>
      <c r="D49" s="1184" t="s">
        <v>1309</v>
      </c>
      <c r="E49" s="1524" t="s">
        <v>1396</v>
      </c>
      <c r="F49" s="1189"/>
      <c r="G49" s="1577"/>
      <c r="H49" s="731"/>
      <c r="I49" s="1573" t="s">
        <v>1439</v>
      </c>
      <c r="J49" s="1578"/>
      <c r="K49" s="1575" t="s">
        <v>1440</v>
      </c>
      <c r="L49" s="1579"/>
      <c r="O49" s="1580" t="s">
        <v>1010</v>
      </c>
      <c r="P49" s="1571" t="s">
        <v>1441</v>
      </c>
      <c r="Q49" s="1572">
        <f ca="1">C29</f>
        <v>0</v>
      </c>
      <c r="R49" s="1572" t="s">
        <v>1434</v>
      </c>
    </row>
    <row r="50" spans="1:18" s="1536" customFormat="1" ht="13.5" thickBot="1">
      <c r="A50" s="1106"/>
      <c r="B50" s="1109"/>
      <c r="C50" s="1110"/>
      <c r="D50" s="1083"/>
      <c r="E50" s="1185" t="s">
        <v>1311</v>
      </c>
      <c r="F50" s="1186">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3.5" thickBot="1">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3.5" thickBot="1">
      <c r="A52" s="1107"/>
      <c r="B52" s="1109"/>
      <c r="C52" s="1110"/>
      <c r="D52" s="1083"/>
      <c r="E52" s="1111" t="s">
        <v>1313</v>
      </c>
      <c r="F52" s="1183"/>
      <c r="I52" s="1589" t="s">
        <v>1448</v>
      </c>
      <c r="J52" s="1590"/>
      <c r="K52" s="1589" t="s">
        <v>1449</v>
      </c>
      <c r="L52" s="1590"/>
      <c r="O52" s="1580" t="s">
        <v>1013</v>
      </c>
      <c r="P52" s="1571" t="s">
        <v>1450</v>
      </c>
      <c r="Q52" s="1572">
        <f ca="1">J53</f>
        <v>0</v>
      </c>
      <c r="R52" s="1572" t="s">
        <v>1451</v>
      </c>
    </row>
    <row r="53" spans="1:18" s="1536" customFormat="1" ht="30.75" customHeight="1" thickBot="1">
      <c r="A53" s="1241" t="s">
        <v>1046</v>
      </c>
      <c r="B53" s="328" t="s">
        <v>1314</v>
      </c>
      <c r="C53" s="321">
        <f ca="1">ROUND(IF(F53="押一",C49/12*F11,IF(F53="押二",C49/12*2*F11,IF(F53="押三",C49/12*3*F11,C54*F11))),0)</f>
        <v>0</v>
      </c>
      <c r="D53" s="1518" t="s">
        <v>2800</v>
      </c>
      <c r="E53" s="318" t="s">
        <v>1315</v>
      </c>
      <c r="F53" s="1246"/>
      <c r="I53" s="1591" t="s">
        <v>1452</v>
      </c>
      <c r="J53" s="2354">
        <f ca="1">IF(M47="住宅",IF(D1="——",MAX(J51,L48),MAX(J51,L48-'数据-取费表'!B24)),IF(D1="——",MIN(J51,L48),MIN(J51,L48-'数据-取费表'!B24)))</f>
        <v>0</v>
      </c>
      <c r="K53" s="3402" t="s">
        <v>1453</v>
      </c>
      <c r="L53" s="3403"/>
      <c r="O53" s="1570" t="s">
        <v>1014</v>
      </c>
      <c r="P53" s="1571" t="s">
        <v>1454</v>
      </c>
      <c r="Q53" s="1572" t="e">
        <f ca="1">Q47+Q48</f>
        <v>#DIV/0!</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3.5" thickBot="1">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4.75" thickBot="1">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4.75" thickBot="1">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0</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4">
        <f ca="1">IF(项目基本情况!B11="自然人","——",ROUND(C48*F60/(1+'数据-取费表'!C42),0))</f>
        <v>0</v>
      </c>
      <c r="D60" s="1094" t="s">
        <v>1339</v>
      </c>
      <c r="E60" s="1080" t="s">
        <v>1327</v>
      </c>
      <c r="F60" s="336">
        <f t="shared" ref="F60:F66" si="0">F32</f>
        <v>5.6000000000000001E-2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3.5" thickBot="1">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3.5" thickBot="1">
      <c r="A62" s="1112" t="s">
        <v>1400</v>
      </c>
      <c r="B62" s="1079" t="s">
        <v>1401</v>
      </c>
      <c r="C62" s="25">
        <f ca="1">IF(项目基本情况!B11="自然人","——",ROUND(F62*F63,0))</f>
        <v>0</v>
      </c>
      <c r="D62" s="1095" t="s">
        <v>1402</v>
      </c>
      <c r="E62" s="1080" t="s">
        <v>1403</v>
      </c>
      <c r="F62" s="330">
        <f t="shared" si="0"/>
        <v>3</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3.5" thickBot="1">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5" thickBot="1">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6.5" thickBot="1">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5" thickBot="1">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3.5" thickBot="1">
      <c r="A69" s="1081"/>
      <c r="B69" s="1082"/>
      <c r="C69" s="311"/>
      <c r="D69" s="1100" t="s">
        <v>1378</v>
      </c>
      <c r="E69" s="1080" t="s">
        <v>1379</v>
      </c>
      <c r="F69" s="338">
        <f ca="1">F41</f>
        <v>0</v>
      </c>
      <c r="O69" s="1580" t="s">
        <v>1016</v>
      </c>
      <c r="P69" s="1619" t="s">
        <v>1489</v>
      </c>
      <c r="Q69" s="1572">
        <f ca="1">C39</f>
        <v>0</v>
      </c>
      <c r="R69" s="1572" t="s">
        <v>1434</v>
      </c>
    </row>
    <row r="70" spans="1:18" s="1536" customFormat="1" ht="13.5" thickBot="1">
      <c r="A70" s="1084"/>
      <c r="B70" s="1085"/>
      <c r="C70" s="315"/>
      <c r="D70" s="1096"/>
      <c r="E70" s="1080" t="s">
        <v>1382</v>
      </c>
      <c r="F70" s="1183">
        <f ca="1">F42</f>
        <v>0</v>
      </c>
      <c r="O70" s="1580" t="s">
        <v>1017</v>
      </c>
      <c r="P70" s="1619" t="s">
        <v>1490</v>
      </c>
      <c r="Q70" s="1572">
        <f ca="1">C13</f>
        <v>0</v>
      </c>
      <c r="R70" s="1572" t="s">
        <v>1434</v>
      </c>
    </row>
    <row r="71" spans="1:18" s="1536" customFormat="1" ht="13.5" thickBot="1">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3.5" thickBot="1">
      <c r="A75" s="1536"/>
      <c r="B75" s="345" t="s">
        <v>1411</v>
      </c>
      <c r="C75" s="346">
        <f ca="1">ROUND(C13*C76,0)</f>
        <v>0</v>
      </c>
      <c r="D75" s="1536"/>
      <c r="E75" s="1536"/>
      <c r="F75" s="1536"/>
      <c r="K75" s="1554"/>
      <c r="L75" s="1536"/>
      <c r="O75" s="1570" t="s">
        <v>1014</v>
      </c>
      <c r="P75" s="1571" t="s">
        <v>1454</v>
      </c>
      <c r="Q75" s="1572" t="e">
        <f ca="1">Q65+Q66</f>
        <v>#DIV/0!</v>
      </c>
      <c r="R75" s="1572" t="s">
        <v>1015</v>
      </c>
    </row>
    <row r="76" spans="1:18">
      <c r="B76" s="347" t="s">
        <v>1412</v>
      </c>
      <c r="C76" s="348">
        <f ca="1">INDIRECT("'数据-取费表'!j"&amp;$G$1)</f>
        <v>0</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7" t="s">
        <v>3005</v>
      </c>
      <c r="B2" s="3042" t="e">
        <f>C40</f>
        <v>#DIV/0!</v>
      </c>
      <c r="C2" s="3043" t="s">
        <v>3006</v>
      </c>
      <c r="D2" s="3043"/>
      <c r="E2" s="3044"/>
      <c r="F2" s="3045"/>
      <c r="G2" s="3046"/>
      <c r="H2" s="3047"/>
      <c r="I2" s="3048"/>
      <c r="J2" s="3407" t="s">
        <v>3007</v>
      </c>
      <c r="K2" s="3408"/>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09" t="s">
        <v>3017</v>
      </c>
      <c r="K3" s="3410"/>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09" t="s">
        <v>3019</v>
      </c>
      <c r="K4" s="3410"/>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11" t="s">
        <v>3023</v>
      </c>
      <c r="B6" s="3412"/>
      <c r="C6" s="3413"/>
      <c r="D6" s="3069"/>
      <c r="E6" s="3070"/>
      <c r="F6" s="3071"/>
      <c r="G6" s="3072"/>
      <c r="H6" s="3047"/>
      <c r="I6" s="3048"/>
      <c r="J6" s="3414">
        <v>1</v>
      </c>
      <c r="K6" s="3415"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14"/>
      <c r="K7" s="3416"/>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18" t="s">
        <v>3037</v>
      </c>
      <c r="C8" s="3419"/>
      <c r="D8" s="3088" t="s">
        <v>3038</v>
      </c>
      <c r="E8" s="3089" t="s">
        <v>3039</v>
      </c>
      <c r="F8" s="3090" t="s">
        <v>3040</v>
      </c>
      <c r="G8" s="3091"/>
      <c r="H8" s="3047"/>
      <c r="I8" s="3048"/>
      <c r="J8" s="3414"/>
      <c r="K8" s="3416"/>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18" t="s">
        <v>3043</v>
      </c>
      <c r="C9" s="3419"/>
      <c r="D9" s="3088">
        <f>ROUND(D6*E9,0)</f>
        <v>0</v>
      </c>
      <c r="E9" s="3092"/>
      <c r="F9" s="3093" t="s">
        <v>3044</v>
      </c>
      <c r="G9" s="3072"/>
      <c r="H9" s="3047"/>
      <c r="I9" s="3048"/>
      <c r="J9" s="3414"/>
      <c r="K9" s="3416"/>
      <c r="L9" s="3082" t="s">
        <v>3045</v>
      </c>
      <c r="M9" s="3083"/>
      <c r="N9" s="3059"/>
      <c r="O9" s="3084"/>
      <c r="P9" s="3084"/>
      <c r="Q9" s="3085">
        <v>365</v>
      </c>
      <c r="R9" s="3086">
        <f t="shared" si="0"/>
        <v>0</v>
      </c>
      <c r="S9" s="3040"/>
      <c r="T9" s="3040"/>
      <c r="U9" s="3040"/>
      <c r="V9" s="3048"/>
    </row>
    <row r="10" spans="1:22" s="3052" customFormat="1" ht="13.15" customHeight="1">
      <c r="A10" s="3087">
        <v>2</v>
      </c>
      <c r="B10" s="3418" t="s">
        <v>3046</v>
      </c>
      <c r="C10" s="3419"/>
      <c r="D10" s="3088">
        <f>ROUND(D6*E10,0)</f>
        <v>0</v>
      </c>
      <c r="E10" s="3092"/>
      <c r="F10" s="3093" t="s">
        <v>3047</v>
      </c>
      <c r="G10" s="3072"/>
      <c r="H10" s="3047"/>
      <c r="I10" s="3048"/>
      <c r="J10" s="3414"/>
      <c r="K10" s="3416"/>
      <c r="L10" s="3082" t="s">
        <v>3048</v>
      </c>
      <c r="M10" s="3083"/>
      <c r="N10" s="3059"/>
      <c r="O10" s="3084"/>
      <c r="P10" s="3084"/>
      <c r="Q10" s="3085">
        <v>365</v>
      </c>
      <c r="R10" s="3086">
        <f t="shared" si="0"/>
        <v>0</v>
      </c>
      <c r="S10" s="3040"/>
      <c r="T10" s="3040"/>
      <c r="U10" s="3040"/>
      <c r="V10" s="3048"/>
    </row>
    <row r="11" spans="1:22" s="3052" customFormat="1" ht="13.15" customHeight="1">
      <c r="A11" s="3087">
        <v>3</v>
      </c>
      <c r="B11" s="3418" t="s">
        <v>3049</v>
      </c>
      <c r="C11" s="3419"/>
      <c r="D11" s="3088">
        <f>D12+D14+D15+D16</f>
        <v>0</v>
      </c>
      <c r="E11" s="3094" t="e">
        <f>D11/D6</f>
        <v>#DIV/0!</v>
      </c>
      <c r="F11" s="3090"/>
      <c r="G11" s="3091"/>
      <c r="H11" s="3047"/>
      <c r="I11" s="3048"/>
      <c r="J11" s="3414"/>
      <c r="K11" s="3416"/>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20" t="s">
        <v>3052</v>
      </c>
      <c r="C12" s="3421"/>
      <c r="D12" s="3096">
        <f>ROUND(D13*1.2%*(1-30%),0)</f>
        <v>0</v>
      </c>
      <c r="E12" s="3097">
        <v>1.2E-2</v>
      </c>
      <c r="F12" s="3090" t="s">
        <v>3053</v>
      </c>
      <c r="G12" s="3091"/>
      <c r="H12" s="3047"/>
      <c r="I12" s="3048"/>
      <c r="J12" s="3414"/>
      <c r="K12" s="3416"/>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14"/>
      <c r="K13" s="3416"/>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20" t="s">
        <v>3058</v>
      </c>
      <c r="C14" s="3421"/>
      <c r="D14" s="3096">
        <f>ROUND(E14*B5/10000,0)</f>
        <v>0</v>
      </c>
      <c r="E14" s="3085"/>
      <c r="F14" s="3090" t="s">
        <v>3059</v>
      </c>
      <c r="G14" s="3091"/>
      <c r="H14" s="3047"/>
      <c r="I14" s="3048"/>
      <c r="J14" s="3414"/>
      <c r="K14" s="3417"/>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20" t="s">
        <v>3062</v>
      </c>
      <c r="C15" s="3421"/>
      <c r="D15" s="3096">
        <f>ROUND(D6*E15,0)</f>
        <v>0</v>
      </c>
      <c r="E15" s="3097">
        <v>5.5E-2</v>
      </c>
      <c r="F15" s="3090" t="s">
        <v>3063</v>
      </c>
      <c r="G15" s="3072"/>
      <c r="H15" s="3047"/>
      <c r="I15" s="3048"/>
      <c r="J15" s="3414">
        <v>2</v>
      </c>
      <c r="K15" s="3415"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20" t="s">
        <v>3071</v>
      </c>
      <c r="C16" s="3421"/>
      <c r="D16" s="3107">
        <f>D6*E16</f>
        <v>0</v>
      </c>
      <c r="E16" s="3108"/>
      <c r="F16" s="3093" t="s">
        <v>3072</v>
      </c>
      <c r="G16" s="3072"/>
      <c r="H16" s="3047"/>
      <c r="I16" s="3048"/>
      <c r="J16" s="3414"/>
      <c r="K16" s="3416"/>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22" t="s">
        <v>3074</v>
      </c>
      <c r="C17" s="3423"/>
      <c r="D17" s="3110">
        <f>ROUND(D6*E17,0)</f>
        <v>0</v>
      </c>
      <c r="E17" s="3111"/>
      <c r="F17" s="3112" t="s">
        <v>3075</v>
      </c>
      <c r="G17" s="3072"/>
      <c r="H17" s="3047"/>
      <c r="I17" s="3048"/>
      <c r="J17" s="3414"/>
      <c r="K17" s="3416"/>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14"/>
      <c r="K18" s="3416"/>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14"/>
      <c r="K19" s="3417"/>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4">
        <v>3</v>
      </c>
      <c r="K20" s="3415"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14"/>
      <c r="K21" s="3416"/>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14"/>
      <c r="K22" s="3416"/>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14"/>
      <c r="K23" s="3416"/>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14"/>
      <c r="K24" s="3417"/>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24">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25"/>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07" t="s">
        <v>3007</v>
      </c>
      <c r="K32" s="3408"/>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09" t="s">
        <v>3017</v>
      </c>
      <c r="K33" s="3410"/>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09" t="s">
        <v>3019</v>
      </c>
      <c r="K34" s="3410"/>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14">
        <v>1</v>
      </c>
      <c r="K36" s="3415"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14"/>
      <c r="K37" s="3416"/>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4"/>
      <c r="K38" s="3416"/>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14"/>
      <c r="K39" s="3416"/>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14"/>
      <c r="K40" s="3417"/>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24">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25"/>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2286</v>
      </c>
      <c r="B1" s="2022"/>
      <c r="C1" s="2022"/>
      <c r="D1" s="2022"/>
      <c r="E1" s="2023"/>
      <c r="F1" s="2904"/>
      <c r="G1" s="1642"/>
      <c r="H1" s="1642"/>
      <c r="I1" s="1642"/>
      <c r="J1" s="1642"/>
      <c r="K1" s="1642"/>
      <c r="L1" s="1642"/>
      <c r="M1" s="1642"/>
      <c r="N1" s="1642"/>
      <c r="O1" s="1642"/>
      <c r="P1" s="1642"/>
      <c r="Q1" s="1642"/>
      <c r="R1" s="1642"/>
      <c r="S1" s="1642"/>
    </row>
    <row r="2" spans="1:22" ht="15.75">
      <c r="A2" s="2024" t="s">
        <v>2087</v>
      </c>
      <c r="B2" s="2025">
        <f ca="1">SUMIF(B6:B13,"&lt;&gt;#ref!",B6:B13)</f>
        <v>37244</v>
      </c>
      <c r="C2" s="2026" t="s">
        <v>2279</v>
      </c>
      <c r="D2" s="2027" t="s">
        <v>2280</v>
      </c>
      <c r="E2" s="2801">
        <f>SUM(E6:E13)</f>
        <v>24804.469999999998</v>
      </c>
      <c r="F2" s="2904"/>
      <c r="G2" s="1642"/>
      <c r="H2" s="1642"/>
      <c r="I2" s="1642"/>
      <c r="J2" s="1642"/>
      <c r="K2" s="1642"/>
      <c r="L2" s="1642"/>
      <c r="M2" s="1642"/>
      <c r="N2" s="1642"/>
      <c r="O2" s="1642"/>
      <c r="P2" s="1642"/>
      <c r="Q2" s="1642"/>
      <c r="R2" s="1642"/>
      <c r="S2" s="1642"/>
    </row>
    <row r="3" spans="1:22" ht="15.75">
      <c r="A3" s="2024" t="s">
        <v>1300</v>
      </c>
      <c r="B3" s="2795">
        <f ca="1">ROUND(B2*10000/E2,0)</f>
        <v>15015</v>
      </c>
      <c r="C3" s="2026" t="s">
        <v>2287</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2281</v>
      </c>
      <c r="B5" s="3426" t="s">
        <v>2282</v>
      </c>
      <c r="C5" s="3427"/>
      <c r="D5" s="2905"/>
      <c r="E5" s="2028" t="s">
        <v>2283</v>
      </c>
      <c r="F5" s="2029" t="s">
        <v>2284</v>
      </c>
      <c r="G5" s="1642"/>
      <c r="H5" s="1642"/>
      <c r="I5" s="1642"/>
      <c r="J5" s="1642"/>
      <c r="K5" s="1642"/>
      <c r="L5" s="1642"/>
      <c r="M5" s="1642"/>
      <c r="N5" s="1642"/>
      <c r="O5" s="1642"/>
      <c r="P5" s="1642"/>
      <c r="Q5" s="1642"/>
      <c r="R5" s="1642"/>
      <c r="S5" s="1642"/>
    </row>
    <row r="6" spans="1:22">
      <c r="A6" s="2798" t="str">
        <f>'数据-取费表'!AN6</f>
        <v>收益法</v>
      </c>
      <c r="B6" s="2796">
        <f ca="1">IF(F6="是",'数据-取费表'!AO6,0)</f>
        <v>37244</v>
      </c>
      <c r="C6" s="2026" t="s">
        <v>2279</v>
      </c>
      <c r="D6" s="2906"/>
      <c r="E6" s="2800">
        <f>IF(OR(A6=0,F6="否"),0,'数据-取费表'!K6+'数据-取费表'!S6)</f>
        <v>24804.469999999998</v>
      </c>
      <c r="F6" s="2030" t="s">
        <v>2285</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2279</v>
      </c>
      <c r="D7" s="2906"/>
      <c r="E7" s="2800">
        <f>IF(OR(A7=0,F7="否"),0,'数据-取费表'!K7+'数据-取费表'!S7)</f>
        <v>0</v>
      </c>
      <c r="F7" s="2030" t="s">
        <v>2285</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2279</v>
      </c>
      <c r="D8" s="2906"/>
      <c r="E8" s="2800">
        <f>IF(OR(A8=0,F8="否"),0,'数据-取费表'!K8+'数据-取费表'!S8)</f>
        <v>0</v>
      </c>
      <c r="F8" s="2030" t="s">
        <v>2285</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2279</v>
      </c>
      <c r="D9" s="2906"/>
      <c r="E9" s="2800">
        <f>IF(OR(A9=0,F9="否"),0,'数据-取费表'!K9+'数据-取费表'!S9)</f>
        <v>0</v>
      </c>
      <c r="F9" s="2030" t="s">
        <v>2285</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2279</v>
      </c>
      <c r="D10" s="2906"/>
      <c r="E10" s="2800">
        <f>IF(OR(A10=0,F10="否"),0,'数据-取费表'!K10+'数据-取费表'!S10)</f>
        <v>0</v>
      </c>
      <c r="F10" s="2030" t="s">
        <v>2285</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2279</v>
      </c>
      <c r="D11" s="2906"/>
      <c r="E11" s="2800">
        <f>IF(OR(A11=0,F11="否"),0,'数据-取费表'!K11+'数据-取费表'!S11)</f>
        <v>0</v>
      </c>
      <c r="F11" s="2030" t="s">
        <v>2285</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2279</v>
      </c>
      <c r="D12" s="2906"/>
      <c r="E12" s="2800">
        <f>IF(OR(A12=0,F12="否"),0,'数据-取费表'!K12+'数据-取费表'!S12)</f>
        <v>0</v>
      </c>
      <c r="F12" s="2030" t="s">
        <v>2285</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2279</v>
      </c>
      <c r="D13" s="2907"/>
      <c r="E13" s="2800">
        <f>IF(OR(A13=0,F13="否"),0,'数据-取费表'!K13+'数据-取费表'!S13)</f>
        <v>0</v>
      </c>
      <c r="F13" s="2030" t="s">
        <v>2285</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032" t="s">
        <v>2289</v>
      </c>
      <c r="C1" s="1376" t="s">
        <v>2290</v>
      </c>
      <c r="D1" s="1363"/>
      <c r="E1" s="2512"/>
      <c r="F1" s="2033" t="s">
        <v>2291</v>
      </c>
      <c r="G1" s="1373" t="s">
        <v>2292</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6" t="e">
        <f ca="1">IF(C2="——",ROUND(C49*D3/10000,0),ROUND(C49*D3/10000,0)-D2)</f>
        <v>#DIV/0!</v>
      </c>
      <c r="C2" s="2035"/>
      <c r="D2" s="1245" t="e">
        <f ca="1">SUMIF(INDIRECT("'"&amp;F2&amp;"'"&amp;"!A:A"),"承租人权益价值",INDIRECT("'"&amp;F2&amp;"'"&amp;"!c:c"))</f>
        <v>#REF!</v>
      </c>
      <c r="E2" s="2036" t="s">
        <v>2293</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2294</v>
      </c>
      <c r="D3" s="358">
        <f>IF(D1="",'数据-汇总表'!E3,SUMIF('数据-汇总表'!$C19:$C33,D1,'数据-汇总表'!$E19:$E33))</f>
        <v>24804.469999999998</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0"/>
    </row>
    <row r="4" spans="1:29" ht="15">
      <c r="A4" s="360" t="s">
        <v>2295</v>
      </c>
      <c r="B4" s="361"/>
      <c r="C4" s="3446" t="s">
        <v>2296</v>
      </c>
      <c r="D4" s="3447"/>
      <c r="E4" s="3448" t="s">
        <v>2297</v>
      </c>
      <c r="F4" s="3449"/>
      <c r="G4" s="3446" t="s">
        <v>2298</v>
      </c>
      <c r="H4" s="3447"/>
      <c r="I4" s="3446" t="s">
        <v>2299</v>
      </c>
      <c r="J4" s="3447"/>
      <c r="K4" s="2043" t="s">
        <v>2300</v>
      </c>
      <c r="L4" s="2912"/>
      <c r="M4" s="2913"/>
      <c r="N4" s="2913"/>
      <c r="O4" s="2913"/>
      <c r="P4" s="3450" t="s">
        <v>2301</v>
      </c>
      <c r="Q4" s="3451"/>
      <c r="R4" s="3433" t="s">
        <v>2297</v>
      </c>
      <c r="S4" s="3434"/>
      <c r="T4" s="3433" t="s">
        <v>2298</v>
      </c>
      <c r="U4" s="3434"/>
      <c r="V4" s="3458" t="s">
        <v>2299</v>
      </c>
      <c r="W4" s="3458"/>
      <c r="X4" s="1507"/>
      <c r="Y4" s="3433" t="s">
        <v>2301</v>
      </c>
      <c r="Z4" s="3434"/>
      <c r="AA4" s="3428" t="s">
        <v>2297</v>
      </c>
      <c r="AB4" s="3428" t="s">
        <v>2298</v>
      </c>
      <c r="AC4" s="3428" t="s">
        <v>2299</v>
      </c>
    </row>
    <row r="5" spans="1:29" ht="15">
      <c r="A5" s="363"/>
      <c r="B5" s="364"/>
      <c r="C5" s="3439" t="s">
        <v>2302</v>
      </c>
      <c r="D5" s="3440"/>
      <c r="E5" s="3437" t="s">
        <v>2303</v>
      </c>
      <c r="F5" s="3438"/>
      <c r="G5" s="3439" t="s">
        <v>2304</v>
      </c>
      <c r="H5" s="3440"/>
      <c r="I5" s="3439" t="s">
        <v>2305</v>
      </c>
      <c r="J5" s="3440"/>
      <c r="K5" s="2044"/>
      <c r="L5" s="2912"/>
      <c r="M5" s="2913"/>
      <c r="N5" s="2913"/>
      <c r="O5" s="2913"/>
      <c r="P5" s="3452"/>
      <c r="Q5" s="3453"/>
      <c r="R5" s="3435"/>
      <c r="S5" s="3436"/>
      <c r="T5" s="3435"/>
      <c r="U5" s="3436"/>
      <c r="V5" s="3458"/>
      <c r="W5" s="3458"/>
      <c r="X5" s="1507"/>
      <c r="Y5" s="3435"/>
      <c r="Z5" s="3436"/>
      <c r="AA5" s="3429"/>
      <c r="AB5" s="3429"/>
      <c r="AC5" s="3429"/>
    </row>
    <row r="6" spans="1:29" ht="15.75" thickBot="1">
      <c r="A6" s="365"/>
      <c r="B6" s="366"/>
      <c r="C6" s="3441" t="s">
        <v>2306</v>
      </c>
      <c r="D6" s="3442"/>
      <c r="E6" s="3443" t="s">
        <v>2306</v>
      </c>
      <c r="F6" s="3444"/>
      <c r="G6" s="3441" t="s">
        <v>2306</v>
      </c>
      <c r="H6" s="3442"/>
      <c r="I6" s="3441" t="s">
        <v>2306</v>
      </c>
      <c r="J6" s="3442"/>
      <c r="K6" s="2044" t="s">
        <v>2307</v>
      </c>
      <c r="L6" s="2912"/>
      <c r="M6" s="2913"/>
      <c r="N6" s="2913"/>
      <c r="O6" s="2913"/>
      <c r="P6" s="3454"/>
      <c r="Q6" s="3455"/>
      <c r="R6" s="3435"/>
      <c r="S6" s="3436"/>
      <c r="T6" s="3456"/>
      <c r="U6" s="3457"/>
      <c r="V6" s="3458"/>
      <c r="W6" s="3458"/>
      <c r="X6" s="1507"/>
      <c r="Y6" s="3456"/>
      <c r="Z6" s="3457"/>
      <c r="AA6" s="3430"/>
      <c r="AB6" s="3430"/>
      <c r="AC6" s="3430"/>
    </row>
    <row r="7" spans="1:29" s="113" customFormat="1" ht="15.75" thickBot="1">
      <c r="A7" s="367" t="s">
        <v>2308</v>
      </c>
      <c r="B7" s="368"/>
      <c r="C7" s="369">
        <f>'数据-取费表'!B2</f>
        <v>44642</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431" t="s">
        <v>2309</v>
      </c>
      <c r="Q7" s="3459"/>
      <c r="R7" s="709" t="s">
        <v>23</v>
      </c>
      <c r="S7" s="710">
        <f t="shared" ref="S7:S15" si="0">F7</f>
        <v>0</v>
      </c>
      <c r="T7" s="709" t="s">
        <v>23</v>
      </c>
      <c r="U7" s="710">
        <f t="shared" ref="U7:U15" si="1">H7</f>
        <v>0</v>
      </c>
      <c r="V7" s="709" t="s">
        <v>23</v>
      </c>
      <c r="W7" s="710">
        <f t="shared" ref="W7:W15" si="2">J7</f>
        <v>0</v>
      </c>
      <c r="X7" s="711"/>
      <c r="Y7" s="3431" t="s">
        <v>2309</v>
      </c>
      <c r="Z7" s="3432"/>
      <c r="AA7" s="712" t="e">
        <f>D7/F7</f>
        <v>#DIV/0!</v>
      </c>
      <c r="AB7" s="712" t="e">
        <f>D7/H7</f>
        <v>#DIV/0!</v>
      </c>
      <c r="AC7" s="712" t="e">
        <f>D7/J7</f>
        <v>#DIV/0!</v>
      </c>
    </row>
    <row r="8" spans="1:29" s="113" customFormat="1" ht="15.75" thickBot="1">
      <c r="A8" s="367" t="s">
        <v>2310</v>
      </c>
      <c r="B8" s="368"/>
      <c r="C8" s="373" t="s">
        <v>2311</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431" t="s">
        <v>2312</v>
      </c>
      <c r="Q8" s="3432"/>
      <c r="R8" s="709" t="s">
        <v>23</v>
      </c>
      <c r="S8" s="710">
        <f t="shared" si="0"/>
        <v>0</v>
      </c>
      <c r="T8" s="709" t="s">
        <v>23</v>
      </c>
      <c r="U8" s="710">
        <f t="shared" si="1"/>
        <v>0</v>
      </c>
      <c r="V8" s="709" t="s">
        <v>23</v>
      </c>
      <c r="W8" s="710">
        <f t="shared" si="2"/>
        <v>0</v>
      </c>
      <c r="X8" s="711"/>
      <c r="Y8" s="3431" t="s">
        <v>2312</v>
      </c>
      <c r="Z8" s="3432"/>
      <c r="AA8" s="712" t="e">
        <f t="shared" ref="AA8:AA19" si="3">D8/F8</f>
        <v>#DIV/0!</v>
      </c>
      <c r="AB8" s="712" t="e">
        <f t="shared" ref="AB8:AB19" si="4">D8/H8</f>
        <v>#DIV/0!</v>
      </c>
      <c r="AC8" s="712" t="e">
        <f t="shared" ref="AC8:AC19" si="5">D8/J8</f>
        <v>#DIV/0!</v>
      </c>
    </row>
    <row r="9" spans="1:29" s="113" customFormat="1">
      <c r="A9" s="374" t="s">
        <v>2313</v>
      </c>
      <c r="B9" s="67" t="s">
        <v>2314</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445" t="s">
        <v>2315</v>
      </c>
      <c r="Q9" s="1495" t="str">
        <f t="shared" ref="Q9:Q15" si="6">B9</f>
        <v>用途</v>
      </c>
      <c r="R9" s="709" t="s">
        <v>17</v>
      </c>
      <c r="S9" s="710">
        <f t="shared" si="0"/>
        <v>100</v>
      </c>
      <c r="T9" s="709" t="s">
        <v>17</v>
      </c>
      <c r="U9" s="710">
        <f t="shared" si="1"/>
        <v>100</v>
      </c>
      <c r="V9" s="709" t="s">
        <v>17</v>
      </c>
      <c r="W9" s="710">
        <f t="shared" si="2"/>
        <v>100</v>
      </c>
      <c r="X9" s="711"/>
      <c r="Y9" s="3375"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445"/>
      <c r="Q10" s="1495" t="str">
        <f t="shared" si="6"/>
        <v>土地使用年限（年）</v>
      </c>
      <c r="R10" s="709" t="s">
        <v>17</v>
      </c>
      <c r="S10" s="710">
        <f t="shared" si="0"/>
        <v>100</v>
      </c>
      <c r="T10" s="709" t="s">
        <v>17</v>
      </c>
      <c r="U10" s="710">
        <f t="shared" si="1"/>
        <v>100</v>
      </c>
      <c r="V10" s="709" t="s">
        <v>17</v>
      </c>
      <c r="W10" s="710">
        <f t="shared" si="2"/>
        <v>100</v>
      </c>
      <c r="X10" s="711"/>
      <c r="Y10" s="3375"/>
      <c r="Z10" s="55" t="str">
        <f t="shared" si="7"/>
        <v>土地使用年限（年）</v>
      </c>
      <c r="AA10" s="712">
        <f t="shared" si="3"/>
        <v>1</v>
      </c>
      <c r="AB10" s="712">
        <f t="shared" si="4"/>
        <v>1</v>
      </c>
      <c r="AC10" s="712">
        <f t="shared" si="5"/>
        <v>1</v>
      </c>
    </row>
    <row r="11" spans="1:29" ht="15">
      <c r="A11" s="386"/>
      <c r="B11" s="380" t="s">
        <v>2318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445"/>
      <c r="Q11" s="1495" t="str">
        <f t="shared" si="6"/>
        <v>容积率</v>
      </c>
      <c r="R11" s="709" t="s">
        <v>21</v>
      </c>
      <c r="S11" s="710" t="e">
        <f t="shared" si="0"/>
        <v>#N/A</v>
      </c>
      <c r="T11" s="709" t="s">
        <v>21</v>
      </c>
      <c r="U11" s="710" t="e">
        <f t="shared" si="1"/>
        <v>#N/A</v>
      </c>
      <c r="V11" s="709" t="s">
        <v>21</v>
      </c>
      <c r="W11" s="710" t="e">
        <f t="shared" si="2"/>
        <v>#N/A</v>
      </c>
      <c r="X11" s="711"/>
      <c r="Y11" s="3375"/>
      <c r="Z11" s="55" t="str">
        <f t="shared" si="7"/>
        <v>容积率</v>
      </c>
      <c r="AA11" s="712" t="e">
        <f t="shared" si="3"/>
        <v>#N/A</v>
      </c>
      <c r="AB11" s="712" t="e">
        <f t="shared" si="4"/>
        <v>#N/A</v>
      </c>
      <c r="AC11" s="712" t="e">
        <f t="shared" si="5"/>
        <v>#N/A</v>
      </c>
    </row>
    <row r="12" spans="1:29" s="113"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445"/>
      <c r="Q12" s="1495">
        <f t="shared" si="6"/>
        <v>111</v>
      </c>
      <c r="R12" s="709" t="s">
        <v>21</v>
      </c>
      <c r="S12" s="710">
        <f t="shared" si="0"/>
        <v>100</v>
      </c>
      <c r="T12" s="709" t="s">
        <v>21</v>
      </c>
      <c r="U12" s="710">
        <f t="shared" si="1"/>
        <v>100</v>
      </c>
      <c r="V12" s="709" t="s">
        <v>21</v>
      </c>
      <c r="W12" s="710">
        <f t="shared" si="2"/>
        <v>100</v>
      </c>
      <c r="X12" s="711"/>
      <c r="Y12" s="3375"/>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445"/>
      <c r="Q13" s="1495">
        <f t="shared" si="6"/>
        <v>111</v>
      </c>
      <c r="R13" s="709" t="s">
        <v>21</v>
      </c>
      <c r="S13" s="710">
        <f t="shared" si="0"/>
        <v>100</v>
      </c>
      <c r="T13" s="709" t="s">
        <v>21</v>
      </c>
      <c r="U13" s="710">
        <f t="shared" si="1"/>
        <v>100</v>
      </c>
      <c r="V13" s="709" t="s">
        <v>21</v>
      </c>
      <c r="W13" s="710">
        <f t="shared" si="2"/>
        <v>100</v>
      </c>
      <c r="X13" s="711"/>
      <c r="Y13" s="3375"/>
      <c r="Z13" s="55">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445"/>
      <c r="Q14" s="1495">
        <f t="shared" si="6"/>
        <v>111</v>
      </c>
      <c r="R14" s="709" t="s">
        <v>21</v>
      </c>
      <c r="S14" s="710">
        <f t="shared" si="0"/>
        <v>100</v>
      </c>
      <c r="T14" s="709" t="s">
        <v>21</v>
      </c>
      <c r="U14" s="710">
        <f t="shared" si="1"/>
        <v>100</v>
      </c>
      <c r="V14" s="709" t="s">
        <v>21</v>
      </c>
      <c r="W14" s="710">
        <f t="shared" si="2"/>
        <v>100</v>
      </c>
      <c r="X14" s="711"/>
      <c r="Y14" s="3375"/>
      <c r="Z14" s="55">
        <f t="shared" si="7"/>
        <v>111</v>
      </c>
      <c r="AA14" s="712">
        <f t="shared" si="3"/>
        <v>1</v>
      </c>
      <c r="AB14" s="712">
        <f t="shared" si="4"/>
        <v>1</v>
      </c>
      <c r="AC14" s="712">
        <f t="shared" si="5"/>
        <v>1</v>
      </c>
    </row>
    <row r="15" spans="1:29" ht="99.75">
      <c r="A15" s="398" t="s">
        <v>2319</v>
      </c>
      <c r="B15" s="65" t="s">
        <v>1882</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472" t="s">
        <v>2320</v>
      </c>
      <c r="Q15" s="1504" t="str">
        <f t="shared" si="6"/>
        <v>居住社区成熟度</v>
      </c>
      <c r="R15" s="713" t="s">
        <v>21</v>
      </c>
      <c r="S15" s="714">
        <f t="shared" si="0"/>
        <v>100</v>
      </c>
      <c r="T15" s="713" t="s">
        <v>21</v>
      </c>
      <c r="U15" s="714">
        <f t="shared" si="1"/>
        <v>100</v>
      </c>
      <c r="V15" s="713" t="s">
        <v>21</v>
      </c>
      <c r="W15" s="714">
        <f t="shared" si="2"/>
        <v>100</v>
      </c>
      <c r="X15" s="1507"/>
      <c r="Y15" s="3465" t="s">
        <v>2320</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473"/>
      <c r="Q16" s="1504"/>
      <c r="R16" s="713"/>
      <c r="S16" s="714"/>
      <c r="T16" s="713"/>
      <c r="U16" s="714"/>
      <c r="V16" s="713"/>
      <c r="W16" s="714"/>
      <c r="X16" s="1507"/>
      <c r="Y16" s="3466"/>
      <c r="Z16" s="1508"/>
      <c r="AA16" s="1505">
        <v>1</v>
      </c>
      <c r="AB16" s="1505">
        <v>1</v>
      </c>
      <c r="AC16" s="1505">
        <v>1</v>
      </c>
    </row>
    <row r="17" spans="1:29" ht="85.5">
      <c r="A17" s="386"/>
      <c r="B17" s="409" t="s">
        <v>1884</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473"/>
      <c r="Q17" s="1504" t="str">
        <f>B17</f>
        <v>交通便捷度</v>
      </c>
      <c r="R17" s="713" t="s">
        <v>21</v>
      </c>
      <c r="S17" s="714">
        <f>F17</f>
        <v>100</v>
      </c>
      <c r="T17" s="713" t="s">
        <v>21</v>
      </c>
      <c r="U17" s="714">
        <f>H17</f>
        <v>100</v>
      </c>
      <c r="V17" s="713" t="s">
        <v>21</v>
      </c>
      <c r="W17" s="714">
        <f>J17</f>
        <v>100</v>
      </c>
      <c r="X17" s="1507"/>
      <c r="Y17" s="3466"/>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473"/>
      <c r="Q18" s="1504"/>
      <c r="R18" s="713"/>
      <c r="S18" s="714"/>
      <c r="T18" s="713"/>
      <c r="U18" s="714"/>
      <c r="V18" s="713"/>
      <c r="W18" s="714"/>
      <c r="X18" s="1507"/>
      <c r="Y18" s="3466"/>
      <c r="Z18" s="1508"/>
      <c r="AA18" s="1505">
        <v>1</v>
      </c>
      <c r="AB18" s="1505">
        <v>1</v>
      </c>
      <c r="AC18" s="1505">
        <v>1</v>
      </c>
    </row>
    <row r="19" spans="1:29" ht="42.75">
      <c r="A19" s="386"/>
      <c r="B19" s="409" t="s">
        <v>1883</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473"/>
      <c r="Q19" s="1504" t="str">
        <f>B19</f>
        <v>公共配套设施</v>
      </c>
      <c r="R19" s="713" t="s">
        <v>21</v>
      </c>
      <c r="S19" s="714">
        <f>F19</f>
        <v>100</v>
      </c>
      <c r="T19" s="713" t="s">
        <v>21</v>
      </c>
      <c r="U19" s="714">
        <f>H19</f>
        <v>100</v>
      </c>
      <c r="V19" s="713" t="s">
        <v>21</v>
      </c>
      <c r="W19" s="714">
        <f>J19</f>
        <v>100</v>
      </c>
      <c r="X19" s="1507"/>
      <c r="Y19" s="3466"/>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473"/>
      <c r="Q20" s="1504"/>
      <c r="R20" s="713"/>
      <c r="S20" s="714"/>
      <c r="T20" s="713"/>
      <c r="U20" s="714"/>
      <c r="V20" s="713"/>
      <c r="W20" s="714"/>
      <c r="X20" s="1507"/>
      <c r="Y20" s="3466"/>
      <c r="Z20" s="1508"/>
      <c r="AA20" s="1505">
        <v>1</v>
      </c>
      <c r="AB20" s="1505">
        <v>1</v>
      </c>
      <c r="AC20" s="1505">
        <v>1</v>
      </c>
    </row>
    <row r="21" spans="1:29" ht="28.5">
      <c r="A21" s="386"/>
      <c r="B21" s="1263" t="s">
        <v>1885</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473"/>
      <c r="Q21" s="1504" t="str">
        <f>B21</f>
        <v>基础设施水平</v>
      </c>
      <c r="R21" s="713" t="s">
        <v>17</v>
      </c>
      <c r="S21" s="714">
        <f>F21</f>
        <v>100</v>
      </c>
      <c r="T21" s="713" t="s">
        <v>17</v>
      </c>
      <c r="U21" s="714">
        <f>H21</f>
        <v>100</v>
      </c>
      <c r="V21" s="713" t="s">
        <v>17</v>
      </c>
      <c r="W21" s="714">
        <f>J21</f>
        <v>100</v>
      </c>
      <c r="X21" s="1507"/>
      <c r="Y21" s="3466"/>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6"/>
      <c r="G22" s="2058"/>
      <c r="H22" s="406"/>
      <c r="I22" s="405"/>
      <c r="J22" s="406"/>
      <c r="K22" s="2059"/>
      <c r="L22" s="2919"/>
      <c r="M22" s="2913"/>
      <c r="N22" s="2913"/>
      <c r="O22" s="2913"/>
      <c r="P22" s="3473"/>
      <c r="Q22" s="1504"/>
      <c r="R22" s="713"/>
      <c r="S22" s="714"/>
      <c r="T22" s="713"/>
      <c r="U22" s="714"/>
      <c r="V22" s="713"/>
      <c r="W22" s="714"/>
      <c r="X22" s="1507"/>
      <c r="Y22" s="3466"/>
      <c r="Z22" s="1508"/>
      <c r="AA22" s="1505">
        <v>1</v>
      </c>
      <c r="AB22" s="1505">
        <v>1</v>
      </c>
      <c r="AC22" s="1505">
        <v>1</v>
      </c>
    </row>
    <row r="23" spans="1:29" ht="57">
      <c r="A23" s="386"/>
      <c r="B23" s="409" t="s">
        <v>1886</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473"/>
      <c r="Q23" s="1504" t="str">
        <f>B23</f>
        <v>自然及人文环境</v>
      </c>
      <c r="R23" s="713" t="s">
        <v>21</v>
      </c>
      <c r="S23" s="714">
        <f>F23</f>
        <v>100</v>
      </c>
      <c r="T23" s="713" t="s">
        <v>21</v>
      </c>
      <c r="U23" s="714">
        <f>H23</f>
        <v>100</v>
      </c>
      <c r="V23" s="713" t="s">
        <v>21</v>
      </c>
      <c r="W23" s="714">
        <f>J23</f>
        <v>100</v>
      </c>
      <c r="X23" s="1507"/>
      <c r="Y23" s="3466"/>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473"/>
      <c r="Q24" s="1504"/>
      <c r="R24" s="713"/>
      <c r="S24" s="714"/>
      <c r="T24" s="713"/>
      <c r="U24" s="714"/>
      <c r="V24" s="713"/>
      <c r="W24" s="714"/>
      <c r="X24" s="1507"/>
      <c r="Y24" s="3466"/>
      <c r="Z24" s="1508"/>
      <c r="AA24" s="1505">
        <v>1</v>
      </c>
      <c r="AB24" s="1505">
        <v>1</v>
      </c>
      <c r="AC24" s="1505">
        <v>1</v>
      </c>
    </row>
    <row r="25" spans="1:29" ht="15">
      <c r="A25" s="386"/>
      <c r="B25" s="380" t="s">
        <v>2321</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473"/>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66"/>
      <c r="Z25" s="1508" t="str">
        <f>Q25</f>
        <v>楼层-1</v>
      </c>
      <c r="AA25" s="1505">
        <f t="shared" ref="AA25:AA46" si="15">D25/F25</f>
        <v>1</v>
      </c>
      <c r="AB25" s="1505">
        <f t="shared" ref="AB25:AB46" si="16">D25/H25</f>
        <v>1</v>
      </c>
      <c r="AC25" s="1505">
        <f t="shared" ref="AC25:AC46" si="17">D25/J25</f>
        <v>1</v>
      </c>
    </row>
    <row r="26" spans="1:29" ht="15">
      <c r="A26" s="386"/>
      <c r="B26" s="380" t="s">
        <v>2322</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473"/>
      <c r="Q26" s="1504" t="str">
        <f t="shared" si="11"/>
        <v>朝向</v>
      </c>
      <c r="R26" s="713" t="s">
        <v>21</v>
      </c>
      <c r="S26" s="714">
        <f t="shared" si="12"/>
        <v>100</v>
      </c>
      <c r="T26" s="713" t="s">
        <v>21</v>
      </c>
      <c r="U26" s="714">
        <f t="shared" si="13"/>
        <v>100</v>
      </c>
      <c r="V26" s="713" t="s">
        <v>21</v>
      </c>
      <c r="W26" s="714">
        <f t="shared" si="14"/>
        <v>100</v>
      </c>
      <c r="X26" s="1507"/>
      <c r="Y26" s="3466"/>
      <c r="Z26" s="1508" t="str">
        <f>Q26</f>
        <v>朝向</v>
      </c>
      <c r="AA26" s="1505">
        <f t="shared" si="15"/>
        <v>1</v>
      </c>
      <c r="AB26" s="1505">
        <f t="shared" si="16"/>
        <v>1</v>
      </c>
      <c r="AC26" s="1505">
        <f t="shared" si="17"/>
        <v>1</v>
      </c>
    </row>
    <row r="27" spans="1:29" s="113" customFormat="1" ht="15">
      <c r="A27" s="389"/>
      <c r="B27" s="1265">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473"/>
      <c r="Q27" s="1495">
        <f t="shared" si="11"/>
        <v>111</v>
      </c>
      <c r="R27" s="709" t="s">
        <v>21</v>
      </c>
      <c r="S27" s="710">
        <f t="shared" si="12"/>
        <v>100</v>
      </c>
      <c r="T27" s="709" t="s">
        <v>21</v>
      </c>
      <c r="U27" s="710">
        <f t="shared" si="13"/>
        <v>100</v>
      </c>
      <c r="V27" s="709" t="s">
        <v>21</v>
      </c>
      <c r="W27" s="710">
        <f t="shared" si="14"/>
        <v>100</v>
      </c>
      <c r="X27" s="711"/>
      <c r="Y27" s="3466"/>
      <c r="Z27" s="55">
        <f>Q27</f>
        <v>111</v>
      </c>
      <c r="AA27" s="1505">
        <f t="shared" si="15"/>
        <v>1</v>
      </c>
      <c r="AB27" s="1505">
        <f t="shared" si="16"/>
        <v>1</v>
      </c>
      <c r="AC27" s="1505">
        <f t="shared" si="17"/>
        <v>1</v>
      </c>
    </row>
    <row r="28" spans="1:29" ht="15">
      <c r="A28" s="386"/>
      <c r="B28" s="1265">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473"/>
      <c r="Q28" s="1504">
        <f t="shared" si="11"/>
        <v>111</v>
      </c>
      <c r="R28" s="713" t="s">
        <v>21</v>
      </c>
      <c r="S28" s="714">
        <f t="shared" si="12"/>
        <v>100</v>
      </c>
      <c r="T28" s="713" t="s">
        <v>21</v>
      </c>
      <c r="U28" s="714">
        <f t="shared" si="13"/>
        <v>100</v>
      </c>
      <c r="V28" s="713" t="s">
        <v>21</v>
      </c>
      <c r="W28" s="714">
        <f t="shared" si="14"/>
        <v>100</v>
      </c>
      <c r="X28" s="1507"/>
      <c r="Y28" s="3466"/>
      <c r="Z28" s="1508">
        <f t="shared" ref="Z28:Z46" si="18">Q28</f>
        <v>111</v>
      </c>
      <c r="AA28" s="1505">
        <f t="shared" si="15"/>
        <v>1</v>
      </c>
      <c r="AB28" s="1505">
        <f t="shared" si="16"/>
        <v>1</v>
      </c>
      <c r="AC28" s="1505">
        <f t="shared" si="17"/>
        <v>1</v>
      </c>
    </row>
    <row r="29" spans="1:29" ht="15">
      <c r="A29" s="386"/>
      <c r="B29" s="1265">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473"/>
      <c r="Q29" s="1504">
        <f t="shared" si="11"/>
        <v>111</v>
      </c>
      <c r="R29" s="713" t="s">
        <v>21</v>
      </c>
      <c r="S29" s="714">
        <f t="shared" si="12"/>
        <v>100</v>
      </c>
      <c r="T29" s="713" t="s">
        <v>21</v>
      </c>
      <c r="U29" s="714">
        <f t="shared" si="13"/>
        <v>100</v>
      </c>
      <c r="V29" s="713" t="s">
        <v>21</v>
      </c>
      <c r="W29" s="714">
        <f t="shared" si="14"/>
        <v>100</v>
      </c>
      <c r="X29" s="1507"/>
      <c r="Y29" s="3466"/>
      <c r="Z29" s="1508">
        <f t="shared" si="18"/>
        <v>111</v>
      </c>
      <c r="AA29" s="1505">
        <f t="shared" si="15"/>
        <v>1</v>
      </c>
      <c r="AB29" s="1505">
        <f t="shared" si="16"/>
        <v>1</v>
      </c>
      <c r="AC29" s="1505">
        <f t="shared" si="17"/>
        <v>1</v>
      </c>
    </row>
    <row r="30" spans="1:29" ht="15">
      <c r="A30" s="386"/>
      <c r="B30" s="1265">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473"/>
      <c r="Q30" s="1504">
        <f t="shared" si="11"/>
        <v>111</v>
      </c>
      <c r="R30" s="713" t="s">
        <v>21</v>
      </c>
      <c r="S30" s="714">
        <f t="shared" si="12"/>
        <v>100</v>
      </c>
      <c r="T30" s="713" t="s">
        <v>21</v>
      </c>
      <c r="U30" s="714">
        <f t="shared" si="13"/>
        <v>100</v>
      </c>
      <c r="V30" s="713" t="s">
        <v>21</v>
      </c>
      <c r="W30" s="714">
        <f t="shared" si="14"/>
        <v>100</v>
      </c>
      <c r="X30" s="1507"/>
      <c r="Y30" s="3466"/>
      <c r="Z30" s="1508">
        <f t="shared" si="18"/>
        <v>111</v>
      </c>
      <c r="AA30" s="1505">
        <f t="shared" si="15"/>
        <v>1</v>
      </c>
      <c r="AB30" s="1505">
        <f t="shared" si="16"/>
        <v>1</v>
      </c>
      <c r="AC30" s="1505">
        <f t="shared" si="17"/>
        <v>1</v>
      </c>
    </row>
    <row r="31" spans="1:29" ht="15.75" thickBot="1">
      <c r="A31" s="394"/>
      <c r="B31" s="1265">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473"/>
      <c r="Q31" s="1504">
        <f t="shared" si="11"/>
        <v>111</v>
      </c>
      <c r="R31" s="713" t="s">
        <v>21</v>
      </c>
      <c r="S31" s="714">
        <f t="shared" si="12"/>
        <v>100</v>
      </c>
      <c r="T31" s="713" t="s">
        <v>21</v>
      </c>
      <c r="U31" s="714">
        <f t="shared" si="13"/>
        <v>100</v>
      </c>
      <c r="V31" s="713" t="s">
        <v>21</v>
      </c>
      <c r="W31" s="714">
        <f t="shared" si="14"/>
        <v>100</v>
      </c>
      <c r="X31" s="1507"/>
      <c r="Y31" s="3466"/>
      <c r="Z31" s="1508">
        <f t="shared" si="18"/>
        <v>111</v>
      </c>
      <c r="AA31" s="1505">
        <f t="shared" si="15"/>
        <v>1</v>
      </c>
      <c r="AB31" s="1505">
        <f t="shared" si="16"/>
        <v>1</v>
      </c>
      <c r="AC31" s="1505">
        <f t="shared" si="17"/>
        <v>1</v>
      </c>
    </row>
    <row r="32" spans="1:29" ht="15">
      <c r="A32" s="398" t="s">
        <v>2323</v>
      </c>
      <c r="B32" s="67" t="s">
        <v>2324</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467" t="s">
        <v>2325</v>
      </c>
      <c r="Q32" s="1504" t="str">
        <f t="shared" si="11"/>
        <v>建筑类型</v>
      </c>
      <c r="R32" s="713" t="s">
        <v>21</v>
      </c>
      <c r="S32" s="714">
        <f t="shared" si="12"/>
        <v>100</v>
      </c>
      <c r="T32" s="713" t="s">
        <v>21</v>
      </c>
      <c r="U32" s="714">
        <f t="shared" si="13"/>
        <v>100</v>
      </c>
      <c r="V32" s="713" t="s">
        <v>21</v>
      </c>
      <c r="W32" s="714">
        <f t="shared" si="14"/>
        <v>100</v>
      </c>
      <c r="X32" s="1507"/>
      <c r="Y32" s="3470" t="s">
        <v>2325</v>
      </c>
      <c r="Z32" s="1508" t="str">
        <f t="shared" si="18"/>
        <v>建筑类型</v>
      </c>
      <c r="AA32" s="1505">
        <f t="shared" si="15"/>
        <v>1</v>
      </c>
      <c r="AB32" s="1505">
        <f t="shared" si="16"/>
        <v>1</v>
      </c>
      <c r="AC32" s="1505">
        <f t="shared" si="17"/>
        <v>1</v>
      </c>
    </row>
    <row r="33" spans="1:29" s="429" customFormat="1" ht="15">
      <c r="A33" s="426"/>
      <c r="B33" s="380" t="s">
        <v>2326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468"/>
      <c r="Q33" s="715" t="str">
        <f t="shared" si="11"/>
        <v>项目建筑规模</v>
      </c>
      <c r="R33" s="716" t="s">
        <v>21</v>
      </c>
      <c r="S33" s="717" t="e">
        <f t="shared" si="12"/>
        <v>#N/A</v>
      </c>
      <c r="T33" s="716" t="s">
        <v>21</v>
      </c>
      <c r="U33" s="717" t="e">
        <f t="shared" si="13"/>
        <v>#N/A</v>
      </c>
      <c r="V33" s="716" t="s">
        <v>21</v>
      </c>
      <c r="W33" s="717" t="e">
        <f t="shared" si="14"/>
        <v>#N/A</v>
      </c>
      <c r="X33" s="718"/>
      <c r="Y33" s="3470"/>
      <c r="Z33" s="719" t="str">
        <f t="shared" si="18"/>
        <v>项目建筑规模</v>
      </c>
      <c r="AA33" s="1505" t="e">
        <f t="shared" si="15"/>
        <v>#N/A</v>
      </c>
      <c r="AB33" s="1505" t="e">
        <f t="shared" si="16"/>
        <v>#N/A</v>
      </c>
      <c r="AC33" s="1505" t="e">
        <f t="shared" si="17"/>
        <v>#N/A</v>
      </c>
    </row>
    <row r="34" spans="1:29" ht="15">
      <c r="A34" s="430"/>
      <c r="B34" s="380" t="s">
        <v>2327</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468"/>
      <c r="Q34" s="1504" t="str">
        <f t="shared" si="11"/>
        <v>建筑结构</v>
      </c>
      <c r="R34" s="713" t="s">
        <v>21</v>
      </c>
      <c r="S34" s="714">
        <f t="shared" si="12"/>
        <v>100</v>
      </c>
      <c r="T34" s="713" t="s">
        <v>21</v>
      </c>
      <c r="U34" s="714">
        <f t="shared" si="13"/>
        <v>100</v>
      </c>
      <c r="V34" s="713" t="s">
        <v>21</v>
      </c>
      <c r="W34" s="714">
        <f t="shared" si="14"/>
        <v>100</v>
      </c>
      <c r="X34" s="1507"/>
      <c r="Y34" s="3470"/>
      <c r="Z34" s="1508" t="str">
        <f t="shared" si="18"/>
        <v>建筑结构</v>
      </c>
      <c r="AA34" s="1505">
        <f t="shared" si="15"/>
        <v>1</v>
      </c>
      <c r="AB34" s="1505">
        <f t="shared" si="16"/>
        <v>1</v>
      </c>
      <c r="AC34" s="1505">
        <f t="shared" si="17"/>
        <v>1</v>
      </c>
    </row>
    <row r="35" spans="1:29" ht="15">
      <c r="A35" s="430"/>
      <c r="B35" s="380" t="s">
        <v>2328</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468"/>
      <c r="Q35" s="1504" t="str">
        <f t="shared" si="11"/>
        <v>建筑品质</v>
      </c>
      <c r="R35" s="713" t="s">
        <v>21</v>
      </c>
      <c r="S35" s="714">
        <f t="shared" si="12"/>
        <v>100</v>
      </c>
      <c r="T35" s="713" t="s">
        <v>21</v>
      </c>
      <c r="U35" s="714">
        <f t="shared" si="13"/>
        <v>100</v>
      </c>
      <c r="V35" s="713" t="s">
        <v>21</v>
      </c>
      <c r="W35" s="714">
        <f t="shared" si="14"/>
        <v>100</v>
      </c>
      <c r="X35" s="1507"/>
      <c r="Y35" s="3470"/>
      <c r="Z35" s="1508" t="str">
        <f t="shared" si="18"/>
        <v>建筑品质</v>
      </c>
      <c r="AA35" s="1505">
        <f t="shared" si="15"/>
        <v>1</v>
      </c>
      <c r="AB35" s="1505">
        <f t="shared" si="16"/>
        <v>1</v>
      </c>
      <c r="AC35" s="1505">
        <f t="shared" si="17"/>
        <v>1</v>
      </c>
    </row>
    <row r="36" spans="1:29" ht="15">
      <c r="A36" s="430"/>
      <c r="B36" s="380" t="s">
        <v>2329</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468"/>
      <c r="Q36" s="1504" t="str">
        <f t="shared" si="11"/>
        <v>公共部分装修</v>
      </c>
      <c r="R36" s="713" t="s">
        <v>21</v>
      </c>
      <c r="S36" s="714">
        <f t="shared" si="12"/>
        <v>100</v>
      </c>
      <c r="T36" s="713" t="s">
        <v>21</v>
      </c>
      <c r="U36" s="714">
        <f t="shared" si="13"/>
        <v>100</v>
      </c>
      <c r="V36" s="713" t="s">
        <v>21</v>
      </c>
      <c r="W36" s="714">
        <f t="shared" si="14"/>
        <v>100</v>
      </c>
      <c r="X36" s="1507"/>
      <c r="Y36" s="3470"/>
      <c r="Z36" s="1508" t="str">
        <f t="shared" si="18"/>
        <v>公共部分装修</v>
      </c>
      <c r="AA36" s="1505">
        <f t="shared" si="15"/>
        <v>1</v>
      </c>
      <c r="AB36" s="1505">
        <f t="shared" si="16"/>
        <v>1</v>
      </c>
      <c r="AC36" s="1505">
        <f t="shared" si="17"/>
        <v>1</v>
      </c>
    </row>
    <row r="37" spans="1:29" s="113" customFormat="1" ht="15">
      <c r="A37" s="431"/>
      <c r="B37" s="380" t="s">
        <v>2330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468"/>
      <c r="Q37" s="1495" t="str">
        <f t="shared" si="11"/>
        <v>成新度</v>
      </c>
      <c r="R37" s="709" t="s">
        <v>21</v>
      </c>
      <c r="S37" s="710" t="e">
        <f t="shared" si="12"/>
        <v>#N/A</v>
      </c>
      <c r="T37" s="709" t="s">
        <v>21</v>
      </c>
      <c r="U37" s="710" t="e">
        <f t="shared" si="13"/>
        <v>#N/A</v>
      </c>
      <c r="V37" s="709" t="s">
        <v>21</v>
      </c>
      <c r="W37" s="710" t="e">
        <f t="shared" si="14"/>
        <v>#N/A</v>
      </c>
      <c r="X37" s="711"/>
      <c r="Y37" s="3470"/>
      <c r="Z37" s="55" t="str">
        <f t="shared" si="18"/>
        <v>成新度</v>
      </c>
      <c r="AA37" s="712" t="e">
        <f t="shared" si="15"/>
        <v>#N/A</v>
      </c>
      <c r="AB37" s="712" t="e">
        <f t="shared" si="16"/>
        <v>#N/A</v>
      </c>
      <c r="AC37" s="712" t="e">
        <f t="shared" si="17"/>
        <v>#N/A</v>
      </c>
    </row>
    <row r="38" spans="1:29" ht="15">
      <c r="A38" s="430"/>
      <c r="B38" s="380" t="s">
        <v>2331</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468" t="s">
        <v>2325</v>
      </c>
      <c r="Q38" s="1504" t="str">
        <f t="shared" si="11"/>
        <v>物业管理</v>
      </c>
      <c r="R38" s="713" t="s">
        <v>21</v>
      </c>
      <c r="S38" s="714">
        <f t="shared" si="12"/>
        <v>100</v>
      </c>
      <c r="T38" s="713" t="s">
        <v>21</v>
      </c>
      <c r="U38" s="714">
        <f t="shared" si="13"/>
        <v>100</v>
      </c>
      <c r="V38" s="713" t="s">
        <v>21</v>
      </c>
      <c r="W38" s="714">
        <f t="shared" si="14"/>
        <v>100</v>
      </c>
      <c r="X38" s="1507"/>
      <c r="Y38" s="3470" t="s">
        <v>2325</v>
      </c>
      <c r="Z38" s="1508" t="str">
        <f t="shared" si="18"/>
        <v>物业管理</v>
      </c>
      <c r="AA38" s="1505">
        <f t="shared" si="15"/>
        <v>1</v>
      </c>
      <c r="AB38" s="1505">
        <f t="shared" si="16"/>
        <v>1</v>
      </c>
      <c r="AC38" s="1505">
        <f t="shared" si="17"/>
        <v>1</v>
      </c>
    </row>
    <row r="39" spans="1:29" ht="15">
      <c r="A39" s="430"/>
      <c r="B39" s="380" t="s">
        <v>2332</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468"/>
      <c r="Q39" s="1504" t="str">
        <f t="shared" si="11"/>
        <v>市政基础设施</v>
      </c>
      <c r="R39" s="713" t="s">
        <v>21</v>
      </c>
      <c r="S39" s="714">
        <f t="shared" si="12"/>
        <v>100</v>
      </c>
      <c r="T39" s="713" t="s">
        <v>21</v>
      </c>
      <c r="U39" s="714">
        <f t="shared" si="13"/>
        <v>100</v>
      </c>
      <c r="V39" s="713" t="s">
        <v>21</v>
      </c>
      <c r="W39" s="714">
        <f t="shared" si="14"/>
        <v>100</v>
      </c>
      <c r="X39" s="1507"/>
      <c r="Y39" s="3470"/>
      <c r="Z39" s="1508" t="str">
        <f t="shared" si="18"/>
        <v>市政基础设施</v>
      </c>
      <c r="AA39" s="1505">
        <f t="shared" si="15"/>
        <v>1</v>
      </c>
      <c r="AB39" s="1505">
        <f t="shared" si="16"/>
        <v>1</v>
      </c>
      <c r="AC39" s="1505">
        <f t="shared" si="17"/>
        <v>1</v>
      </c>
    </row>
    <row r="40" spans="1:29" ht="15">
      <c r="A40" s="430"/>
      <c r="B40" s="380" t="s">
        <v>2333</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468"/>
      <c r="Q40" s="1504" t="str">
        <f t="shared" si="11"/>
        <v>房型</v>
      </c>
      <c r="R40" s="713" t="s">
        <v>21</v>
      </c>
      <c r="S40" s="714">
        <f t="shared" si="12"/>
        <v>100</v>
      </c>
      <c r="T40" s="713" t="s">
        <v>21</v>
      </c>
      <c r="U40" s="714">
        <f t="shared" si="13"/>
        <v>100</v>
      </c>
      <c r="V40" s="713" t="s">
        <v>21</v>
      </c>
      <c r="W40" s="714">
        <f t="shared" si="14"/>
        <v>100</v>
      </c>
      <c r="X40" s="1507"/>
      <c r="Y40" s="3470"/>
      <c r="Z40" s="1508" t="str">
        <f t="shared" si="18"/>
        <v>房型</v>
      </c>
      <c r="AA40" s="1505">
        <f t="shared" si="15"/>
        <v>1</v>
      </c>
      <c r="AB40" s="1505">
        <f t="shared" si="16"/>
        <v>1</v>
      </c>
      <c r="AC40" s="1505">
        <f t="shared" si="17"/>
        <v>1</v>
      </c>
    </row>
    <row r="41" spans="1:29" s="429" customFormat="1" ht="28.5">
      <c r="A41" s="426"/>
      <c r="B41" s="380" t="s">
        <v>2334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468"/>
      <c r="Q41" s="715" t="str">
        <f t="shared" si="11"/>
        <v>单套/主力户型建筑面积</v>
      </c>
      <c r="R41" s="716" t="s">
        <v>21</v>
      </c>
      <c r="S41" s="717">
        <f t="shared" si="12"/>
        <v>100</v>
      </c>
      <c r="T41" s="716" t="s">
        <v>21</v>
      </c>
      <c r="U41" s="717">
        <f t="shared" si="13"/>
        <v>100</v>
      </c>
      <c r="V41" s="716" t="s">
        <v>21</v>
      </c>
      <c r="W41" s="717">
        <f t="shared" si="14"/>
        <v>100</v>
      </c>
      <c r="X41" s="718"/>
      <c r="Y41" s="3470"/>
      <c r="Z41" s="719" t="str">
        <f t="shared" si="18"/>
        <v>单套/主力户型建筑面积</v>
      </c>
      <c r="AA41" s="1505">
        <f t="shared" si="15"/>
        <v>1</v>
      </c>
      <c r="AB41" s="1505">
        <f t="shared" si="16"/>
        <v>1</v>
      </c>
      <c r="AC41" s="1505">
        <f t="shared" si="17"/>
        <v>1</v>
      </c>
    </row>
    <row r="42" spans="1:29" ht="15">
      <c r="A42" s="430"/>
      <c r="B42" s="380" t="s">
        <v>2335</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468"/>
      <c r="Q42" s="1504" t="str">
        <f t="shared" si="11"/>
        <v>内部装修</v>
      </c>
      <c r="R42" s="713" t="s">
        <v>21</v>
      </c>
      <c r="S42" s="714">
        <f t="shared" si="12"/>
        <v>100</v>
      </c>
      <c r="T42" s="713" t="s">
        <v>21</v>
      </c>
      <c r="U42" s="714">
        <f t="shared" si="13"/>
        <v>100</v>
      </c>
      <c r="V42" s="713" t="s">
        <v>21</v>
      </c>
      <c r="W42" s="714">
        <f t="shared" si="14"/>
        <v>100</v>
      </c>
      <c r="X42" s="1507"/>
      <c r="Y42" s="3470"/>
      <c r="Z42" s="1508" t="str">
        <f t="shared" si="18"/>
        <v>内部装修</v>
      </c>
      <c r="AA42" s="1505">
        <f t="shared" si="15"/>
        <v>1</v>
      </c>
      <c r="AB42" s="1505">
        <f t="shared" si="16"/>
        <v>1</v>
      </c>
      <c r="AC42" s="1505">
        <f t="shared" si="17"/>
        <v>1</v>
      </c>
    </row>
    <row r="43" spans="1:29" ht="15">
      <c r="A43" s="430"/>
      <c r="B43" s="380" t="s">
        <v>2336</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468"/>
      <c r="Q43" s="1504" t="str">
        <f t="shared" si="11"/>
        <v>内部装修维护情况</v>
      </c>
      <c r="R43" s="713" t="s">
        <v>21</v>
      </c>
      <c r="S43" s="714">
        <f t="shared" si="12"/>
        <v>100</v>
      </c>
      <c r="T43" s="713" t="s">
        <v>21</v>
      </c>
      <c r="U43" s="714">
        <f t="shared" si="13"/>
        <v>100</v>
      </c>
      <c r="V43" s="713" t="s">
        <v>21</v>
      </c>
      <c r="W43" s="714">
        <f t="shared" si="14"/>
        <v>100</v>
      </c>
      <c r="X43" s="1507"/>
      <c r="Y43" s="3470"/>
      <c r="Z43" s="1508" t="str">
        <f t="shared" si="18"/>
        <v>内部装修维护情况</v>
      </c>
      <c r="AA43" s="1505">
        <f t="shared" si="15"/>
        <v>1</v>
      </c>
      <c r="AB43" s="1505">
        <f t="shared" si="16"/>
        <v>1</v>
      </c>
      <c r="AC43" s="1505">
        <f t="shared" si="17"/>
        <v>1</v>
      </c>
    </row>
    <row r="44" spans="1:29" s="113" customFormat="1" ht="15">
      <c r="A44" s="431"/>
      <c r="B44" s="1265">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468"/>
      <c r="Q44" s="1495">
        <f t="shared" si="11"/>
        <v>111</v>
      </c>
      <c r="R44" s="709" t="s">
        <v>21</v>
      </c>
      <c r="S44" s="710">
        <f t="shared" si="12"/>
        <v>100</v>
      </c>
      <c r="T44" s="709" t="s">
        <v>21</v>
      </c>
      <c r="U44" s="710">
        <f t="shared" si="13"/>
        <v>100</v>
      </c>
      <c r="V44" s="709" t="s">
        <v>21</v>
      </c>
      <c r="W44" s="710">
        <f t="shared" si="14"/>
        <v>100</v>
      </c>
      <c r="X44" s="711"/>
      <c r="Y44" s="3470"/>
      <c r="Z44" s="55">
        <f t="shared" si="18"/>
        <v>111</v>
      </c>
      <c r="AA44" s="712">
        <f t="shared" si="15"/>
        <v>1</v>
      </c>
      <c r="AB44" s="712">
        <f t="shared" si="16"/>
        <v>1</v>
      </c>
      <c r="AC44" s="712">
        <f t="shared" si="17"/>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468"/>
      <c r="Q45" s="1504">
        <f t="shared" si="11"/>
        <v>111</v>
      </c>
      <c r="R45" s="713" t="s">
        <v>21</v>
      </c>
      <c r="S45" s="714">
        <f t="shared" si="12"/>
        <v>100</v>
      </c>
      <c r="T45" s="713" t="s">
        <v>21</v>
      </c>
      <c r="U45" s="714">
        <f t="shared" si="13"/>
        <v>100</v>
      </c>
      <c r="V45" s="713" t="s">
        <v>21</v>
      </c>
      <c r="W45" s="714">
        <f t="shared" si="14"/>
        <v>100</v>
      </c>
      <c r="X45" s="1507"/>
      <c r="Y45" s="3470"/>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469"/>
      <c r="Q46" s="1504">
        <f t="shared" si="11"/>
        <v>111</v>
      </c>
      <c r="R46" s="713" t="s">
        <v>20</v>
      </c>
      <c r="S46" s="714">
        <f t="shared" si="12"/>
        <v>100</v>
      </c>
      <c r="T46" s="713" t="s">
        <v>20</v>
      </c>
      <c r="U46" s="714">
        <f t="shared" si="13"/>
        <v>100</v>
      </c>
      <c r="V46" s="713" t="s">
        <v>20</v>
      </c>
      <c r="W46" s="714">
        <f t="shared" si="14"/>
        <v>100</v>
      </c>
      <c r="X46" s="1507"/>
      <c r="Y46" s="3471"/>
      <c r="Z46" s="1508">
        <f t="shared" si="18"/>
        <v>111</v>
      </c>
      <c r="AA46" s="1505">
        <f t="shared" si="15"/>
        <v>1</v>
      </c>
      <c r="AB46" s="1505">
        <f t="shared" si="16"/>
        <v>1</v>
      </c>
      <c r="AC46" s="1505">
        <f t="shared" si="17"/>
        <v>1</v>
      </c>
    </row>
    <row r="47" spans="1:29" ht="15">
      <c r="A47" s="437" t="s">
        <v>2337</v>
      </c>
      <c r="B47" s="438"/>
      <c r="C47" s="1286" t="s">
        <v>19</v>
      </c>
      <c r="D47" s="1287"/>
      <c r="E47" s="1288"/>
      <c r="F47" s="1289"/>
      <c r="G47" s="1290"/>
      <c r="H47" s="1291"/>
      <c r="I47" s="1288"/>
      <c r="J47" s="1291"/>
      <c r="K47" s="2068"/>
      <c r="L47" s="2921"/>
      <c r="M47" s="2922"/>
      <c r="N47" s="2913"/>
      <c r="O47" s="2922"/>
      <c r="P47" s="3463" t="str">
        <f>A47</f>
        <v>成交单价（元/平方米）</v>
      </c>
      <c r="Q47" s="3463"/>
      <c r="R47" s="3464">
        <f>E47</f>
        <v>0</v>
      </c>
      <c r="S47" s="3464"/>
      <c r="T47" s="3464">
        <f>G47</f>
        <v>0</v>
      </c>
      <c r="U47" s="3464"/>
      <c r="V47" s="3464">
        <f>I47</f>
        <v>0</v>
      </c>
      <c r="W47" s="3464"/>
      <c r="X47" s="698"/>
      <c r="Y47" s="720"/>
      <c r="Z47" s="698"/>
      <c r="AA47" s="698"/>
      <c r="AB47" s="698"/>
      <c r="AC47" s="698"/>
    </row>
    <row r="48" spans="1:29" ht="15.75" thickBot="1">
      <c r="A48" s="444" t="s">
        <v>2338</v>
      </c>
      <c r="B48" s="445"/>
      <c r="C48" s="1292" t="e">
        <f>R49</f>
        <v>#DIV/0!</v>
      </c>
      <c r="D48" s="2506" t="s">
        <v>2820</v>
      </c>
      <c r="E48" s="1293" t="e">
        <f>R48</f>
        <v>#DIV/0!</v>
      </c>
      <c r="F48" s="2507"/>
      <c r="G48" s="1292" t="e">
        <f>T48</f>
        <v>#DIV/0!</v>
      </c>
      <c r="H48" s="2507"/>
      <c r="I48" s="1293" t="e">
        <f>V48</f>
        <v>#DIV/0!</v>
      </c>
      <c r="J48" s="2507"/>
      <c r="K48" s="2508">
        <f>F48+H48+J48</f>
        <v>0</v>
      </c>
      <c r="L48" s="2921"/>
      <c r="M48" s="2922"/>
      <c r="N48" s="2922"/>
      <c r="O48" s="2922"/>
      <c r="P48" s="3463" t="str">
        <f>A48</f>
        <v>比较价值（元/平方米）</v>
      </c>
      <c r="Q48" s="34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698"/>
      <c r="Y48" s="698"/>
      <c r="Z48" s="698"/>
      <c r="AA48" s="698"/>
      <c r="AB48" s="698"/>
      <c r="AC48" s="698"/>
    </row>
    <row r="49" spans="1:29" ht="15.75" thickBot="1">
      <c r="A49" s="448" t="s">
        <v>2339</v>
      </c>
      <c r="B49" s="449"/>
      <c r="C49" s="1294" t="e">
        <f>R49</f>
        <v>#DIV/0!</v>
      </c>
      <c r="D49" s="1295"/>
      <c r="E49" s="1295"/>
      <c r="F49" s="1295"/>
      <c r="G49" s="1295"/>
      <c r="H49" s="1295"/>
      <c r="I49" s="1295"/>
      <c r="J49" s="1295"/>
      <c r="K49" s="2069"/>
      <c r="L49" s="2921"/>
      <c r="M49" s="2922"/>
      <c r="N49" s="2922"/>
      <c r="O49" s="2922"/>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2343</v>
      </c>
      <c r="B57" s="698"/>
      <c r="C57" s="703"/>
      <c r="D57" s="703"/>
      <c r="E57" s="703"/>
      <c r="F57" s="704"/>
      <c r="G57" s="704"/>
      <c r="H57" s="703"/>
      <c r="I57" s="703"/>
      <c r="J57" s="703"/>
      <c r="K57" s="1071"/>
      <c r="L57" s="1072"/>
      <c r="M57" s="1070"/>
      <c r="N57" s="1070"/>
      <c r="O57" s="1070"/>
      <c r="P57" s="2072"/>
      <c r="Q57" s="460"/>
    </row>
    <row r="58" spans="1:29" s="464" customFormat="1" ht="15">
      <c r="A58" s="461" t="s">
        <v>2344</v>
      </c>
      <c r="B58" s="462"/>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ht="15">
      <c r="A59" s="465"/>
      <c r="B59" s="2073"/>
      <c r="C59" s="1315">
        <v>100</v>
      </c>
      <c r="D59" s="467"/>
      <c r="E59" s="468"/>
      <c r="F59" s="468"/>
      <c r="G59" s="468"/>
      <c r="H59" s="468"/>
      <c r="I59" s="468"/>
      <c r="J59" s="468"/>
      <c r="K59" s="468"/>
      <c r="L59" s="468"/>
      <c r="M59" s="469"/>
      <c r="N59" s="468"/>
      <c r="O59" s="469"/>
      <c r="P59" s="2074"/>
    </row>
    <row r="60" spans="1:29" s="113" customFormat="1" ht="15.75" thickBot="1">
      <c r="A60" s="471" t="s">
        <v>2345</v>
      </c>
      <c r="B60" s="472"/>
      <c r="C60" s="473"/>
      <c r="D60" s="474"/>
      <c r="E60" s="474"/>
      <c r="F60" s="474"/>
      <c r="G60" s="474"/>
      <c r="H60" s="474"/>
      <c r="I60" s="474"/>
      <c r="J60" s="474"/>
      <c r="K60" s="474"/>
      <c r="L60" s="474"/>
      <c r="M60" s="475"/>
      <c r="N60" s="474"/>
      <c r="O60" s="475"/>
      <c r="P60" s="2074"/>
      <c r="Q60" s="460"/>
    </row>
    <row r="61" spans="1:29" s="113" customFormat="1" ht="15">
      <c r="A61" s="477" t="s">
        <v>2346</v>
      </c>
      <c r="B61" s="466"/>
      <c r="C61" s="478" t="s">
        <v>2347</v>
      </c>
      <c r="D61" s="479"/>
      <c r="E61" s="479"/>
      <c r="F61" s="479"/>
      <c r="G61" s="479"/>
      <c r="H61" s="479"/>
      <c r="I61" s="479"/>
      <c r="J61" s="479"/>
      <c r="K61" s="479"/>
      <c r="L61" s="480"/>
      <c r="M61" s="481"/>
      <c r="N61" s="1062"/>
      <c r="O61" s="1062"/>
      <c r="P61" s="2075"/>
      <c r="Q61" s="460"/>
    </row>
    <row r="62" spans="1:29" s="113"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2348</v>
      </c>
      <c r="B63" s="484" t="s">
        <v>2314</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2317</v>
      </c>
      <c r="C65" s="495" t="s">
        <v>2349</v>
      </c>
      <c r="D65" s="495" t="s">
        <v>2350</v>
      </c>
      <c r="E65" s="495" t="s">
        <v>2351</v>
      </c>
      <c r="F65" s="495" t="s">
        <v>2352</v>
      </c>
      <c r="G65" s="495" t="s">
        <v>2353</v>
      </c>
      <c r="H65" s="495" t="s">
        <v>2354</v>
      </c>
      <c r="I65" s="495" t="s">
        <v>2355</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2319</v>
      </c>
      <c r="B76" s="484" t="s">
        <v>2356</v>
      </c>
      <c r="C76" s="529" t="s">
        <v>2357</v>
      </c>
      <c r="D76" s="529" t="s">
        <v>2358</v>
      </c>
      <c r="E76" s="529" t="s">
        <v>2359</v>
      </c>
      <c r="F76" s="529" t="s">
        <v>2360</v>
      </c>
      <c r="G76" s="529" t="s">
        <v>2361</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2362</v>
      </c>
      <c r="C78" s="534" t="s">
        <v>2357</v>
      </c>
      <c r="D78" s="534" t="s">
        <v>2358</v>
      </c>
      <c r="E78" s="534" t="s">
        <v>2359</v>
      </c>
      <c r="F78" s="534" t="s">
        <v>2360</v>
      </c>
      <c r="G78" s="534" t="s">
        <v>2361</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2363</v>
      </c>
      <c r="C80" s="534" t="s">
        <v>2357</v>
      </c>
      <c r="D80" s="534" t="s">
        <v>2358</v>
      </c>
      <c r="E80" s="534" t="s">
        <v>2359</v>
      </c>
      <c r="F80" s="534" t="s">
        <v>2360</v>
      </c>
      <c r="G80" s="534" t="s">
        <v>2361</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1885</v>
      </c>
      <c r="C82" s="495" t="s">
        <v>2364</v>
      </c>
      <c r="D82" s="495" t="s">
        <v>2365</v>
      </c>
      <c r="E82" s="495" t="s">
        <v>2366</v>
      </c>
      <c r="F82" s="495" t="s">
        <v>2367</v>
      </c>
      <c r="G82" s="495" t="s">
        <v>2368</v>
      </c>
      <c r="H82" s="495"/>
      <c r="I82" s="495"/>
      <c r="J82" s="495"/>
      <c r="K82" s="495"/>
      <c r="L82" s="495"/>
      <c r="M82" s="1261"/>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2369</v>
      </c>
      <c r="C84" s="534" t="s">
        <v>2357</v>
      </c>
      <c r="D84" s="534" t="s">
        <v>2358</v>
      </c>
      <c r="E84" s="534" t="s">
        <v>2359</v>
      </c>
      <c r="F84" s="534" t="s">
        <v>2360</v>
      </c>
      <c r="G84" s="534" t="s">
        <v>2361</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3" customFormat="1" ht="15.75" thickTop="1">
      <c r="A86" s="535"/>
      <c r="B86" s="494" t="s">
        <v>2370</v>
      </c>
      <c r="C86" s="510"/>
      <c r="D86" s="510"/>
      <c r="E86" s="510"/>
      <c r="F86" s="510"/>
      <c r="G86" s="510"/>
      <c r="H86" s="510"/>
      <c r="I86" s="510"/>
      <c r="J86" s="510"/>
      <c r="K86" s="510"/>
      <c r="L86" s="536"/>
      <c r="M86" s="537"/>
      <c r="N86" s="1062"/>
      <c r="O86" s="1062"/>
      <c r="P86" s="2076"/>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3" customFormat="1" ht="15.75" thickTop="1">
      <c r="A88" s="535"/>
      <c r="B88" s="494" t="s">
        <v>2371</v>
      </c>
      <c r="C88" s="510"/>
      <c r="D88" s="510"/>
      <c r="E88" s="510"/>
      <c r="F88" s="2081"/>
      <c r="G88" s="510"/>
      <c r="H88" s="510"/>
      <c r="I88" s="510"/>
      <c r="J88" s="510"/>
      <c r="K88" s="510"/>
      <c r="L88" s="510"/>
      <c r="M88" s="537"/>
      <c r="N88" s="1062"/>
      <c r="O88" s="1062"/>
      <c r="P88" s="2076"/>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2323</v>
      </c>
      <c r="B100" s="484" t="s">
        <v>2372</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2374</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2375</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2376</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2377</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2378</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2379</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2334</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2380</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2381</v>
      </c>
      <c r="C124" s="534" t="s">
        <v>2357</v>
      </c>
      <c r="D124" s="534" t="s">
        <v>2358</v>
      </c>
      <c r="E124" s="534" t="s">
        <v>2359</v>
      </c>
      <c r="F124" s="534" t="s">
        <v>2360</v>
      </c>
      <c r="G124" s="534" t="s">
        <v>2361</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2382</v>
      </c>
    </row>
    <row r="137" spans="1:17" ht="15">
      <c r="B137" s="2084" t="s">
        <v>2383</v>
      </c>
      <c r="C137" s="2085"/>
      <c r="D137" s="2085"/>
      <c r="E137" s="2085"/>
      <c r="F137" s="2085"/>
      <c r="G137" s="2086"/>
      <c r="H137" s="2087"/>
      <c r="I137" s="2088" t="s">
        <v>2384</v>
      </c>
      <c r="J137" s="2085"/>
      <c r="K137" s="2089"/>
    </row>
    <row r="138" spans="1:17" ht="15">
      <c r="B138" s="2090"/>
      <c r="C138" s="141" t="s">
        <v>2385</v>
      </c>
      <c r="D138" s="141" t="s">
        <v>2386</v>
      </c>
      <c r="E138" s="2091" t="s">
        <v>2387</v>
      </c>
      <c r="F138" s="2092" t="s">
        <v>2388</v>
      </c>
      <c r="G138" s="141" t="s">
        <v>2386</v>
      </c>
      <c r="H138" s="142" t="s">
        <v>2387</v>
      </c>
      <c r="I138" s="2093"/>
      <c r="J138" s="141" t="s">
        <v>2389</v>
      </c>
      <c r="K138" s="142" t="s">
        <v>2390</v>
      </c>
    </row>
    <row r="139" spans="1:17" ht="15">
      <c r="B139" s="997">
        <v>6</v>
      </c>
      <c r="C139" s="998">
        <v>96</v>
      </c>
      <c r="D139" s="2094" t="s">
        <v>2391</v>
      </c>
      <c r="E139" s="999">
        <v>100</v>
      </c>
      <c r="F139" s="1000">
        <v>102.5</v>
      </c>
      <c r="G139" s="2094" t="s">
        <v>2391</v>
      </c>
      <c r="H139" s="1001">
        <v>105</v>
      </c>
      <c r="I139" s="2095" t="s">
        <v>2392</v>
      </c>
      <c r="J139" s="998">
        <v>20</v>
      </c>
      <c r="K139" s="1002">
        <f>C145/(J139-2)</f>
        <v>4.0555555555555553E-3</v>
      </c>
    </row>
    <row r="140" spans="1:17" ht="15">
      <c r="B140" s="1003">
        <v>5</v>
      </c>
      <c r="C140" s="1004">
        <v>100</v>
      </c>
      <c r="D140" s="1004"/>
      <c r="E140" s="1005"/>
      <c r="F140" s="1006">
        <v>102</v>
      </c>
      <c r="G140" s="1004"/>
      <c r="H140" s="1007"/>
      <c r="I140" s="2096" t="s">
        <v>2393</v>
      </c>
      <c r="J140" s="276">
        <f>ROUNDUP((J139-1)/2,0)</f>
        <v>10</v>
      </c>
      <c r="K140" s="1008">
        <v>100</v>
      </c>
    </row>
    <row r="141" spans="1:17" ht="15">
      <c r="B141" s="1003">
        <v>4</v>
      </c>
      <c r="C141" s="1004">
        <v>102</v>
      </c>
      <c r="D141" s="1004"/>
      <c r="E141" s="1005"/>
      <c r="F141" s="1006">
        <v>101.5</v>
      </c>
      <c r="G141" s="1004"/>
      <c r="H141" s="1007"/>
      <c r="I141" s="2096" t="s">
        <v>2394</v>
      </c>
      <c r="J141" s="276">
        <v>1</v>
      </c>
      <c r="K141" s="1009">
        <f>ROUND(100+(J141-J140)*K139*100,1)</f>
        <v>96.4</v>
      </c>
    </row>
    <row r="142" spans="1:17" ht="15">
      <c r="B142" s="1003">
        <v>3</v>
      </c>
      <c r="C142" s="1004">
        <v>103</v>
      </c>
      <c r="D142" s="1004"/>
      <c r="E142" s="1005"/>
      <c r="F142" s="1006">
        <v>101</v>
      </c>
      <c r="G142" s="1004"/>
      <c r="H142" s="1007"/>
      <c r="I142" s="2096" t="s">
        <v>2395</v>
      </c>
      <c r="J142" s="276">
        <f>J139</f>
        <v>20</v>
      </c>
      <c r="K142" s="1010">
        <v>95</v>
      </c>
    </row>
    <row r="143" spans="1:17" ht="15">
      <c r="B143" s="1003">
        <v>2</v>
      </c>
      <c r="C143" s="1004">
        <v>100</v>
      </c>
      <c r="D143" s="1004"/>
      <c r="E143" s="1005"/>
      <c r="F143" s="1006">
        <v>100.5</v>
      </c>
      <c r="G143" s="1004"/>
      <c r="H143" s="1007"/>
      <c r="I143" s="2096" t="s">
        <v>2396</v>
      </c>
      <c r="J143" s="1004">
        <v>15</v>
      </c>
      <c r="K143" s="1009">
        <f>ROUND(100+(J143-J140)*K139*100,1)</f>
        <v>102</v>
      </c>
    </row>
    <row r="144" spans="1:17" ht="15">
      <c r="B144" s="1003">
        <v>1</v>
      </c>
      <c r="C144" s="1004">
        <v>98</v>
      </c>
      <c r="D144" s="2097" t="s">
        <v>2397</v>
      </c>
      <c r="E144" s="1005">
        <v>102</v>
      </c>
      <c r="F144" s="1011">
        <v>100</v>
      </c>
      <c r="G144" s="2097" t="s">
        <v>2397</v>
      </c>
      <c r="H144" s="1007">
        <v>105</v>
      </c>
      <c r="I144" s="2096" t="s">
        <v>2396</v>
      </c>
      <c r="J144" s="1004">
        <v>18</v>
      </c>
      <c r="K144" s="1009">
        <f>ROUND(100+(J144-J140)*K139*100,1)</f>
        <v>103.2</v>
      </c>
    </row>
    <row r="145" spans="2:11" ht="15.75" thickBot="1">
      <c r="B145" s="2098" t="s">
        <v>2398</v>
      </c>
      <c r="C145" s="1012">
        <f>ROUND(MAX(C139:C144)/MIN(C139:C144)-1,3)</f>
        <v>7.2999999999999995E-2</v>
      </c>
      <c r="D145" s="1013"/>
      <c r="E145" s="1013"/>
      <c r="F145" s="2099" t="s">
        <v>2399</v>
      </c>
      <c r="G145" s="2100"/>
      <c r="H145" s="2101"/>
      <c r="I145" s="2102" t="s">
        <v>2396</v>
      </c>
      <c r="J145" s="1014">
        <v>8</v>
      </c>
      <c r="K145" s="1015">
        <f>ROUND(100+(J145-J140)*K139*100,1)</f>
        <v>99.2</v>
      </c>
    </row>
    <row r="147" spans="2:11">
      <c r="B147" s="2083" t="s">
        <v>2400</v>
      </c>
    </row>
    <row r="148" spans="2:11">
      <c r="B148" s="2083"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032" t="s">
        <v>2402</v>
      </c>
      <c r="C1" s="1376" t="s">
        <v>2290</v>
      </c>
      <c r="D1" s="1363"/>
      <c r="E1" s="2511"/>
      <c r="F1" s="2033"/>
      <c r="G1" s="1373" t="s">
        <v>2403</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2087</v>
      </c>
      <c r="B2" s="1296" t="e">
        <f ca="1">IF(C2="——",ROUND(C49*D3/10000,0),ROUND(C49*D3/10000,0)-D2)</f>
        <v>#DIV/0!</v>
      </c>
      <c r="C2" s="2035"/>
      <c r="D2" s="1245" t="e">
        <f ca="1">SUMIF(INDIRECT("'"&amp;F2&amp;"'"&amp;"!A:A"),"承租人权益价值",INDIRECT("'"&amp;F2&amp;"'"&amp;"!c:c"))</f>
        <v>#REF!</v>
      </c>
      <c r="E2" s="2036" t="s">
        <v>2088</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2089</v>
      </c>
      <c r="B3" s="565" t="e">
        <f ca="1">IF(C2="——",C49,ROUND(B2*10000/D3,0))</f>
        <v>#DIV/0!</v>
      </c>
      <c r="C3" s="359" t="s">
        <v>2404</v>
      </c>
      <c r="D3" s="358">
        <f>IF(D1="",'数据-汇总表'!E3,SUMIF('数据-汇总表'!$C19:$C33,D1,'数据-汇总表'!$E19:$E33))</f>
        <v>24804.469999999998</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2405</v>
      </c>
      <c r="B4" s="361"/>
      <c r="C4" s="3446" t="s">
        <v>2406</v>
      </c>
      <c r="D4" s="3447"/>
      <c r="E4" s="3448" t="s">
        <v>2407</v>
      </c>
      <c r="F4" s="3449"/>
      <c r="G4" s="3446" t="s">
        <v>2408</v>
      </c>
      <c r="H4" s="3447"/>
      <c r="I4" s="3446" t="s">
        <v>2409</v>
      </c>
      <c r="J4" s="3447"/>
      <c r="K4" s="566" t="s">
        <v>2410</v>
      </c>
      <c r="L4" s="2912"/>
      <c r="M4" s="2913"/>
      <c r="N4" s="2913"/>
      <c r="O4" s="2913"/>
      <c r="P4" s="3450" t="s">
        <v>2411</v>
      </c>
      <c r="Q4" s="3451"/>
      <c r="R4" s="3433" t="s">
        <v>2407</v>
      </c>
      <c r="S4" s="3434"/>
      <c r="T4" s="3433" t="s">
        <v>2408</v>
      </c>
      <c r="U4" s="3434"/>
      <c r="V4" s="3458" t="s">
        <v>2409</v>
      </c>
      <c r="W4" s="3458"/>
      <c r="X4" s="1507"/>
      <c r="Y4" s="3433" t="s">
        <v>2411</v>
      </c>
      <c r="Z4" s="3434"/>
      <c r="AA4" s="3428" t="s">
        <v>2407</v>
      </c>
      <c r="AB4" s="3458" t="s">
        <v>2408</v>
      </c>
      <c r="AC4" s="3428" t="s">
        <v>2409</v>
      </c>
    </row>
    <row r="5" spans="1:29" ht="15">
      <c r="A5" s="363"/>
      <c r="B5" s="364"/>
      <c r="C5" s="3439" t="s">
        <v>2302</v>
      </c>
      <c r="D5" s="3440"/>
      <c r="E5" s="3437" t="s">
        <v>2303</v>
      </c>
      <c r="F5" s="3438"/>
      <c r="G5" s="3439" t="s">
        <v>2304</v>
      </c>
      <c r="H5" s="3440"/>
      <c r="I5" s="3439" t="s">
        <v>2305</v>
      </c>
      <c r="J5" s="3440"/>
      <c r="K5" s="566"/>
      <c r="L5" s="2912"/>
      <c r="M5" s="2913"/>
      <c r="N5" s="2913"/>
      <c r="O5" s="2913"/>
      <c r="P5" s="3452"/>
      <c r="Q5" s="3453"/>
      <c r="R5" s="3435"/>
      <c r="S5" s="3436"/>
      <c r="T5" s="3435"/>
      <c r="U5" s="3436"/>
      <c r="V5" s="3458"/>
      <c r="W5" s="3458"/>
      <c r="X5" s="1507"/>
      <c r="Y5" s="3435"/>
      <c r="Z5" s="3436"/>
      <c r="AA5" s="3429"/>
      <c r="AB5" s="3458"/>
      <c r="AC5" s="3429"/>
    </row>
    <row r="6" spans="1:29" ht="15.75" thickBot="1">
      <c r="A6" s="365"/>
      <c r="B6" s="366"/>
      <c r="C6" s="3441" t="s">
        <v>2306</v>
      </c>
      <c r="D6" s="3442"/>
      <c r="E6" s="3443" t="s">
        <v>2306</v>
      </c>
      <c r="F6" s="3444"/>
      <c r="G6" s="3441" t="s">
        <v>2306</v>
      </c>
      <c r="H6" s="3442"/>
      <c r="I6" s="3441" t="s">
        <v>2306</v>
      </c>
      <c r="J6" s="3442"/>
      <c r="K6" s="566" t="s">
        <v>2307</v>
      </c>
      <c r="L6" s="2912"/>
      <c r="M6" s="2913"/>
      <c r="N6" s="2913"/>
      <c r="O6" s="2913"/>
      <c r="P6" s="3454"/>
      <c r="Q6" s="3455"/>
      <c r="R6" s="3435"/>
      <c r="S6" s="3436"/>
      <c r="T6" s="3456"/>
      <c r="U6" s="3457"/>
      <c r="V6" s="3458"/>
      <c r="W6" s="3458"/>
      <c r="X6" s="1507"/>
      <c r="Y6" s="3456"/>
      <c r="Z6" s="3457"/>
      <c r="AA6" s="3430"/>
      <c r="AB6" s="3458"/>
      <c r="AC6" s="3430"/>
    </row>
    <row r="7" spans="1:29" s="113" customFormat="1" ht="15.75" thickBot="1">
      <c r="A7" s="367" t="s">
        <v>2308</v>
      </c>
      <c r="B7" s="368"/>
      <c r="C7" s="369">
        <f>'数据-取费表'!B2</f>
        <v>44642</v>
      </c>
      <c r="D7" s="370">
        <v>100</v>
      </c>
      <c r="E7" s="371"/>
      <c r="F7" s="372">
        <f>SUMIF(58:58,YEAR(E7)&amp;"-"&amp;MONTH(E7),59:59)</f>
        <v>0</v>
      </c>
      <c r="G7" s="371"/>
      <c r="H7" s="370">
        <f>SUMIF(58:58,YEAR(G7)&amp;"-"&amp;MONTH(G7),59:59)</f>
        <v>0</v>
      </c>
      <c r="I7" s="371"/>
      <c r="J7" s="370">
        <f>SUMIF(58:58,YEAR(I7)&amp;"-"&amp;MONTH(I7),59:59)</f>
        <v>0</v>
      </c>
      <c r="K7" s="567"/>
      <c r="L7" s="2914"/>
      <c r="M7" s="2915"/>
      <c r="N7" s="2915"/>
      <c r="O7" s="2915"/>
      <c r="P7" s="3431" t="s">
        <v>2309</v>
      </c>
      <c r="Q7" s="3459"/>
      <c r="R7" s="709" t="s">
        <v>17</v>
      </c>
      <c r="S7" s="710">
        <f t="shared" ref="S7:S15" si="0">F7</f>
        <v>0</v>
      </c>
      <c r="T7" s="709" t="s">
        <v>17</v>
      </c>
      <c r="U7" s="710">
        <f t="shared" ref="U7:U15" si="1">H7</f>
        <v>0</v>
      </c>
      <c r="V7" s="709" t="s">
        <v>17</v>
      </c>
      <c r="W7" s="710">
        <f t="shared" ref="W7:W15" si="2">J7</f>
        <v>0</v>
      </c>
      <c r="X7" s="711"/>
      <c r="Y7" s="3431" t="s">
        <v>2309</v>
      </c>
      <c r="Z7" s="3432"/>
      <c r="AA7" s="712" t="e">
        <f>D7/F7</f>
        <v>#DIV/0!</v>
      </c>
      <c r="AB7" s="712" t="e">
        <f>D7/H7</f>
        <v>#DIV/0!</v>
      </c>
      <c r="AC7" s="712" t="e">
        <f>D7/J7</f>
        <v>#DIV/0!</v>
      </c>
    </row>
    <row r="8" spans="1:29" s="113" customFormat="1" ht="15.75" thickBot="1">
      <c r="A8" s="367" t="s">
        <v>2310</v>
      </c>
      <c r="B8" s="368"/>
      <c r="C8" s="373" t="s">
        <v>2412</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431" t="s">
        <v>2312</v>
      </c>
      <c r="Q8" s="3432"/>
      <c r="R8" s="709" t="s">
        <v>17</v>
      </c>
      <c r="S8" s="710">
        <f t="shared" si="0"/>
        <v>0</v>
      </c>
      <c r="T8" s="709" t="s">
        <v>17</v>
      </c>
      <c r="U8" s="710">
        <f t="shared" si="1"/>
        <v>0</v>
      </c>
      <c r="V8" s="709" t="s">
        <v>17</v>
      </c>
      <c r="W8" s="710">
        <f t="shared" si="2"/>
        <v>0</v>
      </c>
      <c r="X8" s="711"/>
      <c r="Y8" s="3431" t="s">
        <v>2312</v>
      </c>
      <c r="Z8" s="3432"/>
      <c r="AA8" s="712" t="e">
        <f t="shared" ref="AA8:AA46" si="3">D8/F8</f>
        <v>#DIV/0!</v>
      </c>
      <c r="AB8" s="712" t="e">
        <f t="shared" ref="AB8:AB46" si="4">D8/H8</f>
        <v>#DIV/0!</v>
      </c>
      <c r="AC8" s="712" t="e">
        <f t="shared" ref="AC8:AC46" si="5">D8/J8</f>
        <v>#DIV/0!</v>
      </c>
    </row>
    <row r="9" spans="1:29" s="113" customFormat="1">
      <c r="A9" s="374" t="s">
        <v>2313</v>
      </c>
      <c r="B9" s="67" t="s">
        <v>2314</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445" t="s">
        <v>2315</v>
      </c>
      <c r="Q9" s="1495" t="str">
        <f t="shared" ref="Q9:Q15" si="6">B9</f>
        <v>用途</v>
      </c>
      <c r="R9" s="709" t="s">
        <v>17</v>
      </c>
      <c r="S9" s="710">
        <f t="shared" si="0"/>
        <v>100</v>
      </c>
      <c r="T9" s="709" t="s">
        <v>17</v>
      </c>
      <c r="U9" s="710">
        <f t="shared" si="1"/>
        <v>100</v>
      </c>
      <c r="V9" s="709" t="s">
        <v>17</v>
      </c>
      <c r="W9" s="710">
        <f t="shared" si="2"/>
        <v>100</v>
      </c>
      <c r="X9" s="711"/>
      <c r="Y9" s="3375"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445"/>
      <c r="Q10" s="1495" t="str">
        <f t="shared" si="6"/>
        <v>土地使用年限（年）</v>
      </c>
      <c r="R10" s="709" t="s">
        <v>17</v>
      </c>
      <c r="S10" s="710">
        <f t="shared" si="0"/>
        <v>100</v>
      </c>
      <c r="T10" s="709" t="s">
        <v>17</v>
      </c>
      <c r="U10" s="710">
        <f t="shared" si="1"/>
        <v>100</v>
      </c>
      <c r="V10" s="709" t="s">
        <v>17</v>
      </c>
      <c r="W10" s="710">
        <f t="shared" si="2"/>
        <v>100</v>
      </c>
      <c r="X10" s="711"/>
      <c r="Y10" s="3375"/>
      <c r="Z10" s="55" t="str">
        <f t="shared" si="7"/>
        <v>土地使用年限（年）</v>
      </c>
      <c r="AA10" s="712">
        <f t="shared" si="3"/>
        <v>1</v>
      </c>
      <c r="AB10" s="712">
        <f t="shared" si="4"/>
        <v>1</v>
      </c>
      <c r="AC10" s="712">
        <f t="shared" si="5"/>
        <v>1</v>
      </c>
    </row>
    <row r="11" spans="1:29" ht="15">
      <c r="A11" s="386"/>
      <c r="B11" s="380" t="s">
        <v>2318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445"/>
      <c r="Q11" s="1495" t="str">
        <f t="shared" si="6"/>
        <v>容积率</v>
      </c>
      <c r="R11" s="709" t="s">
        <v>17</v>
      </c>
      <c r="S11" s="710" t="e">
        <f t="shared" si="0"/>
        <v>#N/A</v>
      </c>
      <c r="T11" s="709" t="s">
        <v>17</v>
      </c>
      <c r="U11" s="710" t="e">
        <f t="shared" si="1"/>
        <v>#N/A</v>
      </c>
      <c r="V11" s="709" t="s">
        <v>17</v>
      </c>
      <c r="W11" s="710" t="e">
        <f t="shared" si="2"/>
        <v>#N/A</v>
      </c>
      <c r="X11" s="711"/>
      <c r="Y11" s="3375"/>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445"/>
      <c r="Q12" s="1495">
        <f t="shared" si="6"/>
        <v>111</v>
      </c>
      <c r="R12" s="709" t="s">
        <v>17</v>
      </c>
      <c r="S12" s="710">
        <f t="shared" si="0"/>
        <v>100</v>
      </c>
      <c r="T12" s="709" t="s">
        <v>17</v>
      </c>
      <c r="U12" s="710">
        <f t="shared" si="1"/>
        <v>100</v>
      </c>
      <c r="V12" s="709" t="s">
        <v>17</v>
      </c>
      <c r="W12" s="710">
        <f t="shared" si="2"/>
        <v>100</v>
      </c>
      <c r="X12" s="711"/>
      <c r="Y12" s="3375"/>
      <c r="Z12" s="55">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445"/>
      <c r="Q13" s="1495">
        <f t="shared" si="6"/>
        <v>111</v>
      </c>
      <c r="R13" s="709" t="s">
        <v>17</v>
      </c>
      <c r="S13" s="710">
        <f t="shared" si="0"/>
        <v>100</v>
      </c>
      <c r="T13" s="709" t="s">
        <v>17</v>
      </c>
      <c r="U13" s="710">
        <f t="shared" si="1"/>
        <v>100</v>
      </c>
      <c r="V13" s="709" t="s">
        <v>17</v>
      </c>
      <c r="W13" s="710">
        <f t="shared" si="2"/>
        <v>100</v>
      </c>
      <c r="X13" s="711"/>
      <c r="Y13" s="3375"/>
      <c r="Z13" s="55">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445"/>
      <c r="Q14" s="1495">
        <f t="shared" si="6"/>
        <v>111</v>
      </c>
      <c r="R14" s="709" t="s">
        <v>17</v>
      </c>
      <c r="S14" s="710">
        <f t="shared" si="0"/>
        <v>100</v>
      </c>
      <c r="T14" s="709" t="s">
        <v>17</v>
      </c>
      <c r="U14" s="710">
        <f t="shared" si="1"/>
        <v>100</v>
      </c>
      <c r="V14" s="709" t="s">
        <v>17</v>
      </c>
      <c r="W14" s="710">
        <f t="shared" si="2"/>
        <v>100</v>
      </c>
      <c r="X14" s="711"/>
      <c r="Y14" s="3375"/>
      <c r="Z14" s="55">
        <f t="shared" si="7"/>
        <v>111</v>
      </c>
      <c r="AA14" s="712">
        <f t="shared" si="3"/>
        <v>1</v>
      </c>
      <c r="AB14" s="712">
        <f t="shared" si="4"/>
        <v>1</v>
      </c>
      <c r="AC14" s="712">
        <f t="shared" si="5"/>
        <v>1</v>
      </c>
    </row>
    <row r="15" spans="1:29" ht="71.25">
      <c r="A15" s="398" t="s">
        <v>2319</v>
      </c>
      <c r="B15" s="65" t="s">
        <v>2413</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472" t="s">
        <v>2320</v>
      </c>
      <c r="Q15" s="1504" t="str">
        <f t="shared" si="6"/>
        <v>商业繁华度</v>
      </c>
      <c r="R15" s="713" t="s">
        <v>17</v>
      </c>
      <c r="S15" s="714">
        <f t="shared" si="0"/>
        <v>100</v>
      </c>
      <c r="T15" s="713" t="s">
        <v>17</v>
      </c>
      <c r="U15" s="714">
        <f t="shared" si="1"/>
        <v>100</v>
      </c>
      <c r="V15" s="713" t="s">
        <v>17</v>
      </c>
      <c r="W15" s="714">
        <f t="shared" si="2"/>
        <v>100</v>
      </c>
      <c r="X15" s="1507"/>
      <c r="Y15" s="3465" t="s">
        <v>2320</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473"/>
      <c r="Q16" s="1504"/>
      <c r="R16" s="713"/>
      <c r="S16" s="714"/>
      <c r="T16" s="713"/>
      <c r="U16" s="714"/>
      <c r="V16" s="713"/>
      <c r="W16" s="714"/>
      <c r="X16" s="1507"/>
      <c r="Y16" s="3466"/>
      <c r="Z16" s="1508"/>
      <c r="AA16" s="1505">
        <v>1</v>
      </c>
      <c r="AB16" s="1505">
        <v>1</v>
      </c>
      <c r="AC16" s="1505">
        <v>1</v>
      </c>
    </row>
    <row r="17" spans="1:29" ht="85.5">
      <c r="A17" s="386"/>
      <c r="B17" s="409" t="s">
        <v>1884</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473"/>
      <c r="Q17" s="1504" t="str">
        <f>B17</f>
        <v>交通便捷度</v>
      </c>
      <c r="R17" s="713" t="s">
        <v>17</v>
      </c>
      <c r="S17" s="714">
        <f>F17</f>
        <v>100</v>
      </c>
      <c r="T17" s="713" t="s">
        <v>17</v>
      </c>
      <c r="U17" s="714">
        <f>H17</f>
        <v>100</v>
      </c>
      <c r="V17" s="713" t="s">
        <v>17</v>
      </c>
      <c r="W17" s="714">
        <f>J17</f>
        <v>100</v>
      </c>
      <c r="X17" s="1507"/>
      <c r="Y17" s="3466"/>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473"/>
      <c r="Q18" s="1504"/>
      <c r="R18" s="713"/>
      <c r="S18" s="714"/>
      <c r="T18" s="713"/>
      <c r="U18" s="714"/>
      <c r="V18" s="713"/>
      <c r="W18" s="714"/>
      <c r="X18" s="1507"/>
      <c r="Y18" s="3466"/>
      <c r="Z18" s="1508"/>
      <c r="AA18" s="1505">
        <v>1</v>
      </c>
      <c r="AB18" s="1505">
        <v>1</v>
      </c>
      <c r="AC18" s="1505">
        <v>1</v>
      </c>
    </row>
    <row r="19" spans="1:29" ht="42.75">
      <c r="A19" s="386"/>
      <c r="B19" s="409" t="s">
        <v>2414</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473"/>
      <c r="Q19" s="1504" t="str">
        <f>B19</f>
        <v>公共配套设施</v>
      </c>
      <c r="R19" s="713" t="s">
        <v>17</v>
      </c>
      <c r="S19" s="714">
        <f>F19</f>
        <v>100</v>
      </c>
      <c r="T19" s="713" t="s">
        <v>17</v>
      </c>
      <c r="U19" s="714">
        <f>H19</f>
        <v>100</v>
      </c>
      <c r="V19" s="713" t="s">
        <v>17</v>
      </c>
      <c r="W19" s="714">
        <f>J19</f>
        <v>100</v>
      </c>
      <c r="X19" s="1507"/>
      <c r="Y19" s="3466"/>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473"/>
      <c r="Q20" s="1504"/>
      <c r="R20" s="713"/>
      <c r="S20" s="714"/>
      <c r="T20" s="713"/>
      <c r="U20" s="714"/>
      <c r="V20" s="713"/>
      <c r="W20" s="714"/>
      <c r="X20" s="1507"/>
      <c r="Y20" s="3466"/>
      <c r="Z20" s="1508"/>
      <c r="AA20" s="1505">
        <v>1</v>
      </c>
      <c r="AB20" s="1505">
        <v>1</v>
      </c>
      <c r="AC20" s="1505">
        <v>1</v>
      </c>
    </row>
    <row r="21" spans="1:29" ht="28.5">
      <c r="A21" s="386"/>
      <c r="B21" s="1263" t="s">
        <v>2415</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473"/>
      <c r="Q21" s="1504" t="str">
        <f>B21</f>
        <v>基础设施水平</v>
      </c>
      <c r="R21" s="713" t="s">
        <v>17</v>
      </c>
      <c r="S21" s="714">
        <f>F21</f>
        <v>100</v>
      </c>
      <c r="T21" s="713" t="s">
        <v>17</v>
      </c>
      <c r="U21" s="714">
        <f>H21</f>
        <v>100</v>
      </c>
      <c r="V21" s="713" t="s">
        <v>17</v>
      </c>
      <c r="W21" s="714">
        <f>J21</f>
        <v>100</v>
      </c>
      <c r="X21" s="1507"/>
      <c r="Y21" s="3466"/>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2919"/>
      <c r="M22" s="2913"/>
      <c r="N22" s="2913"/>
      <c r="O22" s="2913"/>
      <c r="P22" s="3473"/>
      <c r="Q22" s="1504"/>
      <c r="R22" s="713"/>
      <c r="S22" s="714"/>
      <c r="T22" s="713"/>
      <c r="U22" s="714"/>
      <c r="V22" s="713"/>
      <c r="W22" s="714"/>
      <c r="X22" s="1507"/>
      <c r="Y22" s="3466"/>
      <c r="Z22" s="1508"/>
      <c r="AA22" s="1505">
        <v>1</v>
      </c>
      <c r="AB22" s="1505">
        <v>1</v>
      </c>
      <c r="AC22" s="1505">
        <v>1</v>
      </c>
    </row>
    <row r="23" spans="1:29" ht="57">
      <c r="A23" s="386"/>
      <c r="B23" s="409" t="s">
        <v>1886</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473"/>
      <c r="Q23" s="1504" t="str">
        <f>B23</f>
        <v>自然及人文环境</v>
      </c>
      <c r="R23" s="713" t="s">
        <v>17</v>
      </c>
      <c r="S23" s="714">
        <f>F23</f>
        <v>100</v>
      </c>
      <c r="T23" s="713" t="s">
        <v>17</v>
      </c>
      <c r="U23" s="714">
        <f>H23</f>
        <v>100</v>
      </c>
      <c r="V23" s="713" t="s">
        <v>17</v>
      </c>
      <c r="W23" s="714">
        <f>J23</f>
        <v>100</v>
      </c>
      <c r="X23" s="1507"/>
      <c r="Y23" s="3466"/>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473"/>
      <c r="Q24" s="1504"/>
      <c r="R24" s="713"/>
      <c r="S24" s="714"/>
      <c r="T24" s="713"/>
      <c r="U24" s="714"/>
      <c r="V24" s="713"/>
      <c r="W24" s="714"/>
      <c r="X24" s="1507"/>
      <c r="Y24" s="3466"/>
      <c r="Z24" s="1508"/>
      <c r="AA24" s="1505">
        <v>1</v>
      </c>
      <c r="AB24" s="1505">
        <v>1</v>
      </c>
      <c r="AC24" s="1505">
        <v>1</v>
      </c>
    </row>
    <row r="25" spans="1:29" ht="15">
      <c r="A25" s="386"/>
      <c r="B25" s="380" t="s">
        <v>2416</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473"/>
      <c r="Q25" s="1504" t="str">
        <f t="shared" ref="Q25:Q46" si="11">B25</f>
        <v>临街状况</v>
      </c>
      <c r="R25" s="713" t="s">
        <v>17</v>
      </c>
      <c r="S25" s="714">
        <f>F25</f>
        <v>100</v>
      </c>
      <c r="T25" s="713" t="s">
        <v>17</v>
      </c>
      <c r="U25" s="714">
        <f>H25</f>
        <v>100</v>
      </c>
      <c r="V25" s="713" t="s">
        <v>17</v>
      </c>
      <c r="W25" s="714">
        <f>J25</f>
        <v>100</v>
      </c>
      <c r="X25" s="1507"/>
      <c r="Y25" s="3466"/>
      <c r="Z25" s="1508" t="str">
        <f>Q25</f>
        <v>临街状况</v>
      </c>
      <c r="AA25" s="1505">
        <f t="shared" si="3"/>
        <v>1</v>
      </c>
      <c r="AB25" s="1505">
        <f t="shared" si="4"/>
        <v>1</v>
      </c>
      <c r="AC25" s="1505">
        <f t="shared" si="5"/>
        <v>1</v>
      </c>
    </row>
    <row r="26" spans="1:29" ht="15">
      <c r="A26" s="386"/>
      <c r="B26" s="1265" t="s">
        <v>2417</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473"/>
      <c r="Q26" s="1504" t="str">
        <f t="shared" si="11"/>
        <v>平面位置/可视性</v>
      </c>
      <c r="R26" s="713" t="s">
        <v>17</v>
      </c>
      <c r="S26" s="714">
        <f>F26</f>
        <v>100</v>
      </c>
      <c r="T26" s="713" t="s">
        <v>17</v>
      </c>
      <c r="U26" s="714">
        <f>H26</f>
        <v>100</v>
      </c>
      <c r="V26" s="713" t="s">
        <v>17</v>
      </c>
      <c r="W26" s="714">
        <f>J26</f>
        <v>100</v>
      </c>
      <c r="X26" s="1507"/>
      <c r="Y26" s="3466"/>
      <c r="Z26" s="1508" t="str">
        <f>Q26</f>
        <v>平面位置/可视性</v>
      </c>
      <c r="AA26" s="1505">
        <f t="shared" si="3"/>
        <v>1</v>
      </c>
      <c r="AB26" s="1505">
        <f t="shared" si="4"/>
        <v>1</v>
      </c>
      <c r="AC26" s="1505">
        <f t="shared" si="5"/>
        <v>1</v>
      </c>
    </row>
    <row r="27" spans="1:29" s="113" customFormat="1" ht="15">
      <c r="A27" s="389"/>
      <c r="B27" s="409" t="s">
        <v>2418</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473"/>
      <c r="Q27" s="1495" t="str">
        <f t="shared" si="11"/>
        <v>人流量</v>
      </c>
      <c r="R27" s="709" t="s">
        <v>17</v>
      </c>
      <c r="S27" s="710">
        <f>F27</f>
        <v>100</v>
      </c>
      <c r="T27" s="709" t="s">
        <v>17</v>
      </c>
      <c r="U27" s="710">
        <f>H27</f>
        <v>100</v>
      </c>
      <c r="V27" s="709" t="s">
        <v>17</v>
      </c>
      <c r="W27" s="710">
        <f>J27</f>
        <v>100</v>
      </c>
      <c r="X27" s="711"/>
      <c r="Y27" s="3466"/>
      <c r="Z27" s="55" t="str">
        <f>Q27</f>
        <v>人流量</v>
      </c>
      <c r="AA27" s="1505">
        <f>D27/F27</f>
        <v>1</v>
      </c>
      <c r="AB27" s="1505">
        <f>D27/H27</f>
        <v>1</v>
      </c>
      <c r="AC27" s="1505">
        <f>D27/J27</f>
        <v>1</v>
      </c>
    </row>
    <row r="28" spans="1:29" ht="15">
      <c r="A28" s="386"/>
      <c r="B28" s="380" t="s">
        <v>2419</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473"/>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66"/>
      <c r="Z28" s="1508" t="str">
        <f t="shared" ref="Z28:Z46" si="15">Q28</f>
        <v>楼层</v>
      </c>
      <c r="AA28" s="1505">
        <f t="shared" si="3"/>
        <v>1</v>
      </c>
      <c r="AB28" s="1505">
        <f t="shared" si="4"/>
        <v>1</v>
      </c>
      <c r="AC28" s="1505">
        <f t="shared" si="5"/>
        <v>1</v>
      </c>
    </row>
    <row r="29" spans="1:29" ht="15">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473"/>
      <c r="Q29" s="1504">
        <f t="shared" si="11"/>
        <v>111</v>
      </c>
      <c r="R29" s="713" t="s">
        <v>17</v>
      </c>
      <c r="S29" s="714">
        <f t="shared" si="12"/>
        <v>100</v>
      </c>
      <c r="T29" s="713" t="s">
        <v>17</v>
      </c>
      <c r="U29" s="714">
        <f t="shared" si="13"/>
        <v>100</v>
      </c>
      <c r="V29" s="713" t="s">
        <v>17</v>
      </c>
      <c r="W29" s="714">
        <f t="shared" si="14"/>
        <v>100</v>
      </c>
      <c r="X29" s="1507"/>
      <c r="Y29" s="3466"/>
      <c r="Z29" s="1508">
        <f t="shared" si="15"/>
        <v>111</v>
      </c>
      <c r="AA29" s="1505">
        <f t="shared" si="3"/>
        <v>1</v>
      </c>
      <c r="AB29" s="1505">
        <f t="shared" si="4"/>
        <v>1</v>
      </c>
      <c r="AC29" s="1505">
        <f t="shared" si="5"/>
        <v>1</v>
      </c>
    </row>
    <row r="30" spans="1:29" ht="15">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473"/>
      <c r="Q30" s="1504">
        <f t="shared" si="11"/>
        <v>111</v>
      </c>
      <c r="R30" s="713" t="s">
        <v>17</v>
      </c>
      <c r="S30" s="714">
        <f t="shared" si="12"/>
        <v>100</v>
      </c>
      <c r="T30" s="713" t="s">
        <v>17</v>
      </c>
      <c r="U30" s="714">
        <f t="shared" si="13"/>
        <v>100</v>
      </c>
      <c r="V30" s="713" t="s">
        <v>17</v>
      </c>
      <c r="W30" s="714">
        <f t="shared" si="14"/>
        <v>100</v>
      </c>
      <c r="X30" s="1507"/>
      <c r="Y30" s="3466"/>
      <c r="Z30" s="1508">
        <f t="shared" si="15"/>
        <v>111</v>
      </c>
      <c r="AA30" s="1505">
        <f t="shared" si="3"/>
        <v>1</v>
      </c>
      <c r="AB30" s="1505">
        <f t="shared" si="4"/>
        <v>1</v>
      </c>
      <c r="AC30" s="1505">
        <f t="shared" si="5"/>
        <v>1</v>
      </c>
    </row>
    <row r="31" spans="1:29" ht="15.75" thickBot="1">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473"/>
      <c r="Q31" s="1504">
        <f t="shared" si="11"/>
        <v>111</v>
      </c>
      <c r="R31" s="713" t="s">
        <v>17</v>
      </c>
      <c r="S31" s="714">
        <f t="shared" si="12"/>
        <v>100</v>
      </c>
      <c r="T31" s="713" t="s">
        <v>17</v>
      </c>
      <c r="U31" s="714">
        <f t="shared" si="13"/>
        <v>100</v>
      </c>
      <c r="V31" s="713" t="s">
        <v>17</v>
      </c>
      <c r="W31" s="714">
        <f t="shared" si="14"/>
        <v>100</v>
      </c>
      <c r="X31" s="1507"/>
      <c r="Y31" s="3466"/>
      <c r="Z31" s="1508">
        <f t="shared" si="15"/>
        <v>111</v>
      </c>
      <c r="AA31" s="1505">
        <f t="shared" si="3"/>
        <v>1</v>
      </c>
      <c r="AB31" s="1505">
        <f t="shared" si="4"/>
        <v>1</v>
      </c>
      <c r="AC31" s="1505">
        <f t="shared" si="5"/>
        <v>1</v>
      </c>
    </row>
    <row r="32" spans="1:29" ht="15">
      <c r="A32" s="398" t="s">
        <v>2323</v>
      </c>
      <c r="B32" s="67" t="s">
        <v>2420</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467" t="s">
        <v>2325</v>
      </c>
      <c r="Q32" s="1504" t="str">
        <f t="shared" si="11"/>
        <v>商业类型</v>
      </c>
      <c r="R32" s="713" t="s">
        <v>17</v>
      </c>
      <c r="S32" s="714">
        <f t="shared" si="12"/>
        <v>100</v>
      </c>
      <c r="T32" s="713" t="s">
        <v>17</v>
      </c>
      <c r="U32" s="714">
        <f t="shared" si="13"/>
        <v>100</v>
      </c>
      <c r="V32" s="713" t="s">
        <v>17</v>
      </c>
      <c r="W32" s="714">
        <f t="shared" si="14"/>
        <v>100</v>
      </c>
      <c r="X32" s="1507"/>
      <c r="Y32" s="3470" t="s">
        <v>2325</v>
      </c>
      <c r="Z32" s="1508" t="str">
        <f t="shared" si="15"/>
        <v>商业类型</v>
      </c>
      <c r="AA32" s="1505">
        <f t="shared" si="3"/>
        <v>1</v>
      </c>
      <c r="AB32" s="1505">
        <f t="shared" si="4"/>
        <v>1</v>
      </c>
      <c r="AC32" s="1505">
        <f t="shared" si="5"/>
        <v>1</v>
      </c>
    </row>
    <row r="33" spans="1:29" s="429" customFormat="1" ht="15">
      <c r="A33" s="426"/>
      <c r="B33" s="380" t="s">
        <v>2326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468"/>
      <c r="Q33" s="715" t="str">
        <f t="shared" si="11"/>
        <v>项目建筑规模</v>
      </c>
      <c r="R33" s="716" t="s">
        <v>17</v>
      </c>
      <c r="S33" s="717" t="e">
        <f t="shared" si="12"/>
        <v>#N/A</v>
      </c>
      <c r="T33" s="716" t="s">
        <v>17</v>
      </c>
      <c r="U33" s="717" t="e">
        <f t="shared" si="13"/>
        <v>#N/A</v>
      </c>
      <c r="V33" s="716" t="s">
        <v>17</v>
      </c>
      <c r="W33" s="717" t="e">
        <f t="shared" si="14"/>
        <v>#N/A</v>
      </c>
      <c r="X33" s="718"/>
      <c r="Y33" s="3470"/>
      <c r="Z33" s="719" t="str">
        <f t="shared" si="15"/>
        <v>项目建筑规模</v>
      </c>
      <c r="AA33" s="1505" t="e">
        <f t="shared" si="3"/>
        <v>#N/A</v>
      </c>
      <c r="AB33" s="1505" t="e">
        <f t="shared" si="4"/>
        <v>#N/A</v>
      </c>
      <c r="AC33" s="1505" t="e">
        <f t="shared" si="5"/>
        <v>#N/A</v>
      </c>
    </row>
    <row r="34" spans="1:29" ht="15">
      <c r="A34" s="430"/>
      <c r="B34" s="380" t="s">
        <v>2327</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468"/>
      <c r="Q34" s="1504" t="str">
        <f t="shared" si="11"/>
        <v>建筑结构</v>
      </c>
      <c r="R34" s="713" t="s">
        <v>17</v>
      </c>
      <c r="S34" s="714">
        <f t="shared" si="12"/>
        <v>100</v>
      </c>
      <c r="T34" s="713" t="s">
        <v>17</v>
      </c>
      <c r="U34" s="714">
        <f t="shared" si="13"/>
        <v>100</v>
      </c>
      <c r="V34" s="713" t="s">
        <v>17</v>
      </c>
      <c r="W34" s="714">
        <f t="shared" si="14"/>
        <v>100</v>
      </c>
      <c r="X34" s="1507"/>
      <c r="Y34" s="3470"/>
      <c r="Z34" s="1508" t="str">
        <f t="shared" si="15"/>
        <v>建筑结构</v>
      </c>
      <c r="AA34" s="1505">
        <f t="shared" si="3"/>
        <v>1</v>
      </c>
      <c r="AB34" s="1505">
        <f t="shared" si="4"/>
        <v>1</v>
      </c>
      <c r="AC34" s="1505">
        <f t="shared" si="5"/>
        <v>1</v>
      </c>
    </row>
    <row r="35" spans="1:29" ht="15">
      <c r="A35" s="430"/>
      <c r="B35" s="380" t="s">
        <v>2421</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468"/>
      <c r="Q35" s="1504" t="str">
        <f t="shared" si="11"/>
        <v>公共部分装修</v>
      </c>
      <c r="R35" s="713" t="s">
        <v>17</v>
      </c>
      <c r="S35" s="714">
        <f t="shared" si="12"/>
        <v>100</v>
      </c>
      <c r="T35" s="713" t="s">
        <v>17</v>
      </c>
      <c r="U35" s="714">
        <f t="shared" si="13"/>
        <v>100</v>
      </c>
      <c r="V35" s="713" t="s">
        <v>17</v>
      </c>
      <c r="W35" s="714">
        <f t="shared" si="14"/>
        <v>100</v>
      </c>
      <c r="X35" s="1507"/>
      <c r="Y35" s="3470"/>
      <c r="Z35" s="1508" t="str">
        <f t="shared" si="15"/>
        <v>公共部分装修</v>
      </c>
      <c r="AA35" s="1505">
        <f t="shared" si="3"/>
        <v>1</v>
      </c>
      <c r="AB35" s="1505">
        <f t="shared" si="4"/>
        <v>1</v>
      </c>
      <c r="AC35" s="1505">
        <f t="shared" si="5"/>
        <v>1</v>
      </c>
    </row>
    <row r="36" spans="1:29" ht="15">
      <c r="A36" s="430"/>
      <c r="B36" s="380" t="s">
        <v>2422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468"/>
      <c r="Q36" s="1504" t="str">
        <f t="shared" si="11"/>
        <v>成新度</v>
      </c>
      <c r="R36" s="713" t="s">
        <v>17</v>
      </c>
      <c r="S36" s="714" t="e">
        <f t="shared" si="12"/>
        <v>#N/A</v>
      </c>
      <c r="T36" s="713" t="s">
        <v>17</v>
      </c>
      <c r="U36" s="714" t="e">
        <f t="shared" si="13"/>
        <v>#N/A</v>
      </c>
      <c r="V36" s="713" t="s">
        <v>17</v>
      </c>
      <c r="W36" s="714" t="e">
        <f t="shared" si="14"/>
        <v>#N/A</v>
      </c>
      <c r="X36" s="1507"/>
      <c r="Y36" s="3470"/>
      <c r="Z36" s="1508" t="str">
        <f t="shared" si="15"/>
        <v>成新度</v>
      </c>
      <c r="AA36" s="1505" t="e">
        <f t="shared" si="3"/>
        <v>#N/A</v>
      </c>
      <c r="AB36" s="1505" t="e">
        <f t="shared" si="4"/>
        <v>#N/A</v>
      </c>
      <c r="AC36" s="1505" t="e">
        <f t="shared" si="5"/>
        <v>#N/A</v>
      </c>
    </row>
    <row r="37" spans="1:29" s="113" customFormat="1" ht="15">
      <c r="A37" s="431"/>
      <c r="B37" s="380" t="s">
        <v>2423</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468"/>
      <c r="Q37" s="1495" t="str">
        <f t="shared" si="11"/>
        <v>市政基础设施</v>
      </c>
      <c r="R37" s="709" t="s">
        <v>17</v>
      </c>
      <c r="S37" s="710">
        <f t="shared" si="12"/>
        <v>100</v>
      </c>
      <c r="T37" s="709" t="s">
        <v>17</v>
      </c>
      <c r="U37" s="710">
        <f t="shared" si="13"/>
        <v>100</v>
      </c>
      <c r="V37" s="709" t="s">
        <v>17</v>
      </c>
      <c r="W37" s="710">
        <f t="shared" si="14"/>
        <v>100</v>
      </c>
      <c r="X37" s="711"/>
      <c r="Y37" s="3470"/>
      <c r="Z37" s="55" t="str">
        <f t="shared" si="15"/>
        <v>市政基础设施</v>
      </c>
      <c r="AA37" s="712">
        <f t="shared" si="3"/>
        <v>1</v>
      </c>
      <c r="AB37" s="712">
        <f t="shared" si="4"/>
        <v>1</v>
      </c>
      <c r="AC37" s="712">
        <f t="shared" si="5"/>
        <v>1</v>
      </c>
    </row>
    <row r="38" spans="1:29" ht="15">
      <c r="A38" s="430"/>
      <c r="B38" s="380" t="s">
        <v>2424</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468" t="s">
        <v>2325</v>
      </c>
      <c r="Q38" s="1504" t="str">
        <f t="shared" si="11"/>
        <v>业态</v>
      </c>
      <c r="R38" s="713" t="s">
        <v>17</v>
      </c>
      <c r="S38" s="714">
        <f t="shared" si="12"/>
        <v>100</v>
      </c>
      <c r="T38" s="713" t="s">
        <v>17</v>
      </c>
      <c r="U38" s="714">
        <f t="shared" si="13"/>
        <v>100</v>
      </c>
      <c r="V38" s="713" t="s">
        <v>17</v>
      </c>
      <c r="W38" s="714">
        <f t="shared" si="14"/>
        <v>100</v>
      </c>
      <c r="X38" s="1507"/>
      <c r="Y38" s="3470" t="s">
        <v>2325</v>
      </c>
      <c r="Z38" s="1508" t="str">
        <f t="shared" si="15"/>
        <v>业态</v>
      </c>
      <c r="AA38" s="1505">
        <f t="shared" si="3"/>
        <v>1</v>
      </c>
      <c r="AB38" s="1505">
        <f t="shared" si="4"/>
        <v>1</v>
      </c>
      <c r="AC38" s="1505">
        <f t="shared" si="5"/>
        <v>1</v>
      </c>
    </row>
    <row r="39" spans="1:29" ht="15">
      <c r="A39" s="430"/>
      <c r="B39" s="380" t="s">
        <v>2425</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468"/>
      <c r="Q39" s="1504" t="str">
        <f t="shared" si="11"/>
        <v>层高</v>
      </c>
      <c r="R39" s="713" t="s">
        <v>17</v>
      </c>
      <c r="S39" s="714">
        <f t="shared" si="12"/>
        <v>100</v>
      </c>
      <c r="T39" s="713" t="s">
        <v>17</v>
      </c>
      <c r="U39" s="714">
        <f t="shared" si="13"/>
        <v>100</v>
      </c>
      <c r="V39" s="713" t="s">
        <v>17</v>
      </c>
      <c r="W39" s="714">
        <f t="shared" si="14"/>
        <v>100</v>
      </c>
      <c r="X39" s="1507"/>
      <c r="Y39" s="3470"/>
      <c r="Z39" s="1508" t="str">
        <f t="shared" si="15"/>
        <v>层高</v>
      </c>
      <c r="AA39" s="1505">
        <f t="shared" si="3"/>
        <v>1</v>
      </c>
      <c r="AB39" s="1505">
        <f t="shared" si="4"/>
        <v>1</v>
      </c>
      <c r="AC39" s="1505">
        <f t="shared" si="5"/>
        <v>1</v>
      </c>
    </row>
    <row r="40" spans="1:29" ht="15">
      <c r="A40" s="430"/>
      <c r="B40" s="380" t="s">
        <v>2426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468"/>
      <c r="Q40" s="1504" t="str">
        <f t="shared" si="11"/>
        <v>单套建筑面积</v>
      </c>
      <c r="R40" s="713" t="s">
        <v>17</v>
      </c>
      <c r="S40" s="714">
        <f t="shared" si="12"/>
        <v>100</v>
      </c>
      <c r="T40" s="713" t="s">
        <v>17</v>
      </c>
      <c r="U40" s="714">
        <f t="shared" si="13"/>
        <v>100</v>
      </c>
      <c r="V40" s="713" t="s">
        <v>17</v>
      </c>
      <c r="W40" s="714">
        <f t="shared" si="14"/>
        <v>100</v>
      </c>
      <c r="X40" s="1507"/>
      <c r="Y40" s="3470"/>
      <c r="Z40" s="1508" t="str">
        <f t="shared" si="15"/>
        <v>单套建筑面积</v>
      </c>
      <c r="AA40" s="1505">
        <f t="shared" si="3"/>
        <v>1</v>
      </c>
      <c r="AB40" s="1505">
        <f t="shared" si="4"/>
        <v>1</v>
      </c>
      <c r="AC40" s="1505">
        <f t="shared" si="5"/>
        <v>1</v>
      </c>
    </row>
    <row r="41" spans="1:29" s="429" customFormat="1" ht="15">
      <c r="A41" s="426"/>
      <c r="B41" s="1506" t="s">
        <v>2427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468"/>
      <c r="Q41" s="715" t="str">
        <f t="shared" si="11"/>
        <v>进深比</v>
      </c>
      <c r="R41" s="716" t="s">
        <v>17</v>
      </c>
      <c r="S41" s="717">
        <f t="shared" si="12"/>
        <v>100</v>
      </c>
      <c r="T41" s="716" t="s">
        <v>17</v>
      </c>
      <c r="U41" s="717">
        <f t="shared" si="13"/>
        <v>100</v>
      </c>
      <c r="V41" s="716" t="s">
        <v>17</v>
      </c>
      <c r="W41" s="717">
        <f t="shared" si="14"/>
        <v>100</v>
      </c>
      <c r="X41" s="718"/>
      <c r="Y41" s="3470"/>
      <c r="Z41" s="719" t="str">
        <f t="shared" si="15"/>
        <v>进深比</v>
      </c>
      <c r="AA41" s="1505">
        <f t="shared" si="3"/>
        <v>1</v>
      </c>
      <c r="AB41" s="1505">
        <f t="shared" si="4"/>
        <v>1</v>
      </c>
      <c r="AC41" s="1505">
        <f t="shared" si="5"/>
        <v>1</v>
      </c>
    </row>
    <row r="42" spans="1:29" ht="15">
      <c r="A42" s="430"/>
      <c r="B42" s="380" t="s">
        <v>2428</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468"/>
      <c r="Q42" s="1504" t="str">
        <f t="shared" si="11"/>
        <v>内部装修</v>
      </c>
      <c r="R42" s="713" t="s">
        <v>17</v>
      </c>
      <c r="S42" s="714">
        <f t="shared" si="12"/>
        <v>100</v>
      </c>
      <c r="T42" s="713" t="s">
        <v>17</v>
      </c>
      <c r="U42" s="714">
        <f t="shared" si="13"/>
        <v>100</v>
      </c>
      <c r="V42" s="713" t="s">
        <v>17</v>
      </c>
      <c r="W42" s="714">
        <f t="shared" si="14"/>
        <v>100</v>
      </c>
      <c r="X42" s="1507"/>
      <c r="Y42" s="3470"/>
      <c r="Z42" s="1508" t="str">
        <f t="shared" si="15"/>
        <v>内部装修</v>
      </c>
      <c r="AA42" s="1505">
        <f t="shared" si="3"/>
        <v>1</v>
      </c>
      <c r="AB42" s="1505">
        <f t="shared" si="4"/>
        <v>1</v>
      </c>
      <c r="AC42" s="1505">
        <f t="shared" si="5"/>
        <v>1</v>
      </c>
    </row>
    <row r="43" spans="1:29" ht="15">
      <c r="A43" s="430"/>
      <c r="B43" s="380" t="s">
        <v>2336</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468"/>
      <c r="Q43" s="1504" t="str">
        <f t="shared" si="11"/>
        <v>内部装修维护情况</v>
      </c>
      <c r="R43" s="713" t="s">
        <v>17</v>
      </c>
      <c r="S43" s="714">
        <f t="shared" si="12"/>
        <v>100</v>
      </c>
      <c r="T43" s="713" t="s">
        <v>17</v>
      </c>
      <c r="U43" s="714">
        <f t="shared" si="13"/>
        <v>100</v>
      </c>
      <c r="V43" s="713" t="s">
        <v>17</v>
      </c>
      <c r="W43" s="714">
        <f t="shared" si="14"/>
        <v>100</v>
      </c>
      <c r="X43" s="1507"/>
      <c r="Y43" s="3470"/>
      <c r="Z43" s="1508" t="str">
        <f t="shared" si="15"/>
        <v>内部装修维护情况</v>
      </c>
      <c r="AA43" s="1505">
        <f t="shared" si="3"/>
        <v>1</v>
      </c>
      <c r="AB43" s="1505">
        <f t="shared" si="4"/>
        <v>1</v>
      </c>
      <c r="AC43" s="1505">
        <f t="shared" si="5"/>
        <v>1</v>
      </c>
    </row>
    <row r="44" spans="1:29" s="113" customFormat="1" ht="15">
      <c r="A44" s="431"/>
      <c r="B44" s="1265">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468"/>
      <c r="Q44" s="1495">
        <f t="shared" si="11"/>
        <v>111</v>
      </c>
      <c r="R44" s="709" t="s">
        <v>17</v>
      </c>
      <c r="S44" s="710">
        <f t="shared" si="12"/>
        <v>100</v>
      </c>
      <c r="T44" s="709" t="s">
        <v>17</v>
      </c>
      <c r="U44" s="710">
        <f t="shared" si="13"/>
        <v>100</v>
      </c>
      <c r="V44" s="709" t="s">
        <v>17</v>
      </c>
      <c r="W44" s="710">
        <f t="shared" si="14"/>
        <v>100</v>
      </c>
      <c r="X44" s="711"/>
      <c r="Y44" s="3470"/>
      <c r="Z44" s="55">
        <f t="shared" si="15"/>
        <v>111</v>
      </c>
      <c r="AA44" s="712">
        <f t="shared" si="3"/>
        <v>1</v>
      </c>
      <c r="AB44" s="712">
        <f t="shared" si="4"/>
        <v>1</v>
      </c>
      <c r="AC44" s="712">
        <f t="shared" si="5"/>
        <v>1</v>
      </c>
    </row>
    <row r="45" spans="1:29" ht="15">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468"/>
      <c r="Q45" s="1504">
        <f t="shared" si="11"/>
        <v>111</v>
      </c>
      <c r="R45" s="713" t="s">
        <v>17</v>
      </c>
      <c r="S45" s="714">
        <f t="shared" si="12"/>
        <v>100</v>
      </c>
      <c r="T45" s="713" t="s">
        <v>17</v>
      </c>
      <c r="U45" s="714">
        <f t="shared" si="13"/>
        <v>100</v>
      </c>
      <c r="V45" s="713" t="s">
        <v>17</v>
      </c>
      <c r="W45" s="714">
        <f t="shared" si="14"/>
        <v>100</v>
      </c>
      <c r="X45" s="1507"/>
      <c r="Y45" s="3470"/>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469"/>
      <c r="Q46" s="1504">
        <f t="shared" si="11"/>
        <v>111</v>
      </c>
      <c r="R46" s="713" t="s">
        <v>17</v>
      </c>
      <c r="S46" s="714">
        <f t="shared" si="12"/>
        <v>100</v>
      </c>
      <c r="T46" s="713" t="s">
        <v>17</v>
      </c>
      <c r="U46" s="714">
        <f t="shared" si="13"/>
        <v>100</v>
      </c>
      <c r="V46" s="713" t="s">
        <v>17</v>
      </c>
      <c r="W46" s="714">
        <f t="shared" si="14"/>
        <v>100</v>
      </c>
      <c r="X46" s="1507"/>
      <c r="Y46" s="3471"/>
      <c r="Z46" s="1508">
        <f t="shared" si="15"/>
        <v>111</v>
      </c>
      <c r="AA46" s="1505">
        <f t="shared" si="3"/>
        <v>1</v>
      </c>
      <c r="AB46" s="1505">
        <f t="shared" si="4"/>
        <v>1</v>
      </c>
      <c r="AC46" s="1505">
        <f t="shared" si="5"/>
        <v>1</v>
      </c>
    </row>
    <row r="47" spans="1:29" ht="15">
      <c r="A47" s="437" t="s">
        <v>2337</v>
      </c>
      <c r="B47" s="438"/>
      <c r="C47" s="1286" t="s">
        <v>1</v>
      </c>
      <c r="D47" s="1287"/>
      <c r="E47" s="1288"/>
      <c r="F47" s="1289"/>
      <c r="G47" s="1290"/>
      <c r="H47" s="1291"/>
      <c r="I47" s="1288"/>
      <c r="J47" s="1291"/>
      <c r="K47" s="722"/>
      <c r="L47" s="2921"/>
      <c r="M47" s="2922"/>
      <c r="N47" s="2913"/>
      <c r="O47" s="2922"/>
      <c r="P47" s="3463" t="str">
        <f>A47</f>
        <v>成交单价（元/平方米）</v>
      </c>
      <c r="Q47" s="3463"/>
      <c r="R47" s="3458">
        <f>E47</f>
        <v>0</v>
      </c>
      <c r="S47" s="3458"/>
      <c r="T47" s="3458">
        <f>G47</f>
        <v>0</v>
      </c>
      <c r="U47" s="3458"/>
      <c r="V47" s="3458">
        <f>I47</f>
        <v>0</v>
      </c>
      <c r="W47" s="3458"/>
      <c r="X47" s="698"/>
      <c r="Y47" s="720"/>
      <c r="Z47" s="698"/>
      <c r="AA47" s="698"/>
      <c r="AB47" s="698"/>
      <c r="AC47" s="698"/>
    </row>
    <row r="48" spans="1:29" ht="15.75" thickBot="1">
      <c r="A48" s="444" t="s">
        <v>2429</v>
      </c>
      <c r="B48" s="445"/>
      <c r="C48" s="1292" t="e">
        <f>R49</f>
        <v>#DIV/0!</v>
      </c>
      <c r="D48" s="2506" t="s">
        <v>2820</v>
      </c>
      <c r="E48" s="1293" t="e">
        <f>R48</f>
        <v>#DIV/0!</v>
      </c>
      <c r="F48" s="2507"/>
      <c r="G48" s="1292" t="e">
        <f>T48</f>
        <v>#DIV/0!</v>
      </c>
      <c r="H48" s="2507"/>
      <c r="I48" s="1293" t="e">
        <f>V48</f>
        <v>#DIV/0!</v>
      </c>
      <c r="J48" s="2507"/>
      <c r="K48" s="2509">
        <f>F48+H48+J48</f>
        <v>0</v>
      </c>
      <c r="L48" s="2921"/>
      <c r="M48" s="2922"/>
      <c r="N48" s="2913"/>
      <c r="O48" s="2922"/>
      <c r="P48" s="3463" t="str">
        <f>A48</f>
        <v>比较价值（元/平方米）</v>
      </c>
      <c r="Q48" s="34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698"/>
      <c r="Y48" s="698"/>
      <c r="Z48" s="698"/>
      <c r="AA48" s="698"/>
      <c r="AB48" s="698"/>
      <c r="AC48" s="698"/>
    </row>
    <row r="49" spans="1:29" ht="15.75" thickBot="1">
      <c r="A49" s="448" t="s">
        <v>2430</v>
      </c>
      <c r="B49" s="449"/>
      <c r="C49" s="1295" t="e">
        <f>R49</f>
        <v>#DIV/0!</v>
      </c>
      <c r="D49" s="1295"/>
      <c r="E49" s="1295"/>
      <c r="F49" s="1295"/>
      <c r="G49" s="1295"/>
      <c r="H49" s="1295"/>
      <c r="I49" s="1295"/>
      <c r="J49" s="1295"/>
      <c r="K49" s="723"/>
      <c r="L49" s="2921"/>
      <c r="M49" s="2922"/>
      <c r="N49" s="2913"/>
      <c r="O49" s="2922"/>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2434</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2308</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7"/>
      <c r="Q58" s="2938"/>
      <c r="R58" s="2938"/>
      <c r="S58" s="2938"/>
      <c r="T58" s="2938"/>
      <c r="U58" s="2938"/>
      <c r="V58" s="2938"/>
      <c r="W58" s="2938"/>
      <c r="X58" s="2938"/>
      <c r="Y58" s="2938"/>
      <c r="Z58" s="2938"/>
      <c r="AA58" s="2938"/>
      <c r="AB58" s="2938"/>
      <c r="AC58" s="2938"/>
    </row>
    <row r="59" spans="1:29" s="113"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3" customFormat="1" ht="15.75" thickBot="1">
      <c r="A60" s="471" t="s">
        <v>2345</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3" customFormat="1" ht="15">
      <c r="A61" s="477" t="s">
        <v>2310</v>
      </c>
      <c r="B61" s="466"/>
      <c r="C61" s="478" t="s">
        <v>2412</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3"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2348</v>
      </c>
      <c r="B63" s="484" t="s">
        <v>2314</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2317</v>
      </c>
      <c r="C65" s="495" t="s">
        <v>2349</v>
      </c>
      <c r="D65" s="495" t="s">
        <v>2350</v>
      </c>
      <c r="E65" s="495" t="s">
        <v>2351</v>
      </c>
      <c r="F65" s="495" t="s">
        <v>2352</v>
      </c>
      <c r="G65" s="495" t="s">
        <v>2353</v>
      </c>
      <c r="H65" s="495" t="s">
        <v>2354</v>
      </c>
      <c r="I65" s="495" t="s">
        <v>2355</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2319</v>
      </c>
      <c r="B76" s="484" t="s">
        <v>2356</v>
      </c>
      <c r="C76" s="529" t="s">
        <v>2357</v>
      </c>
      <c r="D76" s="529" t="s">
        <v>2358</v>
      </c>
      <c r="E76" s="529" t="s">
        <v>2359</v>
      </c>
      <c r="F76" s="529" t="s">
        <v>2360</v>
      </c>
      <c r="G76" s="529" t="s">
        <v>2361</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2362</v>
      </c>
      <c r="C78" s="534" t="s">
        <v>2357</v>
      </c>
      <c r="D78" s="534" t="s">
        <v>2358</v>
      </c>
      <c r="E78" s="534" t="s">
        <v>2359</v>
      </c>
      <c r="F78" s="534" t="s">
        <v>2360</v>
      </c>
      <c r="G78" s="534" t="s">
        <v>2361</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2363</v>
      </c>
      <c r="C80" s="534" t="s">
        <v>2357</v>
      </c>
      <c r="D80" s="534" t="s">
        <v>2358</v>
      </c>
      <c r="E80" s="534" t="s">
        <v>2359</v>
      </c>
      <c r="F80" s="534" t="s">
        <v>2360</v>
      </c>
      <c r="G80" s="534" t="s">
        <v>2361</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2415</v>
      </c>
      <c r="C82" s="615" t="s">
        <v>2435</v>
      </c>
      <c r="D82" s="615" t="s">
        <v>2436</v>
      </c>
      <c r="E82" s="615" t="s">
        <v>2437</v>
      </c>
      <c r="F82" s="615" t="s">
        <v>2438</v>
      </c>
      <c r="G82" s="615" t="s">
        <v>2439</v>
      </c>
      <c r="H82" s="495"/>
      <c r="I82" s="495"/>
      <c r="J82" s="495"/>
      <c r="K82" s="495"/>
      <c r="L82" s="495"/>
      <c r="M82" s="1261"/>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2369</v>
      </c>
      <c r="C84" s="534" t="s">
        <v>2357</v>
      </c>
      <c r="D84" s="534" t="s">
        <v>2358</v>
      </c>
      <c r="E84" s="534" t="s">
        <v>2359</v>
      </c>
      <c r="F84" s="534" t="s">
        <v>2360</v>
      </c>
      <c r="G84" s="534" t="s">
        <v>2361</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3" customFormat="1" ht="15.75" thickTop="1">
      <c r="A86" s="535"/>
      <c r="B86" s="494" t="s">
        <v>2440</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3"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2323</v>
      </c>
      <c r="B100" s="484" t="s">
        <v>2441</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2374</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2376</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2378</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2442</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2443</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2444</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2445</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2380</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2381</v>
      </c>
      <c r="C124" s="534" t="s">
        <v>2357</v>
      </c>
      <c r="D124" s="534" t="s">
        <v>2358</v>
      </c>
      <c r="E124" s="534" t="s">
        <v>2359</v>
      </c>
      <c r="F124" s="534" t="s">
        <v>2360</v>
      </c>
      <c r="G124" s="534" t="s">
        <v>2361</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111" t="s">
        <v>2446</v>
      </c>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6" t="e">
        <f ca="1">IF(C2="——",ROUND(C50*D3/10000,0),ROUND(C50*D3/10000,0)-D2)</f>
        <v>#DIV/0!</v>
      </c>
      <c r="C2" s="2035"/>
      <c r="D2" s="1245" t="e">
        <f ca="1">SUMIF(INDIRECT("'"&amp;F2&amp;"'"&amp;"!A:A"),"承租人权益价值",INDIRECT("'"&amp;F2&amp;"'"&amp;"!c:c"))</f>
        <v>#REF!</v>
      </c>
      <c r="E2" s="2036" t="s">
        <v>2088</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 ca="1">IF(C2="——",C50,ROUND(B2*10000/D3,0))</f>
        <v>#DIV/0!</v>
      </c>
      <c r="C3" s="359" t="s">
        <v>2404</v>
      </c>
      <c r="D3" s="358">
        <f>IF(D1="",'数据-汇总表'!E3,SUMIF('数据-汇总表'!$C19:$C33,D1,'数据-汇总表'!$E19:$E33))</f>
        <v>24804.469999999998</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2405</v>
      </c>
      <c r="B4" s="361"/>
      <c r="C4" s="3446" t="s">
        <v>2406</v>
      </c>
      <c r="D4" s="3447"/>
      <c r="E4" s="3448" t="s">
        <v>2407</v>
      </c>
      <c r="F4" s="3449"/>
      <c r="G4" s="3446" t="s">
        <v>2408</v>
      </c>
      <c r="H4" s="3447"/>
      <c r="I4" s="3446" t="s">
        <v>2409</v>
      </c>
      <c r="J4" s="3447"/>
      <c r="K4" s="566" t="s">
        <v>2410</v>
      </c>
      <c r="L4" s="2912"/>
      <c r="M4" s="2913"/>
      <c r="N4" s="2913"/>
      <c r="O4" s="2913"/>
      <c r="P4" s="3480" t="s">
        <v>2411</v>
      </c>
      <c r="Q4" s="3481"/>
      <c r="R4" s="3475" t="s">
        <v>2407</v>
      </c>
      <c r="S4" s="3476"/>
      <c r="T4" s="3475" t="s">
        <v>2408</v>
      </c>
      <c r="U4" s="3476"/>
      <c r="V4" s="3484" t="s">
        <v>2409</v>
      </c>
      <c r="W4" s="3484"/>
      <c r="X4" s="2112"/>
      <c r="Y4" s="3475" t="s">
        <v>2411</v>
      </c>
      <c r="Z4" s="3476"/>
      <c r="AA4" s="3474" t="s">
        <v>2407</v>
      </c>
      <c r="AB4" s="3474" t="s">
        <v>2408</v>
      </c>
      <c r="AC4" s="3477" t="s">
        <v>2409</v>
      </c>
    </row>
    <row r="5" spans="1:29" ht="15">
      <c r="A5" s="363"/>
      <c r="B5" s="364"/>
      <c r="C5" s="3439" t="s">
        <v>2302</v>
      </c>
      <c r="D5" s="3440"/>
      <c r="E5" s="3437" t="s">
        <v>2303</v>
      </c>
      <c r="F5" s="3438"/>
      <c r="G5" s="3439" t="s">
        <v>2304</v>
      </c>
      <c r="H5" s="3440"/>
      <c r="I5" s="3439" t="s">
        <v>2305</v>
      </c>
      <c r="J5" s="3440"/>
      <c r="K5" s="566"/>
      <c r="L5" s="2912"/>
      <c r="M5" s="2913"/>
      <c r="N5" s="2913"/>
      <c r="O5" s="2913"/>
      <c r="P5" s="3482"/>
      <c r="Q5" s="3453"/>
      <c r="R5" s="3435"/>
      <c r="S5" s="3436"/>
      <c r="T5" s="3435"/>
      <c r="U5" s="3436"/>
      <c r="V5" s="3458"/>
      <c r="W5" s="3458"/>
      <c r="X5" s="1507"/>
      <c r="Y5" s="3435"/>
      <c r="Z5" s="3436"/>
      <c r="AA5" s="3429"/>
      <c r="AB5" s="3429"/>
      <c r="AC5" s="3478"/>
    </row>
    <row r="6" spans="1:29" ht="15.75" thickBot="1">
      <c r="A6" s="365"/>
      <c r="B6" s="366"/>
      <c r="C6" s="3441" t="s">
        <v>2306</v>
      </c>
      <c r="D6" s="3442"/>
      <c r="E6" s="3443" t="s">
        <v>2306</v>
      </c>
      <c r="F6" s="3444"/>
      <c r="G6" s="3441" t="s">
        <v>2306</v>
      </c>
      <c r="H6" s="3442"/>
      <c r="I6" s="3441" t="s">
        <v>2306</v>
      </c>
      <c r="J6" s="3442"/>
      <c r="K6" s="566" t="s">
        <v>2307</v>
      </c>
      <c r="L6" s="2912"/>
      <c r="M6" s="2913"/>
      <c r="N6" s="2913"/>
      <c r="O6" s="2913"/>
      <c r="P6" s="3483"/>
      <c r="Q6" s="3455"/>
      <c r="R6" s="3435"/>
      <c r="S6" s="3436"/>
      <c r="T6" s="3456"/>
      <c r="U6" s="3457"/>
      <c r="V6" s="3458"/>
      <c r="W6" s="3458"/>
      <c r="X6" s="1507"/>
      <c r="Y6" s="3456"/>
      <c r="Z6" s="3457"/>
      <c r="AA6" s="3430"/>
      <c r="AB6" s="3430"/>
      <c r="AC6" s="3479"/>
    </row>
    <row r="7" spans="1:29" s="113" customFormat="1" ht="15.75" thickBot="1">
      <c r="A7" s="367" t="s">
        <v>2308</v>
      </c>
      <c r="B7" s="368"/>
      <c r="C7" s="369">
        <f>'数据-取费表'!B2</f>
        <v>44642</v>
      </c>
      <c r="D7" s="370">
        <v>100</v>
      </c>
      <c r="E7" s="371"/>
      <c r="F7" s="372">
        <f>SUMIF(59:59,YEAR(E7)&amp;"-"&amp;MONTH(E7),60:60)</f>
        <v>0</v>
      </c>
      <c r="G7" s="371"/>
      <c r="H7" s="370">
        <f>SUMIF(59:59,YEAR(G7)&amp;"-"&amp;MONTH(G7),60:60)</f>
        <v>0</v>
      </c>
      <c r="I7" s="371"/>
      <c r="J7" s="370">
        <f>SUMIF(59:59,YEAR(I7)&amp;"-"&amp;MONTH(I7),60:60)</f>
        <v>0</v>
      </c>
      <c r="K7" s="567"/>
      <c r="L7" s="2914"/>
      <c r="M7" s="2915"/>
      <c r="N7" s="2915"/>
      <c r="O7" s="2915"/>
      <c r="P7" s="3485" t="s">
        <v>2309</v>
      </c>
      <c r="Q7" s="3459"/>
      <c r="R7" s="709" t="s">
        <v>17</v>
      </c>
      <c r="S7" s="710">
        <f t="shared" ref="S7:S15" si="0">F7</f>
        <v>0</v>
      </c>
      <c r="T7" s="709" t="s">
        <v>17</v>
      </c>
      <c r="U7" s="710">
        <f t="shared" ref="U7:U15" si="1">H7</f>
        <v>0</v>
      </c>
      <c r="V7" s="709" t="s">
        <v>17</v>
      </c>
      <c r="W7" s="710">
        <f t="shared" ref="W7:W15" si="2">J7</f>
        <v>0</v>
      </c>
      <c r="X7" s="711"/>
      <c r="Y7" s="3431" t="s">
        <v>2309</v>
      </c>
      <c r="Z7" s="3432"/>
      <c r="AA7" s="712" t="e">
        <f>D7/F7</f>
        <v>#DIV/0!</v>
      </c>
      <c r="AB7" s="712" t="e">
        <f>D7/H7</f>
        <v>#DIV/0!</v>
      </c>
      <c r="AC7" s="2113" t="e">
        <f>D7/J7</f>
        <v>#DIV/0!</v>
      </c>
    </row>
    <row r="8" spans="1:29" s="113" customFormat="1" ht="15.75" thickBot="1">
      <c r="A8" s="367" t="s">
        <v>2310</v>
      </c>
      <c r="B8" s="368"/>
      <c r="C8" s="373" t="s">
        <v>2412</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485" t="s">
        <v>2312</v>
      </c>
      <c r="Q8" s="3432"/>
      <c r="R8" s="709" t="s">
        <v>17</v>
      </c>
      <c r="S8" s="710">
        <f t="shared" si="0"/>
        <v>0</v>
      </c>
      <c r="T8" s="709" t="s">
        <v>17</v>
      </c>
      <c r="U8" s="710">
        <f t="shared" si="1"/>
        <v>0</v>
      </c>
      <c r="V8" s="709" t="s">
        <v>17</v>
      </c>
      <c r="W8" s="710">
        <f t="shared" si="2"/>
        <v>0</v>
      </c>
      <c r="X8" s="711"/>
      <c r="Y8" s="3431" t="s">
        <v>2312</v>
      </c>
      <c r="Z8" s="3432"/>
      <c r="AA8" s="712" t="e">
        <f t="shared" ref="AA8:AA47" si="3">D8/F8</f>
        <v>#DIV/0!</v>
      </c>
      <c r="AB8" s="712" t="e">
        <f t="shared" ref="AB8:AB47" si="4">D8/H8</f>
        <v>#DIV/0!</v>
      </c>
      <c r="AC8" s="2113" t="e">
        <f t="shared" ref="AC8:AC47" si="5">D8/J8</f>
        <v>#DIV/0!</v>
      </c>
    </row>
    <row r="9" spans="1:29" s="113" customFormat="1">
      <c r="A9" s="374" t="s">
        <v>2313</v>
      </c>
      <c r="B9" s="67" t="s">
        <v>2314</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445" t="s">
        <v>2315</v>
      </c>
      <c r="Q9" s="1495" t="str">
        <f t="shared" ref="Q9:Q15" si="6">B9</f>
        <v>用途</v>
      </c>
      <c r="R9" s="709" t="s">
        <v>17</v>
      </c>
      <c r="S9" s="710">
        <f t="shared" si="0"/>
        <v>100</v>
      </c>
      <c r="T9" s="709" t="s">
        <v>17</v>
      </c>
      <c r="U9" s="710">
        <f t="shared" si="1"/>
        <v>100</v>
      </c>
      <c r="V9" s="709" t="s">
        <v>17</v>
      </c>
      <c r="W9" s="710">
        <f t="shared" si="2"/>
        <v>100</v>
      </c>
      <c r="X9" s="711"/>
      <c r="Y9" s="3375" t="s">
        <v>2316</v>
      </c>
      <c r="Z9" s="55" t="str">
        <f t="shared" ref="Z9:Z15" si="7">Q9</f>
        <v>用途</v>
      </c>
      <c r="AA9" s="712">
        <f t="shared" si="3"/>
        <v>1</v>
      </c>
      <c r="AB9" s="712">
        <f t="shared" si="4"/>
        <v>1</v>
      </c>
      <c r="AC9" s="2113">
        <f t="shared" si="5"/>
        <v>1</v>
      </c>
    </row>
    <row r="10" spans="1:29" s="385" customFormat="1" ht="27">
      <c r="A10" s="379"/>
      <c r="B10" s="380" t="s">
        <v>2317</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445"/>
      <c r="Q10" s="1495" t="str">
        <f t="shared" si="6"/>
        <v>土地使用年限（年）</v>
      </c>
      <c r="R10" s="709" t="s">
        <v>17</v>
      </c>
      <c r="S10" s="710">
        <f t="shared" si="0"/>
        <v>100</v>
      </c>
      <c r="T10" s="709" t="s">
        <v>17</v>
      </c>
      <c r="U10" s="710">
        <f t="shared" si="1"/>
        <v>100</v>
      </c>
      <c r="V10" s="709" t="s">
        <v>17</v>
      </c>
      <c r="W10" s="710">
        <f t="shared" si="2"/>
        <v>100</v>
      </c>
      <c r="X10" s="711"/>
      <c r="Y10" s="3375"/>
      <c r="Z10" s="55" t="str">
        <f t="shared" si="7"/>
        <v>土地使用年限（年）</v>
      </c>
      <c r="AA10" s="712">
        <f t="shared" si="3"/>
        <v>1</v>
      </c>
      <c r="AB10" s="712">
        <f t="shared" si="4"/>
        <v>1</v>
      </c>
      <c r="AC10" s="2113">
        <f t="shared" si="5"/>
        <v>1</v>
      </c>
    </row>
    <row r="11" spans="1:29" ht="15">
      <c r="A11" s="386"/>
      <c r="B11" s="380" t="s">
        <v>2318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445"/>
      <c r="Q11" s="1495" t="str">
        <f t="shared" si="6"/>
        <v>容积率</v>
      </c>
      <c r="R11" s="709" t="s">
        <v>17</v>
      </c>
      <c r="S11" s="710" t="e">
        <f t="shared" si="0"/>
        <v>#N/A</v>
      </c>
      <c r="T11" s="709" t="s">
        <v>17</v>
      </c>
      <c r="U11" s="710" t="e">
        <f t="shared" si="1"/>
        <v>#N/A</v>
      </c>
      <c r="V11" s="709" t="s">
        <v>17</v>
      </c>
      <c r="W11" s="710" t="e">
        <f t="shared" si="2"/>
        <v>#N/A</v>
      </c>
      <c r="X11" s="711"/>
      <c r="Y11" s="3375"/>
      <c r="Z11" s="55" t="str">
        <f t="shared" si="7"/>
        <v>容积率</v>
      </c>
      <c r="AA11" s="712" t="e">
        <f t="shared" si="3"/>
        <v>#N/A</v>
      </c>
      <c r="AB11" s="712" t="e">
        <f t="shared" si="4"/>
        <v>#N/A</v>
      </c>
      <c r="AC11" s="2113" t="e">
        <f t="shared" si="5"/>
        <v>#N/A</v>
      </c>
    </row>
    <row r="12" spans="1:29" s="113"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445"/>
      <c r="Q12" s="1495">
        <f t="shared" si="6"/>
        <v>111</v>
      </c>
      <c r="R12" s="709" t="s">
        <v>17</v>
      </c>
      <c r="S12" s="710">
        <f t="shared" si="0"/>
        <v>100</v>
      </c>
      <c r="T12" s="709" t="s">
        <v>17</v>
      </c>
      <c r="U12" s="710">
        <f t="shared" si="1"/>
        <v>100</v>
      </c>
      <c r="V12" s="709" t="s">
        <v>17</v>
      </c>
      <c r="W12" s="710">
        <f t="shared" si="2"/>
        <v>100</v>
      </c>
      <c r="X12" s="711"/>
      <c r="Y12" s="3375"/>
      <c r="Z12" s="55">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445"/>
      <c r="Q13" s="1495">
        <f t="shared" si="6"/>
        <v>111</v>
      </c>
      <c r="R13" s="709" t="s">
        <v>17</v>
      </c>
      <c r="S13" s="710">
        <f t="shared" si="0"/>
        <v>100</v>
      </c>
      <c r="T13" s="709" t="s">
        <v>17</v>
      </c>
      <c r="U13" s="710">
        <f t="shared" si="1"/>
        <v>100</v>
      </c>
      <c r="V13" s="709" t="s">
        <v>17</v>
      </c>
      <c r="W13" s="710">
        <f t="shared" si="2"/>
        <v>100</v>
      </c>
      <c r="X13" s="711"/>
      <c r="Y13" s="3375"/>
      <c r="Z13" s="55">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445"/>
      <c r="Q14" s="1495">
        <f t="shared" si="6"/>
        <v>111</v>
      </c>
      <c r="R14" s="709" t="s">
        <v>17</v>
      </c>
      <c r="S14" s="710">
        <f t="shared" si="0"/>
        <v>100</v>
      </c>
      <c r="T14" s="709" t="s">
        <v>17</v>
      </c>
      <c r="U14" s="710">
        <f t="shared" si="1"/>
        <v>100</v>
      </c>
      <c r="V14" s="709" t="s">
        <v>17</v>
      </c>
      <c r="W14" s="710">
        <f t="shared" si="2"/>
        <v>100</v>
      </c>
      <c r="X14" s="711"/>
      <c r="Y14" s="3375"/>
      <c r="Z14" s="55">
        <f t="shared" si="7"/>
        <v>111</v>
      </c>
      <c r="AA14" s="712">
        <f t="shared" si="3"/>
        <v>1</v>
      </c>
      <c r="AB14" s="712">
        <f t="shared" si="4"/>
        <v>1</v>
      </c>
      <c r="AC14" s="2113">
        <f t="shared" si="5"/>
        <v>1</v>
      </c>
    </row>
    <row r="15" spans="1:29" ht="71.25">
      <c r="A15" s="398" t="s">
        <v>2319</v>
      </c>
      <c r="B15" s="584" t="s">
        <v>2447</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472" t="s">
        <v>2320</v>
      </c>
      <c r="Q15" s="1504" t="str">
        <f t="shared" si="6"/>
        <v>办公集聚程度</v>
      </c>
      <c r="R15" s="713" t="s">
        <v>17</v>
      </c>
      <c r="S15" s="714">
        <f t="shared" si="0"/>
        <v>100</v>
      </c>
      <c r="T15" s="713" t="s">
        <v>17</v>
      </c>
      <c r="U15" s="714">
        <f t="shared" si="1"/>
        <v>100</v>
      </c>
      <c r="V15" s="713" t="s">
        <v>17</v>
      </c>
      <c r="W15" s="714">
        <f t="shared" si="2"/>
        <v>100</v>
      </c>
      <c r="X15" s="1507"/>
      <c r="Y15" s="3465" t="s">
        <v>2320</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473"/>
      <c r="Q16" s="1504"/>
      <c r="R16" s="713"/>
      <c r="S16" s="714"/>
      <c r="T16" s="713"/>
      <c r="U16" s="714"/>
      <c r="V16" s="713"/>
      <c r="W16" s="714"/>
      <c r="X16" s="1507"/>
      <c r="Y16" s="3466"/>
      <c r="Z16" s="1508"/>
      <c r="AA16" s="1505">
        <v>1</v>
      </c>
      <c r="AB16" s="1505">
        <v>1</v>
      </c>
      <c r="AC16" s="2116">
        <v>1</v>
      </c>
    </row>
    <row r="17" spans="1:29" ht="71.25">
      <c r="A17" s="386"/>
      <c r="B17" s="586" t="s">
        <v>1884</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473"/>
      <c r="Q17" s="1504" t="str">
        <f>B17</f>
        <v>交通便捷度</v>
      </c>
      <c r="R17" s="713" t="s">
        <v>17</v>
      </c>
      <c r="S17" s="714">
        <f>F17</f>
        <v>100</v>
      </c>
      <c r="T17" s="713" t="s">
        <v>17</v>
      </c>
      <c r="U17" s="714">
        <f>H17</f>
        <v>100</v>
      </c>
      <c r="V17" s="713" t="s">
        <v>17</v>
      </c>
      <c r="W17" s="714">
        <f>J17</f>
        <v>100</v>
      </c>
      <c r="X17" s="1507"/>
      <c r="Y17" s="3466"/>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473"/>
      <c r="Q18" s="1504"/>
      <c r="R18" s="713"/>
      <c r="S18" s="714"/>
      <c r="T18" s="713"/>
      <c r="U18" s="714"/>
      <c r="V18" s="713"/>
      <c r="W18" s="714"/>
      <c r="X18" s="1507"/>
      <c r="Y18" s="3466"/>
      <c r="Z18" s="1508"/>
      <c r="AA18" s="1505">
        <v>1</v>
      </c>
      <c r="AB18" s="1505">
        <v>1</v>
      </c>
      <c r="AC18" s="2116">
        <v>1</v>
      </c>
    </row>
    <row r="19" spans="1:29" ht="42.75">
      <c r="A19" s="386"/>
      <c r="B19" s="586" t="s">
        <v>2448</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473"/>
      <c r="Q19" s="1504" t="str">
        <f>B19</f>
        <v>公共配套设施</v>
      </c>
      <c r="R19" s="713" t="s">
        <v>17</v>
      </c>
      <c r="S19" s="714">
        <f>F19</f>
        <v>100</v>
      </c>
      <c r="T19" s="713" t="s">
        <v>17</v>
      </c>
      <c r="U19" s="714">
        <f>H19</f>
        <v>100</v>
      </c>
      <c r="V19" s="713" t="s">
        <v>17</v>
      </c>
      <c r="W19" s="714">
        <f>J19</f>
        <v>100</v>
      </c>
      <c r="X19" s="1507"/>
      <c r="Y19" s="3466"/>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473"/>
      <c r="Q20" s="1504"/>
      <c r="R20" s="713"/>
      <c r="S20" s="714"/>
      <c r="T20" s="713"/>
      <c r="U20" s="714"/>
      <c r="V20" s="713"/>
      <c r="W20" s="714"/>
      <c r="X20" s="1507"/>
      <c r="Y20" s="3466"/>
      <c r="Z20" s="1508"/>
      <c r="AA20" s="1505">
        <v>1</v>
      </c>
      <c r="AB20" s="1505">
        <v>1</v>
      </c>
      <c r="AC20" s="2116">
        <v>1</v>
      </c>
    </row>
    <row r="21" spans="1:29" ht="28.5">
      <c r="A21" s="386"/>
      <c r="B21" s="588" t="s">
        <v>2449</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473"/>
      <c r="Q21" s="1504" t="str">
        <f>B21</f>
        <v>基础设施水平</v>
      </c>
      <c r="R21" s="713" t="s">
        <v>17</v>
      </c>
      <c r="S21" s="714">
        <f>F21</f>
        <v>100</v>
      </c>
      <c r="T21" s="713" t="s">
        <v>17</v>
      </c>
      <c r="U21" s="714">
        <f>H21</f>
        <v>100</v>
      </c>
      <c r="V21" s="713" t="s">
        <v>17</v>
      </c>
      <c r="W21" s="714">
        <f>J21</f>
        <v>100</v>
      </c>
      <c r="X21" s="1507"/>
      <c r="Y21" s="3466"/>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2"/>
      <c r="L22" s="2919"/>
      <c r="M22" s="2913"/>
      <c r="N22" s="2913"/>
      <c r="O22" s="2913"/>
      <c r="P22" s="3473"/>
      <c r="Q22" s="1504"/>
      <c r="R22" s="713"/>
      <c r="S22" s="714"/>
      <c r="T22" s="713"/>
      <c r="U22" s="714"/>
      <c r="V22" s="713"/>
      <c r="W22" s="714"/>
      <c r="X22" s="1507"/>
      <c r="Y22" s="3466"/>
      <c r="Z22" s="1508"/>
      <c r="AA22" s="1505">
        <v>1</v>
      </c>
      <c r="AB22" s="1505">
        <v>1</v>
      </c>
      <c r="AC22" s="2116">
        <v>1</v>
      </c>
    </row>
    <row r="23" spans="1:29" ht="42.75">
      <c r="A23" s="386"/>
      <c r="B23" s="586" t="s">
        <v>2450</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473"/>
      <c r="Q23" s="1504" t="str">
        <f>B23</f>
        <v>环境质量</v>
      </c>
      <c r="R23" s="713" t="s">
        <v>17</v>
      </c>
      <c r="S23" s="714">
        <f>F23</f>
        <v>100</v>
      </c>
      <c r="T23" s="713" t="s">
        <v>17</v>
      </c>
      <c r="U23" s="714">
        <f>H23</f>
        <v>100</v>
      </c>
      <c r="V23" s="713" t="s">
        <v>17</v>
      </c>
      <c r="W23" s="714">
        <f>J23</f>
        <v>100</v>
      </c>
      <c r="X23" s="1507"/>
      <c r="Y23" s="3466"/>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473"/>
      <c r="Q24" s="1504"/>
      <c r="R24" s="713"/>
      <c r="S24" s="714"/>
      <c r="T24" s="713"/>
      <c r="U24" s="714"/>
      <c r="V24" s="713"/>
      <c r="W24" s="714"/>
      <c r="X24" s="1507"/>
      <c r="Y24" s="3466"/>
      <c r="Z24" s="1508"/>
      <c r="AA24" s="1505">
        <v>1</v>
      </c>
      <c r="AB24" s="1505">
        <v>1</v>
      </c>
      <c r="AC24" s="2116">
        <v>1</v>
      </c>
    </row>
    <row r="25" spans="1:29" ht="27">
      <c r="A25" s="363"/>
      <c r="B25" s="586" t="s">
        <v>2451</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473"/>
      <c r="Q25" s="1504" t="str">
        <f>B25</f>
        <v>毗邻道路的类型与等级</v>
      </c>
      <c r="R25" s="713" t="s">
        <v>17</v>
      </c>
      <c r="S25" s="714">
        <f>F25</f>
        <v>100</v>
      </c>
      <c r="T25" s="713" t="s">
        <v>17</v>
      </c>
      <c r="U25" s="714">
        <f>H25</f>
        <v>100</v>
      </c>
      <c r="V25" s="713" t="s">
        <v>17</v>
      </c>
      <c r="W25" s="714">
        <f>J25</f>
        <v>100</v>
      </c>
      <c r="X25" s="1507"/>
      <c r="Y25" s="3466"/>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473"/>
      <c r="Q26" s="1504"/>
      <c r="R26" s="713"/>
      <c r="S26" s="714"/>
      <c r="T26" s="713"/>
      <c r="U26" s="714"/>
      <c r="V26" s="713"/>
      <c r="W26" s="714"/>
      <c r="X26" s="1507"/>
      <c r="Y26" s="3466"/>
      <c r="Z26" s="1508"/>
      <c r="AA26" s="1505">
        <v>1</v>
      </c>
      <c r="AB26" s="1505">
        <v>1</v>
      </c>
      <c r="AC26" s="2116">
        <v>1</v>
      </c>
    </row>
    <row r="27" spans="1:29" ht="15">
      <c r="A27" s="386"/>
      <c r="B27" s="587" t="s">
        <v>2419</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473"/>
      <c r="Q27" s="1504" t="str">
        <f t="shared" ref="Q27:Q47" si="11">B27</f>
        <v>楼层</v>
      </c>
      <c r="R27" s="713" t="s">
        <v>17</v>
      </c>
      <c r="S27" s="714">
        <f>F27</f>
        <v>100</v>
      </c>
      <c r="T27" s="713" t="s">
        <v>17</v>
      </c>
      <c r="U27" s="714">
        <f>H27</f>
        <v>100</v>
      </c>
      <c r="V27" s="713" t="s">
        <v>17</v>
      </c>
      <c r="W27" s="714">
        <f>J27</f>
        <v>100</v>
      </c>
      <c r="X27" s="1507"/>
      <c r="Y27" s="3466"/>
      <c r="Z27" s="1508" t="str">
        <f>Q27</f>
        <v>楼层</v>
      </c>
      <c r="AA27" s="1505">
        <f t="shared" si="3"/>
        <v>1</v>
      </c>
      <c r="AB27" s="1505">
        <f t="shared" si="4"/>
        <v>1</v>
      </c>
      <c r="AC27" s="2116">
        <f t="shared" si="5"/>
        <v>1</v>
      </c>
    </row>
    <row r="28" spans="1:29" s="113" customFormat="1" ht="15">
      <c r="A28" s="389"/>
      <c r="B28" s="586" t="s">
        <v>2452</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473"/>
      <c r="Q28" s="1495" t="str">
        <f t="shared" si="11"/>
        <v>朝向</v>
      </c>
      <c r="R28" s="709" t="s">
        <v>17</v>
      </c>
      <c r="S28" s="710">
        <f>F28</f>
        <v>100</v>
      </c>
      <c r="T28" s="709" t="s">
        <v>17</v>
      </c>
      <c r="U28" s="710">
        <f>H28</f>
        <v>100</v>
      </c>
      <c r="V28" s="709" t="s">
        <v>17</v>
      </c>
      <c r="W28" s="710">
        <f>J28</f>
        <v>100</v>
      </c>
      <c r="X28" s="711"/>
      <c r="Y28" s="3466"/>
      <c r="Z28" s="55"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473"/>
      <c r="Q29" s="1504">
        <f t="shared" si="11"/>
        <v>111</v>
      </c>
      <c r="R29" s="713" t="s">
        <v>17</v>
      </c>
      <c r="S29" s="714">
        <f t="shared" ref="S29:S47" si="12">F29</f>
        <v>100</v>
      </c>
      <c r="T29" s="713" t="s">
        <v>17</v>
      </c>
      <c r="U29" s="714">
        <f t="shared" ref="U29:U47" si="13">H29</f>
        <v>100</v>
      </c>
      <c r="V29" s="713" t="s">
        <v>17</v>
      </c>
      <c r="W29" s="714">
        <f t="shared" ref="W29:W47" si="14">J29</f>
        <v>100</v>
      </c>
      <c r="X29" s="1507"/>
      <c r="Y29" s="3466"/>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473"/>
      <c r="Q30" s="1504">
        <f t="shared" si="11"/>
        <v>111</v>
      </c>
      <c r="R30" s="713" t="s">
        <v>17</v>
      </c>
      <c r="S30" s="714">
        <f t="shared" si="12"/>
        <v>100</v>
      </c>
      <c r="T30" s="713" t="s">
        <v>17</v>
      </c>
      <c r="U30" s="714">
        <f t="shared" si="13"/>
        <v>100</v>
      </c>
      <c r="V30" s="713" t="s">
        <v>17</v>
      </c>
      <c r="W30" s="714">
        <f t="shared" si="14"/>
        <v>100</v>
      </c>
      <c r="X30" s="1507"/>
      <c r="Y30" s="3466"/>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473"/>
      <c r="Q31" s="1504">
        <f t="shared" si="11"/>
        <v>111</v>
      </c>
      <c r="R31" s="713" t="s">
        <v>17</v>
      </c>
      <c r="S31" s="714">
        <f t="shared" si="12"/>
        <v>100</v>
      </c>
      <c r="T31" s="713" t="s">
        <v>17</v>
      </c>
      <c r="U31" s="714">
        <f t="shared" si="13"/>
        <v>100</v>
      </c>
      <c r="V31" s="713" t="s">
        <v>17</v>
      </c>
      <c r="W31" s="714">
        <f t="shared" si="14"/>
        <v>100</v>
      </c>
      <c r="X31" s="1507"/>
      <c r="Y31" s="3466"/>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473"/>
      <c r="Q32" s="1504">
        <f t="shared" si="11"/>
        <v>111</v>
      </c>
      <c r="R32" s="713" t="s">
        <v>17</v>
      </c>
      <c r="S32" s="714">
        <f t="shared" si="12"/>
        <v>100</v>
      </c>
      <c r="T32" s="713" t="s">
        <v>17</v>
      </c>
      <c r="U32" s="714">
        <f t="shared" si="13"/>
        <v>100</v>
      </c>
      <c r="V32" s="713" t="s">
        <v>17</v>
      </c>
      <c r="W32" s="714">
        <f t="shared" si="14"/>
        <v>100</v>
      </c>
      <c r="X32" s="1507"/>
      <c r="Y32" s="3466"/>
      <c r="Z32" s="1508">
        <f t="shared" si="15"/>
        <v>111</v>
      </c>
      <c r="AA32" s="1505">
        <f t="shared" si="3"/>
        <v>1</v>
      </c>
      <c r="AB32" s="1505">
        <f t="shared" si="4"/>
        <v>1</v>
      </c>
      <c r="AC32" s="2116">
        <f t="shared" si="5"/>
        <v>1</v>
      </c>
    </row>
    <row r="33" spans="1:29" ht="15">
      <c r="A33" s="398" t="s">
        <v>2323</v>
      </c>
      <c r="B33" s="67" t="s">
        <v>2453</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467" t="s">
        <v>2325</v>
      </c>
      <c r="Q33" s="1504" t="str">
        <f t="shared" si="11"/>
        <v>建筑类型</v>
      </c>
      <c r="R33" s="713" t="s">
        <v>17</v>
      </c>
      <c r="S33" s="714">
        <f t="shared" si="12"/>
        <v>100</v>
      </c>
      <c r="T33" s="713" t="s">
        <v>17</v>
      </c>
      <c r="U33" s="714">
        <f t="shared" si="13"/>
        <v>100</v>
      </c>
      <c r="V33" s="713" t="s">
        <v>17</v>
      </c>
      <c r="W33" s="714">
        <f t="shared" si="14"/>
        <v>100</v>
      </c>
      <c r="X33" s="1507"/>
      <c r="Y33" s="3470" t="s">
        <v>2325</v>
      </c>
      <c r="Z33" s="1508" t="str">
        <f t="shared" si="15"/>
        <v>建筑类型</v>
      </c>
      <c r="AA33" s="1505">
        <f t="shared" si="3"/>
        <v>1</v>
      </c>
      <c r="AB33" s="1505">
        <f t="shared" si="4"/>
        <v>1</v>
      </c>
      <c r="AC33" s="2116">
        <f t="shared" si="5"/>
        <v>1</v>
      </c>
    </row>
    <row r="34" spans="1:29" s="429" customFormat="1" ht="15">
      <c r="A34" s="426"/>
      <c r="B34" s="380" t="s">
        <v>2326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468"/>
      <c r="Q34" s="715" t="str">
        <f t="shared" si="11"/>
        <v>项目建筑规模</v>
      </c>
      <c r="R34" s="716" t="s">
        <v>17</v>
      </c>
      <c r="S34" s="717" t="e">
        <f t="shared" si="12"/>
        <v>#N/A</v>
      </c>
      <c r="T34" s="716" t="s">
        <v>17</v>
      </c>
      <c r="U34" s="717" t="e">
        <f t="shared" si="13"/>
        <v>#N/A</v>
      </c>
      <c r="V34" s="716" t="s">
        <v>17</v>
      </c>
      <c r="W34" s="717" t="e">
        <f t="shared" si="14"/>
        <v>#N/A</v>
      </c>
      <c r="X34" s="718"/>
      <c r="Y34" s="3470"/>
      <c r="Z34" s="719" t="str">
        <f t="shared" si="15"/>
        <v>项目建筑规模</v>
      </c>
      <c r="AA34" s="1505" t="e">
        <f t="shared" si="3"/>
        <v>#N/A</v>
      </c>
      <c r="AB34" s="1505" t="e">
        <f t="shared" si="4"/>
        <v>#N/A</v>
      </c>
      <c r="AC34" s="2116" t="e">
        <f t="shared" si="5"/>
        <v>#N/A</v>
      </c>
    </row>
    <row r="35" spans="1:29" ht="15">
      <c r="A35" s="430"/>
      <c r="B35" s="380" t="s">
        <v>2327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468"/>
      <c r="Q35" s="1504" t="str">
        <f t="shared" si="11"/>
        <v>建筑结构</v>
      </c>
      <c r="R35" s="713" t="s">
        <v>17</v>
      </c>
      <c r="S35" s="714">
        <f t="shared" si="12"/>
        <v>100</v>
      </c>
      <c r="T35" s="713" t="s">
        <v>17</v>
      </c>
      <c r="U35" s="714">
        <f t="shared" si="13"/>
        <v>100</v>
      </c>
      <c r="V35" s="713" t="s">
        <v>17</v>
      </c>
      <c r="W35" s="714">
        <f t="shared" si="14"/>
        <v>100</v>
      </c>
      <c r="X35" s="1507"/>
      <c r="Y35" s="3470"/>
      <c r="Z35" s="1508" t="str">
        <f t="shared" si="15"/>
        <v>建筑结构</v>
      </c>
      <c r="AA35" s="1505">
        <f t="shared" si="3"/>
        <v>1</v>
      </c>
      <c r="AB35" s="1505">
        <f t="shared" si="4"/>
        <v>1</v>
      </c>
      <c r="AC35" s="2116">
        <f t="shared" si="5"/>
        <v>1</v>
      </c>
    </row>
    <row r="36" spans="1:29" ht="15">
      <c r="A36" s="430"/>
      <c r="B36" s="380" t="s">
        <v>2421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468"/>
      <c r="Q36" s="1504" t="str">
        <f t="shared" si="11"/>
        <v>公共部分装修</v>
      </c>
      <c r="R36" s="713" t="s">
        <v>17</v>
      </c>
      <c r="S36" s="714">
        <f t="shared" si="12"/>
        <v>100</v>
      </c>
      <c r="T36" s="713" t="s">
        <v>17</v>
      </c>
      <c r="U36" s="714">
        <f t="shared" si="13"/>
        <v>100</v>
      </c>
      <c r="V36" s="713" t="s">
        <v>17</v>
      </c>
      <c r="W36" s="714">
        <f t="shared" si="14"/>
        <v>100</v>
      </c>
      <c r="X36" s="1507"/>
      <c r="Y36" s="3470"/>
      <c r="Z36" s="1508" t="str">
        <f t="shared" si="15"/>
        <v>公共部分装修</v>
      </c>
      <c r="AA36" s="1505">
        <f t="shared" si="3"/>
        <v>1</v>
      </c>
      <c r="AB36" s="1505">
        <f t="shared" si="4"/>
        <v>1</v>
      </c>
      <c r="AC36" s="2116">
        <f t="shared" si="5"/>
        <v>1</v>
      </c>
    </row>
    <row r="37" spans="1:29" ht="15">
      <c r="A37" s="430"/>
      <c r="B37" s="380" t="s">
        <v>2422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468"/>
      <c r="Q37" s="1504" t="str">
        <f t="shared" si="11"/>
        <v>成新度</v>
      </c>
      <c r="R37" s="713" t="s">
        <v>17</v>
      </c>
      <c r="S37" s="714" t="e">
        <f t="shared" si="12"/>
        <v>#N/A</v>
      </c>
      <c r="T37" s="713" t="s">
        <v>17</v>
      </c>
      <c r="U37" s="714" t="e">
        <f t="shared" si="13"/>
        <v>#N/A</v>
      </c>
      <c r="V37" s="713" t="s">
        <v>17</v>
      </c>
      <c r="W37" s="714" t="e">
        <f t="shared" si="14"/>
        <v>#N/A</v>
      </c>
      <c r="X37" s="1507"/>
      <c r="Y37" s="3470"/>
      <c r="Z37" s="1508" t="str">
        <f t="shared" si="15"/>
        <v>成新度</v>
      </c>
      <c r="AA37" s="1505" t="e">
        <f t="shared" si="3"/>
        <v>#N/A</v>
      </c>
      <c r="AB37" s="1505" t="e">
        <f t="shared" si="4"/>
        <v>#N/A</v>
      </c>
      <c r="AC37" s="2116" t="e">
        <f t="shared" si="5"/>
        <v>#N/A</v>
      </c>
    </row>
    <row r="38" spans="1:29" s="113" customFormat="1" ht="15">
      <c r="A38" s="431"/>
      <c r="B38" s="380" t="s">
        <v>2454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468"/>
      <c r="Q38" s="1495" t="str">
        <f t="shared" si="11"/>
        <v>写字楼等级</v>
      </c>
      <c r="R38" s="709" t="s">
        <v>17</v>
      </c>
      <c r="S38" s="710">
        <f t="shared" si="12"/>
        <v>100</v>
      </c>
      <c r="T38" s="709" t="s">
        <v>17</v>
      </c>
      <c r="U38" s="710">
        <f t="shared" si="13"/>
        <v>100</v>
      </c>
      <c r="V38" s="709" t="s">
        <v>17</v>
      </c>
      <c r="W38" s="710">
        <f t="shared" si="14"/>
        <v>100</v>
      </c>
      <c r="X38" s="711"/>
      <c r="Y38" s="3470"/>
      <c r="Z38" s="55" t="str">
        <f t="shared" si="15"/>
        <v>写字楼等级</v>
      </c>
      <c r="AA38" s="712">
        <f t="shared" si="3"/>
        <v>1</v>
      </c>
      <c r="AB38" s="712">
        <f t="shared" si="4"/>
        <v>1</v>
      </c>
      <c r="AC38" s="2113">
        <f t="shared" si="5"/>
        <v>1</v>
      </c>
    </row>
    <row r="39" spans="1:29" ht="15">
      <c r="A39" s="430"/>
      <c r="B39" s="380" t="s">
        <v>2455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468" t="s">
        <v>2325</v>
      </c>
      <c r="Q39" s="1504" t="str">
        <f t="shared" si="11"/>
        <v>物业管理</v>
      </c>
      <c r="R39" s="713" t="s">
        <v>17</v>
      </c>
      <c r="S39" s="714">
        <f t="shared" si="12"/>
        <v>100</v>
      </c>
      <c r="T39" s="713" t="s">
        <v>17</v>
      </c>
      <c r="U39" s="714">
        <f t="shared" si="13"/>
        <v>100</v>
      </c>
      <c r="V39" s="713" t="s">
        <v>17</v>
      </c>
      <c r="W39" s="714">
        <f t="shared" si="14"/>
        <v>100</v>
      </c>
      <c r="X39" s="1507"/>
      <c r="Y39" s="3470" t="s">
        <v>2325</v>
      </c>
      <c r="Z39" s="1508" t="str">
        <f t="shared" si="15"/>
        <v>物业管理</v>
      </c>
      <c r="AA39" s="1505">
        <f t="shared" si="3"/>
        <v>1</v>
      </c>
      <c r="AB39" s="1505">
        <f t="shared" si="4"/>
        <v>1</v>
      </c>
      <c r="AC39" s="2116">
        <f t="shared" si="5"/>
        <v>1</v>
      </c>
    </row>
    <row r="40" spans="1:29" ht="15">
      <c r="A40" s="430"/>
      <c r="B40" s="380" t="s">
        <v>2423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468"/>
      <c r="Q40" s="1504" t="str">
        <f t="shared" si="11"/>
        <v>市政基础设施</v>
      </c>
      <c r="R40" s="713" t="s">
        <v>17</v>
      </c>
      <c r="S40" s="714">
        <f t="shared" si="12"/>
        <v>100</v>
      </c>
      <c r="T40" s="713" t="s">
        <v>17</v>
      </c>
      <c r="U40" s="714">
        <f t="shared" si="13"/>
        <v>100</v>
      </c>
      <c r="V40" s="713" t="s">
        <v>17</v>
      </c>
      <c r="W40" s="714">
        <f t="shared" si="14"/>
        <v>100</v>
      </c>
      <c r="X40" s="1507"/>
      <c r="Y40" s="3470"/>
      <c r="Z40" s="1508" t="str">
        <f t="shared" si="15"/>
        <v>市政基础设施</v>
      </c>
      <c r="AA40" s="1505">
        <f t="shared" si="3"/>
        <v>1</v>
      </c>
      <c r="AB40" s="1505">
        <f t="shared" si="4"/>
        <v>1</v>
      </c>
      <c r="AC40" s="2116">
        <f t="shared" si="5"/>
        <v>1</v>
      </c>
    </row>
    <row r="41" spans="1:29" ht="15">
      <c r="A41" s="430"/>
      <c r="B41" s="380" t="s">
        <v>2425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468"/>
      <c r="Q41" s="1504" t="str">
        <f t="shared" si="11"/>
        <v>层高</v>
      </c>
      <c r="R41" s="713" t="s">
        <v>17</v>
      </c>
      <c r="S41" s="714">
        <f t="shared" si="12"/>
        <v>100</v>
      </c>
      <c r="T41" s="713" t="s">
        <v>17</v>
      </c>
      <c r="U41" s="714">
        <f t="shared" si="13"/>
        <v>100</v>
      </c>
      <c r="V41" s="713" t="s">
        <v>17</v>
      </c>
      <c r="W41" s="714">
        <f t="shared" si="14"/>
        <v>100</v>
      </c>
      <c r="X41" s="1507"/>
      <c r="Y41" s="3470"/>
      <c r="Z41" s="1508" t="str">
        <f t="shared" si="15"/>
        <v>层高</v>
      </c>
      <c r="AA41" s="1505">
        <f t="shared" si="3"/>
        <v>1</v>
      </c>
      <c r="AB41" s="1505">
        <f t="shared" si="4"/>
        <v>1</v>
      </c>
      <c r="AC41" s="2116">
        <f t="shared" si="5"/>
        <v>1</v>
      </c>
    </row>
    <row r="42" spans="1:29" s="429" customFormat="1" ht="15">
      <c r="A42" s="426"/>
      <c r="B42" s="1506" t="s">
        <v>2456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468"/>
      <c r="Q42" s="715" t="str">
        <f t="shared" si="11"/>
        <v>单套建筑面积</v>
      </c>
      <c r="R42" s="716" t="s">
        <v>17</v>
      </c>
      <c r="S42" s="717">
        <f t="shared" si="12"/>
        <v>100</v>
      </c>
      <c r="T42" s="716" t="s">
        <v>17</v>
      </c>
      <c r="U42" s="717">
        <f t="shared" si="13"/>
        <v>100</v>
      </c>
      <c r="V42" s="716" t="s">
        <v>17</v>
      </c>
      <c r="W42" s="717">
        <f t="shared" si="14"/>
        <v>100</v>
      </c>
      <c r="X42" s="718"/>
      <c r="Y42" s="3470"/>
      <c r="Z42" s="719" t="str">
        <f t="shared" si="15"/>
        <v>单套建筑面积</v>
      </c>
      <c r="AA42" s="1505">
        <f t="shared" si="3"/>
        <v>1</v>
      </c>
      <c r="AB42" s="1505">
        <f t="shared" si="4"/>
        <v>1</v>
      </c>
      <c r="AC42" s="2116">
        <f t="shared" si="5"/>
        <v>1</v>
      </c>
    </row>
    <row r="43" spans="1:29" ht="15">
      <c r="A43" s="430"/>
      <c r="B43" s="380" t="s">
        <v>2428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468"/>
      <c r="Q43" s="1504" t="str">
        <f t="shared" si="11"/>
        <v>内部装修</v>
      </c>
      <c r="R43" s="713" t="s">
        <v>17</v>
      </c>
      <c r="S43" s="714">
        <f t="shared" si="12"/>
        <v>100</v>
      </c>
      <c r="T43" s="713" t="s">
        <v>17</v>
      </c>
      <c r="U43" s="714">
        <f t="shared" si="13"/>
        <v>100</v>
      </c>
      <c r="V43" s="713" t="s">
        <v>17</v>
      </c>
      <c r="W43" s="714">
        <f t="shared" si="14"/>
        <v>100</v>
      </c>
      <c r="X43" s="1507"/>
      <c r="Y43" s="3470"/>
      <c r="Z43" s="1508" t="str">
        <f t="shared" si="15"/>
        <v>内部装修</v>
      </c>
      <c r="AA43" s="1505">
        <f t="shared" si="3"/>
        <v>1</v>
      </c>
      <c r="AB43" s="1505">
        <f t="shared" si="4"/>
        <v>1</v>
      </c>
      <c r="AC43" s="2116">
        <f t="shared" si="5"/>
        <v>1</v>
      </c>
    </row>
    <row r="44" spans="1:29" ht="15">
      <c r="A44" s="430"/>
      <c r="B44" s="380" t="s">
        <v>2336</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468"/>
      <c r="Q44" s="1504" t="str">
        <f t="shared" si="11"/>
        <v>内部装修维护情况</v>
      </c>
      <c r="R44" s="713" t="s">
        <v>17</v>
      </c>
      <c r="S44" s="714">
        <f t="shared" si="12"/>
        <v>100</v>
      </c>
      <c r="T44" s="713" t="s">
        <v>17</v>
      </c>
      <c r="U44" s="714">
        <f t="shared" si="13"/>
        <v>100</v>
      </c>
      <c r="V44" s="713" t="s">
        <v>17</v>
      </c>
      <c r="W44" s="714">
        <f t="shared" si="14"/>
        <v>100</v>
      </c>
      <c r="X44" s="1507"/>
      <c r="Y44" s="3470"/>
      <c r="Z44" s="1508" t="str">
        <f t="shared" si="15"/>
        <v>内部装修维护情况</v>
      </c>
      <c r="AA44" s="1505">
        <f t="shared" si="3"/>
        <v>1</v>
      </c>
      <c r="AB44" s="1505">
        <f t="shared" si="4"/>
        <v>1</v>
      </c>
      <c r="AC44" s="2116">
        <f t="shared" si="5"/>
        <v>1</v>
      </c>
    </row>
    <row r="45" spans="1:29" s="113" customFormat="1" ht="15">
      <c r="A45" s="431"/>
      <c r="B45" s="1265">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468"/>
      <c r="Q45" s="1495">
        <f t="shared" si="11"/>
        <v>111</v>
      </c>
      <c r="R45" s="709" t="s">
        <v>17</v>
      </c>
      <c r="S45" s="710">
        <f t="shared" si="12"/>
        <v>100</v>
      </c>
      <c r="T45" s="709" t="s">
        <v>17</v>
      </c>
      <c r="U45" s="710">
        <f t="shared" si="13"/>
        <v>100</v>
      </c>
      <c r="V45" s="709" t="s">
        <v>17</v>
      </c>
      <c r="W45" s="710">
        <f t="shared" si="14"/>
        <v>100</v>
      </c>
      <c r="X45" s="711"/>
      <c r="Y45" s="3470"/>
      <c r="Z45" s="55">
        <f t="shared" si="15"/>
        <v>111</v>
      </c>
      <c r="AA45" s="712">
        <f t="shared" si="3"/>
        <v>1</v>
      </c>
      <c r="AB45" s="712">
        <f t="shared" si="4"/>
        <v>1</v>
      </c>
      <c r="AC45" s="2113">
        <f t="shared" si="5"/>
        <v>1</v>
      </c>
    </row>
    <row r="46" spans="1:29" ht="15">
      <c r="A46" s="430"/>
      <c r="B46" s="1265">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468"/>
      <c r="Q46" s="1504">
        <f t="shared" si="11"/>
        <v>111</v>
      </c>
      <c r="R46" s="713" t="s">
        <v>17</v>
      </c>
      <c r="S46" s="714">
        <f t="shared" si="12"/>
        <v>100</v>
      </c>
      <c r="T46" s="713" t="s">
        <v>17</v>
      </c>
      <c r="U46" s="714">
        <f t="shared" si="13"/>
        <v>100</v>
      </c>
      <c r="V46" s="713" t="s">
        <v>17</v>
      </c>
      <c r="W46" s="714">
        <f t="shared" si="14"/>
        <v>100</v>
      </c>
      <c r="X46" s="1507"/>
      <c r="Y46" s="3470"/>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469"/>
      <c r="Q47" s="1504">
        <f t="shared" si="11"/>
        <v>111</v>
      </c>
      <c r="R47" s="713" t="s">
        <v>17</v>
      </c>
      <c r="S47" s="714">
        <f t="shared" si="12"/>
        <v>100</v>
      </c>
      <c r="T47" s="713" t="s">
        <v>17</v>
      </c>
      <c r="U47" s="714">
        <f t="shared" si="13"/>
        <v>100</v>
      </c>
      <c r="V47" s="713" t="s">
        <v>17</v>
      </c>
      <c r="W47" s="714">
        <f t="shared" si="14"/>
        <v>100</v>
      </c>
      <c r="X47" s="1507"/>
      <c r="Y47" s="3471"/>
      <c r="Z47" s="1508">
        <f t="shared" si="15"/>
        <v>111</v>
      </c>
      <c r="AA47" s="1505">
        <f t="shared" si="3"/>
        <v>1</v>
      </c>
      <c r="AB47" s="1505">
        <f t="shared" si="4"/>
        <v>1</v>
      </c>
      <c r="AC47" s="2116">
        <f t="shared" si="5"/>
        <v>1</v>
      </c>
    </row>
    <row r="48" spans="1:29" ht="15">
      <c r="A48" s="437" t="s">
        <v>2337</v>
      </c>
      <c r="B48" s="438"/>
      <c r="C48" s="1286" t="s">
        <v>1</v>
      </c>
      <c r="D48" s="1287"/>
      <c r="E48" s="1288"/>
      <c r="F48" s="1289"/>
      <c r="G48" s="1290"/>
      <c r="H48" s="1291"/>
      <c r="I48" s="1288"/>
      <c r="J48" s="443"/>
      <c r="K48" s="722"/>
      <c r="L48" s="2921"/>
      <c r="M48" s="2913"/>
      <c r="N48" s="2913"/>
      <c r="O48" s="2913"/>
      <c r="P48" s="3445" t="str">
        <f>A48</f>
        <v>成交单价（元/平方米）</v>
      </c>
      <c r="Q48" s="3463"/>
      <c r="R48" s="3464">
        <f>E48</f>
        <v>0</v>
      </c>
      <c r="S48" s="3464"/>
      <c r="T48" s="3464">
        <f>G48</f>
        <v>0</v>
      </c>
      <c r="U48" s="3464"/>
      <c r="V48" s="3464">
        <f>I48</f>
        <v>0</v>
      </c>
      <c r="W48" s="3464"/>
      <c r="X48" s="404"/>
      <c r="Y48" s="720"/>
      <c r="Z48" s="404"/>
      <c r="AA48" s="404"/>
      <c r="AB48" s="404"/>
      <c r="AC48" s="585"/>
    </row>
    <row r="49" spans="1:29" ht="15.75" thickBot="1">
      <c r="A49" s="444" t="s">
        <v>2429</v>
      </c>
      <c r="B49" s="445"/>
      <c r="C49" s="1292" t="e">
        <f>R50</f>
        <v>#DIV/0!</v>
      </c>
      <c r="D49" s="2506" t="s">
        <v>2820</v>
      </c>
      <c r="E49" s="1293" t="e">
        <f>R49</f>
        <v>#DIV/0!</v>
      </c>
      <c r="F49" s="2507"/>
      <c r="G49" s="1292" t="e">
        <f>T49</f>
        <v>#DIV/0!</v>
      </c>
      <c r="H49" s="2507"/>
      <c r="I49" s="1293" t="e">
        <f>V49</f>
        <v>#DIV/0!</v>
      </c>
      <c r="J49" s="2507"/>
      <c r="K49" s="2509">
        <f>F49+H49+J49</f>
        <v>0</v>
      </c>
      <c r="L49" s="2921"/>
      <c r="M49" s="2913"/>
      <c r="N49" s="2913"/>
      <c r="O49" s="2913"/>
      <c r="P49" s="3445" t="str">
        <f>A49</f>
        <v>比较价值（元/平方米）</v>
      </c>
      <c r="Q49" s="3463"/>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404"/>
      <c r="Y49" s="404"/>
      <c r="Z49" s="404"/>
      <c r="AA49" s="404"/>
      <c r="AB49" s="404"/>
      <c r="AC49" s="585"/>
    </row>
    <row r="50" spans="1:29" ht="15.75" thickBot="1">
      <c r="A50" s="448" t="s">
        <v>2430</v>
      </c>
      <c r="B50" s="449"/>
      <c r="C50" s="1295" t="e">
        <f>R50</f>
        <v>#DIV/0!</v>
      </c>
      <c r="D50" s="1295"/>
      <c r="E50" s="1295"/>
      <c r="F50" s="1295"/>
      <c r="G50" s="1295"/>
      <c r="H50" s="1295"/>
      <c r="I50" s="1295"/>
      <c r="J50" s="450"/>
      <c r="K50" s="723"/>
      <c r="L50" s="2921"/>
      <c r="M50" s="2913"/>
      <c r="N50" s="2913"/>
      <c r="O50" s="2913"/>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2434</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2308</v>
      </c>
      <c r="B59" s="462"/>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6"/>
      <c r="Q59" s="2938"/>
      <c r="R59" s="2938"/>
      <c r="S59" s="2938"/>
      <c r="T59" s="2938"/>
      <c r="U59" s="2938"/>
      <c r="V59" s="2938"/>
      <c r="W59" s="2938"/>
      <c r="X59" s="2938"/>
      <c r="Y59" s="2938"/>
      <c r="Z59" s="2938"/>
      <c r="AA59" s="2938"/>
      <c r="AB59" s="2938"/>
      <c r="AC59" s="2938"/>
    </row>
    <row r="60" spans="1:29" s="113"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3" customFormat="1" ht="15.75" thickBot="1">
      <c r="A61" s="471" t="s">
        <v>2345</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3" customFormat="1" ht="15">
      <c r="A62" s="477" t="s">
        <v>2310</v>
      </c>
      <c r="B62" s="466"/>
      <c r="C62" s="478" t="s">
        <v>2412</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3"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2348</v>
      </c>
      <c r="B64" s="484" t="s">
        <v>2314</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2317</v>
      </c>
      <c r="C66" s="495" t="s">
        <v>2349</v>
      </c>
      <c r="D66" s="495" t="s">
        <v>2350</v>
      </c>
      <c r="E66" s="495" t="s">
        <v>2351</v>
      </c>
      <c r="F66" s="495" t="s">
        <v>2352</v>
      </c>
      <c r="G66" s="495" t="s">
        <v>2353</v>
      </c>
      <c r="H66" s="495" t="s">
        <v>2354</v>
      </c>
      <c r="I66" s="495" t="s">
        <v>2355</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2319</v>
      </c>
      <c r="B77" s="484" t="s">
        <v>2457</v>
      </c>
      <c r="C77" s="529" t="s">
        <v>2357</v>
      </c>
      <c r="D77" s="529" t="s">
        <v>2358</v>
      </c>
      <c r="E77" s="529" t="s">
        <v>2359</v>
      </c>
      <c r="F77" s="529" t="s">
        <v>2360</v>
      </c>
      <c r="G77" s="529" t="s">
        <v>2361</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2362</v>
      </c>
      <c r="C79" s="534" t="s">
        <v>2357</v>
      </c>
      <c r="D79" s="534" t="s">
        <v>2358</v>
      </c>
      <c r="E79" s="534" t="s">
        <v>2359</v>
      </c>
      <c r="F79" s="534" t="s">
        <v>2360</v>
      </c>
      <c r="G79" s="534" t="s">
        <v>2361</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2363</v>
      </c>
      <c r="C81" s="534" t="s">
        <v>2357</v>
      </c>
      <c r="D81" s="534" t="s">
        <v>2358</v>
      </c>
      <c r="E81" s="534" t="s">
        <v>2359</v>
      </c>
      <c r="F81" s="534" t="s">
        <v>2360</v>
      </c>
      <c r="G81" s="534" t="s">
        <v>2361</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2449</v>
      </c>
      <c r="C83" s="615" t="s">
        <v>2435</v>
      </c>
      <c r="D83" s="615" t="s">
        <v>2436</v>
      </c>
      <c r="E83" s="615" t="s">
        <v>2437</v>
      </c>
      <c r="F83" s="615" t="s">
        <v>2438</v>
      </c>
      <c r="G83" s="615" t="s">
        <v>2439</v>
      </c>
      <c r="H83" s="495"/>
      <c r="I83" s="495"/>
      <c r="J83" s="495"/>
      <c r="K83" s="495"/>
      <c r="L83" s="495"/>
      <c r="M83" s="1261"/>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2458</v>
      </c>
      <c r="C85" s="534" t="s">
        <v>2357</v>
      </c>
      <c r="D85" s="534" t="s">
        <v>2358</v>
      </c>
      <c r="E85" s="534" t="s">
        <v>2359</v>
      </c>
      <c r="F85" s="534" t="s">
        <v>2360</v>
      </c>
      <c r="G85" s="534" t="s">
        <v>2361</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3" customFormat="1" ht="27.75" thickTop="1">
      <c r="A87" s="535"/>
      <c r="B87" s="494" t="s">
        <v>2459</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2323</v>
      </c>
      <c r="B101" s="484" t="s">
        <v>2372</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2374</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2376</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2460</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2377</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2378</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2461</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2444</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2380</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2381</v>
      </c>
      <c r="C125" s="534" t="s">
        <v>2357</v>
      </c>
      <c r="D125" s="534" t="s">
        <v>2358</v>
      </c>
      <c r="E125" s="534" t="s">
        <v>2359</v>
      </c>
      <c r="F125" s="534" t="s">
        <v>2360</v>
      </c>
      <c r="G125" s="534" t="s">
        <v>2361</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54">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估价对象为北京市房地产，为所有。根据《国有土地使用证》[]，估价对象（分摊）出让国有建设用地使用权面积为13382.273平方米，建筑面积为24804.47平方米。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估价对象为北京市房地产,属开发建设的，该项目尚在开发建设中。根据《国有土地使用证》[]，估价对象（分摊）出让国有建设用地使用权面积为13382.273平方米，规划建筑面积为24804.47平方米。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2022年3月22日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2288</v>
      </c>
      <c r="B1" s="2111" t="s">
        <v>2462</v>
      </c>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6" t="e">
        <f ca="1">IF(C2="——",ROUND(C43*D3/10000,0),ROUND(C43*D3/10000,0)-D2)</f>
        <v>#DIV/0!</v>
      </c>
      <c r="C2" s="2035"/>
      <c r="D2" s="1037" t="e">
        <f ca="1">SUMIF(INDIRECT("'"&amp;F2&amp;"'"&amp;"!A:A"),"承租人权益价值",INDIRECT("'"&amp;F2&amp;"'"&amp;"!c:c"))</f>
        <v>#REF!</v>
      </c>
      <c r="E2" s="2036" t="s">
        <v>2088</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2089</v>
      </c>
      <c r="B3" s="565" t="e">
        <f ca="1">IF(C2="——",C43,ROUND(B2*10000/D3,0))</f>
        <v>#DIV/0!</v>
      </c>
      <c r="C3" s="359" t="s">
        <v>2404</v>
      </c>
      <c r="D3" s="358">
        <f>IF(D1="",'数据-汇总表'!E3,SUMIF('数据-汇总表'!$C19:$C33,D1,'数据-汇总表'!$E19:$E33))</f>
        <v>24804.469999999998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2405</v>
      </c>
      <c r="B4" s="361"/>
      <c r="C4" s="3446" t="s">
        <v>2406</v>
      </c>
      <c r="D4" s="3447"/>
      <c r="E4" s="3448" t="s">
        <v>2407</v>
      </c>
      <c r="F4" s="3449"/>
      <c r="G4" s="3446" t="s">
        <v>2408</v>
      </c>
      <c r="H4" s="3447"/>
      <c r="I4" s="3446" t="s">
        <v>2409</v>
      </c>
      <c r="J4" s="3447"/>
      <c r="K4" s="566" t="s">
        <v>2410</v>
      </c>
      <c r="L4" s="1043"/>
      <c r="M4" s="1044"/>
      <c r="N4" s="1044"/>
      <c r="O4" s="1044"/>
      <c r="P4" s="3450" t="s">
        <v>2411</v>
      </c>
      <c r="Q4" s="3451"/>
      <c r="R4" s="3433" t="s">
        <v>2407</v>
      </c>
      <c r="S4" s="3434"/>
      <c r="T4" s="3433" t="s">
        <v>2408</v>
      </c>
      <c r="U4" s="3434"/>
      <c r="V4" s="3458" t="s">
        <v>2409</v>
      </c>
      <c r="W4" s="3458"/>
      <c r="X4" s="1507"/>
      <c r="Y4" s="3433" t="s">
        <v>2411</v>
      </c>
      <c r="Z4" s="3434"/>
      <c r="AA4" s="3428" t="s">
        <v>2407</v>
      </c>
      <c r="AB4" s="3429" t="s">
        <v>2408</v>
      </c>
      <c r="AC4" s="3428" t="s">
        <v>2409</v>
      </c>
    </row>
    <row r="5" spans="1:29" ht="15">
      <c r="A5" s="363"/>
      <c r="B5" s="364"/>
      <c r="C5" s="3439" t="s">
        <v>2302</v>
      </c>
      <c r="D5" s="3440"/>
      <c r="E5" s="3437" t="s">
        <v>2303</v>
      </c>
      <c r="F5" s="3438"/>
      <c r="G5" s="3439" t="s">
        <v>2304</v>
      </c>
      <c r="H5" s="3440"/>
      <c r="I5" s="3439" t="s">
        <v>2305</v>
      </c>
      <c r="J5" s="3440"/>
      <c r="K5" s="566"/>
      <c r="L5" s="1043"/>
      <c r="M5" s="1044"/>
      <c r="N5" s="1044"/>
      <c r="O5" s="1044"/>
      <c r="P5" s="3452"/>
      <c r="Q5" s="3453"/>
      <c r="R5" s="3435"/>
      <c r="S5" s="3436"/>
      <c r="T5" s="3435"/>
      <c r="U5" s="3436"/>
      <c r="V5" s="3458"/>
      <c r="W5" s="3458"/>
      <c r="X5" s="1507"/>
      <c r="Y5" s="3435"/>
      <c r="Z5" s="3436"/>
      <c r="AA5" s="3429"/>
      <c r="AB5" s="3429"/>
      <c r="AC5" s="3429"/>
    </row>
    <row r="6" spans="1:29" ht="15.75" thickBot="1">
      <c r="A6" s="365"/>
      <c r="B6" s="366"/>
      <c r="C6" s="3441" t="s">
        <v>2306</v>
      </c>
      <c r="D6" s="3442"/>
      <c r="E6" s="3443" t="s">
        <v>2306</v>
      </c>
      <c r="F6" s="3444"/>
      <c r="G6" s="3441" t="s">
        <v>2306</v>
      </c>
      <c r="H6" s="3442"/>
      <c r="I6" s="3441" t="s">
        <v>2306</v>
      </c>
      <c r="J6" s="3442"/>
      <c r="K6" s="566" t="s">
        <v>2307</v>
      </c>
      <c r="L6" s="1043"/>
      <c r="M6" s="1044"/>
      <c r="N6" s="1044"/>
      <c r="O6" s="1044"/>
      <c r="P6" s="3454"/>
      <c r="Q6" s="3455"/>
      <c r="R6" s="3435"/>
      <c r="S6" s="3436"/>
      <c r="T6" s="3456"/>
      <c r="U6" s="3457"/>
      <c r="V6" s="3458"/>
      <c r="W6" s="3458"/>
      <c r="X6" s="1507"/>
      <c r="Y6" s="3456"/>
      <c r="Z6" s="3457"/>
      <c r="AA6" s="3430"/>
      <c r="AB6" s="3430"/>
      <c r="AC6" s="3430"/>
    </row>
    <row r="7" spans="1:29" s="113" customFormat="1" ht="15.75" thickBot="1">
      <c r="A7" s="367" t="s">
        <v>2308</v>
      </c>
      <c r="B7" s="368"/>
      <c r="C7" s="369">
        <f>'数据-取费表'!B2</f>
        <v>44642</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31" t="s">
        <v>2309</v>
      </c>
      <c r="Q7" s="3459"/>
      <c r="R7" s="709" t="s">
        <v>17</v>
      </c>
      <c r="S7" s="710">
        <f t="shared" ref="S7:S15" si="0">F7</f>
        <v>0</v>
      </c>
      <c r="T7" s="709" t="s">
        <v>17</v>
      </c>
      <c r="U7" s="710">
        <f t="shared" ref="U7:U15" si="1">H7</f>
        <v>0</v>
      </c>
      <c r="V7" s="709" t="s">
        <v>17</v>
      </c>
      <c r="W7" s="710">
        <f t="shared" ref="W7:W15" si="2">J7</f>
        <v>0</v>
      </c>
      <c r="X7" s="711"/>
      <c r="Y7" s="3431" t="s">
        <v>2309</v>
      </c>
      <c r="Z7" s="3432"/>
      <c r="AA7" s="712" t="e">
        <f>D7/F7</f>
        <v>#DIV/0!</v>
      </c>
      <c r="AB7" s="712" t="e">
        <f>D7/H7</f>
        <v>#DIV/0!</v>
      </c>
      <c r="AC7" s="712" t="e">
        <f>D7/J7</f>
        <v>#DIV/0!</v>
      </c>
    </row>
    <row r="8" spans="1:29" s="113" customFormat="1" ht="15.75" thickBot="1">
      <c r="A8" s="367" t="s">
        <v>2310</v>
      </c>
      <c r="B8" s="368"/>
      <c r="C8" s="373" t="s">
        <v>2311</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31" t="s">
        <v>2312</v>
      </c>
      <c r="Q8" s="3432"/>
      <c r="R8" s="709" t="s">
        <v>17</v>
      </c>
      <c r="S8" s="710">
        <f t="shared" si="0"/>
        <v>0</v>
      </c>
      <c r="T8" s="709" t="s">
        <v>17</v>
      </c>
      <c r="U8" s="710">
        <f t="shared" si="1"/>
        <v>0</v>
      </c>
      <c r="V8" s="709" t="s">
        <v>17</v>
      </c>
      <c r="W8" s="710">
        <f t="shared" si="2"/>
        <v>0</v>
      </c>
      <c r="X8" s="711"/>
      <c r="Y8" s="3431" t="s">
        <v>2312</v>
      </c>
      <c r="Z8" s="3432"/>
      <c r="AA8" s="712" t="e">
        <f t="shared" ref="AA8:AA40" si="3">D8/F8</f>
        <v>#DIV/0!</v>
      </c>
      <c r="AB8" s="712" t="e">
        <f t="shared" ref="AB8:AB40" si="4">D8/H8</f>
        <v>#DIV/0!</v>
      </c>
      <c r="AC8" s="712" t="e">
        <f t="shared" ref="AC8:AC40" si="5">D8/J8</f>
        <v>#DIV/0!</v>
      </c>
    </row>
    <row r="9" spans="1:29" s="113" customFormat="1">
      <c r="A9" s="374" t="s">
        <v>2313</v>
      </c>
      <c r="B9" s="67" t="s">
        <v>2314</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63" t="s">
        <v>2315</v>
      </c>
      <c r="Q9" s="1495" t="str">
        <f t="shared" ref="Q9:Q15" si="6">B9</f>
        <v>用途</v>
      </c>
      <c r="R9" s="709" t="s">
        <v>17</v>
      </c>
      <c r="S9" s="710">
        <f t="shared" si="0"/>
        <v>100</v>
      </c>
      <c r="T9" s="709" t="s">
        <v>17</v>
      </c>
      <c r="U9" s="710">
        <f t="shared" si="1"/>
        <v>100</v>
      </c>
      <c r="V9" s="709" t="s">
        <v>17</v>
      </c>
      <c r="W9" s="710">
        <f t="shared" si="2"/>
        <v>100</v>
      </c>
      <c r="X9" s="711"/>
      <c r="Y9" s="3375" t="s">
        <v>2316</v>
      </c>
      <c r="Z9" s="55" t="str">
        <f t="shared" ref="Z9:Z15" si="7">Q9</f>
        <v>用途</v>
      </c>
      <c r="AA9" s="712">
        <f t="shared" si="3"/>
        <v>1</v>
      </c>
      <c r="AB9" s="712">
        <f t="shared" si="4"/>
        <v>1</v>
      </c>
      <c r="AC9" s="712">
        <f t="shared" si="5"/>
        <v>1</v>
      </c>
    </row>
    <row r="10" spans="1:29" s="385" customFormat="1" ht="27">
      <c r="A10" s="379"/>
      <c r="B10" s="380" t="s">
        <v>2317</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63"/>
      <c r="Q10" s="1495" t="str">
        <f t="shared" si="6"/>
        <v>土地使用年限（年）</v>
      </c>
      <c r="R10" s="709" t="s">
        <v>17</v>
      </c>
      <c r="S10" s="710">
        <f t="shared" si="0"/>
        <v>100</v>
      </c>
      <c r="T10" s="709" t="s">
        <v>17</v>
      </c>
      <c r="U10" s="710">
        <f t="shared" si="1"/>
        <v>100</v>
      </c>
      <c r="V10" s="709" t="s">
        <v>17</v>
      </c>
      <c r="W10" s="710">
        <f t="shared" si="2"/>
        <v>100</v>
      </c>
      <c r="X10" s="711"/>
      <c r="Y10" s="3375"/>
      <c r="Z10" s="55" t="str">
        <f t="shared" si="7"/>
        <v>土地使用年限（年）</v>
      </c>
      <c r="AA10" s="712">
        <f t="shared" si="3"/>
        <v>1</v>
      </c>
      <c r="AB10" s="712">
        <f t="shared" si="4"/>
        <v>1</v>
      </c>
      <c r="AC10" s="712">
        <f t="shared" si="5"/>
        <v>1</v>
      </c>
    </row>
    <row r="11" spans="1:29" ht="15">
      <c r="A11" s="386"/>
      <c r="B11" s="380" t="s">
        <v>2318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63"/>
      <c r="Q11" s="1495" t="str">
        <f t="shared" si="6"/>
        <v>容积率</v>
      </c>
      <c r="R11" s="709" t="s">
        <v>17</v>
      </c>
      <c r="S11" s="710" t="e">
        <f t="shared" si="0"/>
        <v>#N/A</v>
      </c>
      <c r="T11" s="709" t="s">
        <v>17</v>
      </c>
      <c r="U11" s="710" t="e">
        <f t="shared" si="1"/>
        <v>#N/A</v>
      </c>
      <c r="V11" s="709" t="s">
        <v>17</v>
      </c>
      <c r="W11" s="710" t="e">
        <f t="shared" si="2"/>
        <v>#N/A</v>
      </c>
      <c r="X11" s="711"/>
      <c r="Y11" s="3375"/>
      <c r="Z11" s="55" t="str">
        <f t="shared" si="7"/>
        <v>容积率</v>
      </c>
      <c r="AA11" s="712" t="e">
        <f t="shared" si="3"/>
        <v>#N/A</v>
      </c>
      <c r="AB11" s="712" t="e">
        <f t="shared" si="4"/>
        <v>#N/A</v>
      </c>
      <c r="AC11" s="712" t="e">
        <f t="shared" si="5"/>
        <v>#N/A</v>
      </c>
    </row>
    <row r="12" spans="1:29" s="113"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63"/>
      <c r="Q12" s="1495">
        <f t="shared" si="6"/>
        <v>111</v>
      </c>
      <c r="R12" s="709" t="s">
        <v>17</v>
      </c>
      <c r="S12" s="710">
        <f t="shared" si="0"/>
        <v>100</v>
      </c>
      <c r="T12" s="709" t="s">
        <v>17</v>
      </c>
      <c r="U12" s="710">
        <f t="shared" si="1"/>
        <v>100</v>
      </c>
      <c r="V12" s="709" t="s">
        <v>17</v>
      </c>
      <c r="W12" s="710">
        <f t="shared" si="2"/>
        <v>100</v>
      </c>
      <c r="X12" s="711"/>
      <c r="Y12" s="3375"/>
      <c r="Z12" s="55">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63"/>
      <c r="Q13" s="1495">
        <f t="shared" si="6"/>
        <v>111</v>
      </c>
      <c r="R13" s="709" t="s">
        <v>17</v>
      </c>
      <c r="S13" s="710">
        <f t="shared" si="0"/>
        <v>100</v>
      </c>
      <c r="T13" s="709" t="s">
        <v>17</v>
      </c>
      <c r="U13" s="710">
        <f t="shared" si="1"/>
        <v>100</v>
      </c>
      <c r="V13" s="709" t="s">
        <v>17</v>
      </c>
      <c r="W13" s="710">
        <f t="shared" si="2"/>
        <v>100</v>
      </c>
      <c r="X13" s="711"/>
      <c r="Y13" s="3375"/>
      <c r="Z13" s="55">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63"/>
      <c r="Q14" s="1495">
        <f t="shared" si="6"/>
        <v>111</v>
      </c>
      <c r="R14" s="709" t="s">
        <v>17</v>
      </c>
      <c r="S14" s="710">
        <f t="shared" si="0"/>
        <v>100</v>
      </c>
      <c r="T14" s="709" t="s">
        <v>17</v>
      </c>
      <c r="U14" s="710">
        <f t="shared" si="1"/>
        <v>100</v>
      </c>
      <c r="V14" s="709" t="s">
        <v>17</v>
      </c>
      <c r="W14" s="710">
        <f t="shared" si="2"/>
        <v>100</v>
      </c>
      <c r="X14" s="711"/>
      <c r="Y14" s="3375"/>
      <c r="Z14" s="55">
        <f t="shared" si="7"/>
        <v>111</v>
      </c>
      <c r="AA14" s="712">
        <f t="shared" si="3"/>
        <v>1</v>
      </c>
      <c r="AB14" s="712">
        <f t="shared" si="4"/>
        <v>1</v>
      </c>
      <c r="AC14" s="712">
        <f t="shared" si="5"/>
        <v>1</v>
      </c>
    </row>
    <row r="15" spans="1:29" ht="57">
      <c r="A15" s="398" t="s">
        <v>2319</v>
      </c>
      <c r="B15" s="65" t="s">
        <v>2463</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65" t="s">
        <v>2320</v>
      </c>
      <c r="Q15" s="1504" t="str">
        <f t="shared" si="6"/>
        <v>产业集聚程度</v>
      </c>
      <c r="R15" s="713" t="s">
        <v>17</v>
      </c>
      <c r="S15" s="714">
        <f t="shared" si="0"/>
        <v>100</v>
      </c>
      <c r="T15" s="713" t="s">
        <v>17</v>
      </c>
      <c r="U15" s="714">
        <f t="shared" si="1"/>
        <v>100</v>
      </c>
      <c r="V15" s="713" t="s">
        <v>17</v>
      </c>
      <c r="W15" s="714">
        <f t="shared" si="2"/>
        <v>100</v>
      </c>
      <c r="X15" s="1507"/>
      <c r="Y15" s="3465" t="s">
        <v>2320</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66"/>
      <c r="Q16" s="1504"/>
      <c r="R16" s="713"/>
      <c r="S16" s="714"/>
      <c r="T16" s="713"/>
      <c r="U16" s="714"/>
      <c r="V16" s="713"/>
      <c r="W16" s="714"/>
      <c r="X16" s="1507"/>
      <c r="Y16" s="3466"/>
      <c r="Z16" s="1508"/>
      <c r="AA16" s="1505">
        <v>1</v>
      </c>
      <c r="AB16" s="1505">
        <v>1</v>
      </c>
      <c r="AC16" s="1505">
        <v>1</v>
      </c>
    </row>
    <row r="17" spans="1:29" ht="85.5">
      <c r="A17" s="386"/>
      <c r="B17" s="409" t="s">
        <v>1884</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66"/>
      <c r="Q17" s="1504" t="str">
        <f>B17</f>
        <v>交通便捷度</v>
      </c>
      <c r="R17" s="713" t="s">
        <v>17</v>
      </c>
      <c r="S17" s="714">
        <f>F17</f>
        <v>100</v>
      </c>
      <c r="T17" s="713" t="s">
        <v>17</v>
      </c>
      <c r="U17" s="714">
        <f>H17</f>
        <v>100</v>
      </c>
      <c r="V17" s="713" t="s">
        <v>17</v>
      </c>
      <c r="W17" s="714">
        <f>J17</f>
        <v>100</v>
      </c>
      <c r="X17" s="1507"/>
      <c r="Y17" s="3466"/>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66"/>
      <c r="Q18" s="1504"/>
      <c r="R18" s="713"/>
      <c r="S18" s="714"/>
      <c r="T18" s="713"/>
      <c r="U18" s="714"/>
      <c r="V18" s="713"/>
      <c r="W18" s="714"/>
      <c r="X18" s="1507"/>
      <c r="Y18" s="3466"/>
      <c r="Z18" s="1508"/>
      <c r="AA18" s="1505">
        <v>1</v>
      </c>
      <c r="AB18" s="1505">
        <v>1</v>
      </c>
      <c r="AC18" s="1505">
        <v>1</v>
      </c>
    </row>
    <row r="19" spans="1:29" ht="42.75">
      <c r="A19" s="386"/>
      <c r="B19" s="409" t="s">
        <v>2448</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66"/>
      <c r="Q19" s="1504" t="str">
        <f>B19</f>
        <v>公共配套设施</v>
      </c>
      <c r="R19" s="713" t="s">
        <v>17</v>
      </c>
      <c r="S19" s="714">
        <f>F19</f>
        <v>100</v>
      </c>
      <c r="T19" s="713" t="s">
        <v>17</v>
      </c>
      <c r="U19" s="714">
        <f>H19</f>
        <v>100</v>
      </c>
      <c r="V19" s="713" t="s">
        <v>17</v>
      </c>
      <c r="W19" s="714">
        <f>J19</f>
        <v>100</v>
      </c>
      <c r="X19" s="1507"/>
      <c r="Y19" s="3466"/>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66"/>
      <c r="Q20" s="1504"/>
      <c r="R20" s="713"/>
      <c r="S20" s="714"/>
      <c r="T20" s="713"/>
      <c r="U20" s="714"/>
      <c r="V20" s="713"/>
      <c r="W20" s="714"/>
      <c r="X20" s="1507"/>
      <c r="Y20" s="3466"/>
      <c r="Z20" s="1508"/>
      <c r="AA20" s="1505">
        <v>1</v>
      </c>
      <c r="AB20" s="1505">
        <v>1</v>
      </c>
      <c r="AC20" s="1505">
        <v>1</v>
      </c>
    </row>
    <row r="21" spans="1:29" ht="28.5">
      <c r="A21" s="386"/>
      <c r="B21" s="1263" t="s">
        <v>2449</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66"/>
      <c r="Q21" s="1504" t="str">
        <f>B21</f>
        <v>基础设施水平</v>
      </c>
      <c r="R21" s="713" t="s">
        <v>17</v>
      </c>
      <c r="S21" s="714">
        <f>F21</f>
        <v>100</v>
      </c>
      <c r="T21" s="713" t="s">
        <v>17</v>
      </c>
      <c r="U21" s="714">
        <f>H21</f>
        <v>100</v>
      </c>
      <c r="V21" s="713" t="s">
        <v>17</v>
      </c>
      <c r="W21" s="714">
        <f>J21</f>
        <v>100</v>
      </c>
      <c r="X21" s="1507"/>
      <c r="Y21" s="3466"/>
      <c r="Z21" s="1508" t="str">
        <f>Q21</f>
        <v>基础设施水平</v>
      </c>
      <c r="AA21" s="1505">
        <f t="shared" ref="AA21" si="8">D21/F21</f>
        <v>1</v>
      </c>
      <c r="AB21" s="1505">
        <f t="shared" ref="AB21" si="9">D21/H21</f>
        <v>1</v>
      </c>
      <c r="AC21" s="1505">
        <f t="shared" ref="AC21" si="10">D21/J21</f>
        <v>1</v>
      </c>
    </row>
    <row r="22" spans="1:29" ht="15">
      <c r="A22" s="386"/>
      <c r="B22" s="1263"/>
      <c r="C22" s="2055"/>
      <c r="D22" s="406"/>
      <c r="E22" s="405"/>
      <c r="F22" s="407"/>
      <c r="G22" s="405"/>
      <c r="H22" s="406"/>
      <c r="I22" s="405"/>
      <c r="J22" s="406"/>
      <c r="K22" s="1262"/>
      <c r="L22" s="1053"/>
      <c r="M22" s="1044"/>
      <c r="N22" s="1044"/>
      <c r="O22" s="1052"/>
      <c r="P22" s="3466"/>
      <c r="Q22" s="1504"/>
      <c r="R22" s="713"/>
      <c r="S22" s="714"/>
      <c r="T22" s="713"/>
      <c r="U22" s="714"/>
      <c r="V22" s="713"/>
      <c r="W22" s="714"/>
      <c r="X22" s="1507"/>
      <c r="Y22" s="3466"/>
      <c r="Z22" s="1508"/>
      <c r="AA22" s="1505">
        <v>1</v>
      </c>
      <c r="AB22" s="1505">
        <v>1</v>
      </c>
      <c r="AC22" s="1505">
        <v>1</v>
      </c>
    </row>
    <row r="23" spans="1:29" ht="71.25">
      <c r="A23" s="386"/>
      <c r="B23" s="409" t="s">
        <v>2450</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66"/>
      <c r="Q23" s="1504" t="str">
        <f>B23</f>
        <v>环境质量</v>
      </c>
      <c r="R23" s="713" t="s">
        <v>17</v>
      </c>
      <c r="S23" s="714">
        <f>F23</f>
        <v>100</v>
      </c>
      <c r="T23" s="713" t="s">
        <v>17</v>
      </c>
      <c r="U23" s="714">
        <f>H23</f>
        <v>100</v>
      </c>
      <c r="V23" s="713" t="s">
        <v>17</v>
      </c>
      <c r="W23" s="714">
        <f>J23</f>
        <v>100</v>
      </c>
      <c r="X23" s="1507"/>
      <c r="Y23" s="3466"/>
      <c r="Z23" s="1508" t="str">
        <f>Q23</f>
        <v>环境质量</v>
      </c>
      <c r="AA23" s="1505">
        <f t="shared" si="3"/>
        <v>1</v>
      </c>
      <c r="AB23" s="1505">
        <f t="shared" si="4"/>
        <v>1</v>
      </c>
      <c r="AC23" s="1505">
        <f t="shared" si="5"/>
        <v>1</v>
      </c>
    </row>
    <row r="24" spans="1:29" ht="15">
      <c r="A24" s="386"/>
      <c r="B24" s="1263"/>
      <c r="C24" s="405"/>
      <c r="D24" s="406"/>
      <c r="E24" s="2052"/>
      <c r="F24" s="407"/>
      <c r="G24" s="2051"/>
      <c r="H24" s="406"/>
      <c r="I24" s="2052"/>
      <c r="J24" s="406"/>
      <c r="K24" s="571"/>
      <c r="L24" s="1053"/>
      <c r="M24" s="1044"/>
      <c r="N24" s="1044"/>
      <c r="O24" s="1052"/>
      <c r="P24" s="3466"/>
      <c r="Q24" s="1504"/>
      <c r="R24" s="713"/>
      <c r="S24" s="714"/>
      <c r="T24" s="713"/>
      <c r="U24" s="714"/>
      <c r="V24" s="713"/>
      <c r="W24" s="714"/>
      <c r="X24" s="1507"/>
      <c r="Y24" s="3466"/>
      <c r="Z24" s="1508"/>
      <c r="AA24" s="1505">
        <v>1</v>
      </c>
      <c r="AB24" s="1505">
        <v>1</v>
      </c>
      <c r="AC24" s="1505">
        <v>1</v>
      </c>
    </row>
    <row r="25" spans="1:29" ht="15">
      <c r="A25" s="363"/>
      <c r="B25" s="1265">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66"/>
      <c r="Q25" s="1504">
        <f>B25</f>
        <v>111</v>
      </c>
      <c r="R25" s="713" t="s">
        <v>17</v>
      </c>
      <c r="S25" s="714">
        <f>F25</f>
        <v>100</v>
      </c>
      <c r="T25" s="713" t="s">
        <v>17</v>
      </c>
      <c r="U25" s="714">
        <f>H25</f>
        <v>100</v>
      </c>
      <c r="V25" s="713" t="s">
        <v>17</v>
      </c>
      <c r="W25" s="714">
        <f>J25</f>
        <v>100</v>
      </c>
      <c r="X25" s="1507"/>
      <c r="Y25" s="3466"/>
      <c r="Z25" s="1508">
        <f>Q25</f>
        <v>111</v>
      </c>
      <c r="AA25" s="1505">
        <f t="shared" si="3"/>
        <v>1</v>
      </c>
      <c r="AB25" s="1505">
        <f t="shared" si="4"/>
        <v>1</v>
      </c>
      <c r="AC25" s="1505">
        <f t="shared" si="5"/>
        <v>1</v>
      </c>
    </row>
    <row r="26" spans="1:29" ht="15">
      <c r="A26" s="386"/>
      <c r="B26" s="1265">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66"/>
      <c r="Q26" s="1504">
        <f t="shared" ref="Q26:Q40" si="11">B26</f>
        <v>111</v>
      </c>
      <c r="R26" s="713" t="s">
        <v>17</v>
      </c>
      <c r="S26" s="714">
        <f>F26</f>
        <v>100</v>
      </c>
      <c r="T26" s="713" t="s">
        <v>17</v>
      </c>
      <c r="U26" s="714">
        <f>H26</f>
        <v>100</v>
      </c>
      <c r="V26" s="713" t="s">
        <v>17</v>
      </c>
      <c r="W26" s="714">
        <f>J26</f>
        <v>100</v>
      </c>
      <c r="X26" s="1507"/>
      <c r="Y26" s="3466"/>
      <c r="Z26" s="1508">
        <f>Q26</f>
        <v>111</v>
      </c>
      <c r="AA26" s="1505">
        <f t="shared" si="3"/>
        <v>1</v>
      </c>
      <c r="AB26" s="1505">
        <f t="shared" si="4"/>
        <v>1</v>
      </c>
      <c r="AC26" s="1505">
        <f t="shared" si="5"/>
        <v>1</v>
      </c>
    </row>
    <row r="27" spans="1:29" s="113" customFormat="1" ht="15">
      <c r="A27" s="389"/>
      <c r="B27" s="1265">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66"/>
      <c r="Q27" s="1495">
        <f t="shared" si="11"/>
        <v>111</v>
      </c>
      <c r="R27" s="709" t="s">
        <v>17</v>
      </c>
      <c r="S27" s="710">
        <f>F27</f>
        <v>100</v>
      </c>
      <c r="T27" s="709" t="s">
        <v>17</v>
      </c>
      <c r="U27" s="710">
        <f>H27</f>
        <v>100</v>
      </c>
      <c r="V27" s="709" t="s">
        <v>17</v>
      </c>
      <c r="W27" s="710">
        <f>J27</f>
        <v>100</v>
      </c>
      <c r="X27" s="711"/>
      <c r="Y27" s="3466"/>
      <c r="Z27" s="55">
        <f>Q27</f>
        <v>111</v>
      </c>
      <c r="AA27" s="1505">
        <f>D27/F27</f>
        <v>1</v>
      </c>
      <c r="AB27" s="1505">
        <f>D27/H27</f>
        <v>1</v>
      </c>
      <c r="AC27" s="1505">
        <f>D27/J27</f>
        <v>1</v>
      </c>
    </row>
    <row r="28" spans="1:29" ht="15.75" thickBot="1">
      <c r="A28" s="394"/>
      <c r="B28" s="1265">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66"/>
      <c r="Q28" s="1504">
        <f t="shared" si="11"/>
        <v>111</v>
      </c>
      <c r="R28" s="713" t="s">
        <v>17</v>
      </c>
      <c r="S28" s="714">
        <f t="shared" ref="S28:S40" si="12">F28</f>
        <v>100</v>
      </c>
      <c r="T28" s="713" t="s">
        <v>17</v>
      </c>
      <c r="U28" s="714">
        <f t="shared" ref="U28:U40" si="13">H28</f>
        <v>100</v>
      </c>
      <c r="V28" s="713" t="s">
        <v>17</v>
      </c>
      <c r="W28" s="714">
        <f t="shared" ref="W28:W40" si="14">J28</f>
        <v>100</v>
      </c>
      <c r="X28" s="1507"/>
      <c r="Y28" s="3466"/>
      <c r="Z28" s="1508">
        <f t="shared" ref="Z28:Z40" si="15">Q28</f>
        <v>111</v>
      </c>
      <c r="AA28" s="1505">
        <f t="shared" si="3"/>
        <v>1</v>
      </c>
      <c r="AB28" s="1505">
        <f t="shared" si="4"/>
        <v>1</v>
      </c>
      <c r="AC28" s="1505">
        <f t="shared" si="5"/>
        <v>1</v>
      </c>
    </row>
    <row r="29" spans="1:29" ht="28.5">
      <c r="A29" s="424" t="s">
        <v>2323</v>
      </c>
      <c r="B29" s="67" t="s">
        <v>2453</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489" t="s">
        <v>2325</v>
      </c>
      <c r="Q29" s="1504" t="str">
        <f t="shared" si="11"/>
        <v>建筑类型</v>
      </c>
      <c r="R29" s="713" t="s">
        <v>17</v>
      </c>
      <c r="S29" s="714">
        <f t="shared" si="12"/>
        <v>100</v>
      </c>
      <c r="T29" s="713" t="s">
        <v>17</v>
      </c>
      <c r="U29" s="714">
        <f t="shared" si="13"/>
        <v>100</v>
      </c>
      <c r="V29" s="713" t="s">
        <v>17</v>
      </c>
      <c r="W29" s="714">
        <f t="shared" si="14"/>
        <v>100</v>
      </c>
      <c r="X29" s="1507"/>
      <c r="Y29" s="3470" t="s">
        <v>2325</v>
      </c>
      <c r="Z29" s="1508" t="str">
        <f t="shared" si="15"/>
        <v>建筑类型</v>
      </c>
      <c r="AA29" s="1505">
        <f t="shared" si="3"/>
        <v>1</v>
      </c>
      <c r="AB29" s="1505">
        <f t="shared" si="4"/>
        <v>1</v>
      </c>
      <c r="AC29" s="1505">
        <f t="shared" si="5"/>
        <v>1</v>
      </c>
    </row>
    <row r="30" spans="1:29" s="429" customFormat="1" ht="15">
      <c r="A30" s="426"/>
      <c r="B30" s="380" t="s">
        <v>2326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70"/>
      <c r="Q30" s="715" t="str">
        <f t="shared" si="11"/>
        <v>项目建筑规模</v>
      </c>
      <c r="R30" s="716" t="s">
        <v>17</v>
      </c>
      <c r="S30" s="717" t="e">
        <f t="shared" si="12"/>
        <v>#N/A</v>
      </c>
      <c r="T30" s="716" t="s">
        <v>17</v>
      </c>
      <c r="U30" s="717" t="e">
        <f t="shared" si="13"/>
        <v>#N/A</v>
      </c>
      <c r="V30" s="716" t="s">
        <v>17</v>
      </c>
      <c r="W30" s="717" t="e">
        <f t="shared" si="14"/>
        <v>#N/A</v>
      </c>
      <c r="X30" s="718"/>
      <c r="Y30" s="3470"/>
      <c r="Z30" s="719" t="str">
        <f t="shared" si="15"/>
        <v>项目建筑规模</v>
      </c>
      <c r="AA30" s="1505" t="e">
        <f t="shared" si="3"/>
        <v>#N/A</v>
      </c>
      <c r="AB30" s="1505" t="e">
        <f t="shared" si="4"/>
        <v>#N/A</v>
      </c>
      <c r="AC30" s="1505" t="e">
        <f t="shared" si="5"/>
        <v>#N/A</v>
      </c>
    </row>
    <row r="31" spans="1:29" ht="15">
      <c r="A31" s="430"/>
      <c r="B31" s="380" t="s">
        <v>2327</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70"/>
      <c r="Q31" s="1504" t="str">
        <f t="shared" si="11"/>
        <v>建筑结构</v>
      </c>
      <c r="R31" s="713" t="s">
        <v>17</v>
      </c>
      <c r="S31" s="714">
        <f t="shared" si="12"/>
        <v>100</v>
      </c>
      <c r="T31" s="713" t="s">
        <v>17</v>
      </c>
      <c r="U31" s="714">
        <f t="shared" si="13"/>
        <v>100</v>
      </c>
      <c r="V31" s="713" t="s">
        <v>17</v>
      </c>
      <c r="W31" s="714">
        <f t="shared" si="14"/>
        <v>100</v>
      </c>
      <c r="X31" s="1507"/>
      <c r="Y31" s="3470"/>
      <c r="Z31" s="1508" t="str">
        <f t="shared" si="15"/>
        <v>建筑结构</v>
      </c>
      <c r="AA31" s="1505">
        <f t="shared" si="3"/>
        <v>1</v>
      </c>
      <c r="AB31" s="1505">
        <f t="shared" si="4"/>
        <v>1</v>
      </c>
      <c r="AC31" s="1505">
        <f t="shared" si="5"/>
        <v>1</v>
      </c>
    </row>
    <row r="32" spans="1:29" ht="15">
      <c r="A32" s="430"/>
      <c r="B32" s="380" t="s">
        <v>2421</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70"/>
      <c r="Q32" s="1504" t="str">
        <f t="shared" si="11"/>
        <v>公共部分装修</v>
      </c>
      <c r="R32" s="713" t="s">
        <v>17</v>
      </c>
      <c r="S32" s="714">
        <f t="shared" si="12"/>
        <v>100</v>
      </c>
      <c r="T32" s="713" t="s">
        <v>17</v>
      </c>
      <c r="U32" s="714">
        <f t="shared" si="13"/>
        <v>100</v>
      </c>
      <c r="V32" s="713" t="s">
        <v>17</v>
      </c>
      <c r="W32" s="714">
        <f t="shared" si="14"/>
        <v>100</v>
      </c>
      <c r="X32" s="1507"/>
      <c r="Y32" s="3470"/>
      <c r="Z32" s="1508" t="str">
        <f t="shared" si="15"/>
        <v>公共部分装修</v>
      </c>
      <c r="AA32" s="1505">
        <f t="shared" si="3"/>
        <v>1</v>
      </c>
      <c r="AB32" s="1505">
        <f t="shared" si="4"/>
        <v>1</v>
      </c>
      <c r="AC32" s="1505">
        <f t="shared" si="5"/>
        <v>1</v>
      </c>
    </row>
    <row r="33" spans="1:29" ht="15">
      <c r="A33" s="430"/>
      <c r="B33" s="380" t="s">
        <v>2422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70"/>
      <c r="Q33" s="1504" t="str">
        <f t="shared" si="11"/>
        <v>成新度</v>
      </c>
      <c r="R33" s="713" t="s">
        <v>17</v>
      </c>
      <c r="S33" s="714" t="e">
        <f t="shared" si="12"/>
        <v>#N/A</v>
      </c>
      <c r="T33" s="713" t="s">
        <v>17</v>
      </c>
      <c r="U33" s="714" t="e">
        <f t="shared" si="13"/>
        <v>#N/A</v>
      </c>
      <c r="V33" s="713" t="s">
        <v>17</v>
      </c>
      <c r="W33" s="714" t="e">
        <f t="shared" si="14"/>
        <v>#N/A</v>
      </c>
      <c r="X33" s="1507"/>
      <c r="Y33" s="3470"/>
      <c r="Z33" s="1508" t="str">
        <f t="shared" si="15"/>
        <v>成新度</v>
      </c>
      <c r="AA33" s="1505" t="e">
        <f t="shared" si="3"/>
        <v>#N/A</v>
      </c>
      <c r="AB33" s="1505" t="e">
        <f t="shared" si="4"/>
        <v>#N/A</v>
      </c>
      <c r="AC33" s="1505" t="e">
        <f t="shared" si="5"/>
        <v>#N/A</v>
      </c>
    </row>
    <row r="34" spans="1:29" s="113" customFormat="1" ht="15">
      <c r="A34" s="431"/>
      <c r="B34" s="380" t="s">
        <v>2455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70"/>
      <c r="Q34" s="1495" t="str">
        <f t="shared" si="11"/>
        <v>物业管理</v>
      </c>
      <c r="R34" s="709" t="s">
        <v>17</v>
      </c>
      <c r="S34" s="710">
        <f t="shared" si="12"/>
        <v>100</v>
      </c>
      <c r="T34" s="709" t="s">
        <v>17</v>
      </c>
      <c r="U34" s="710">
        <f t="shared" si="13"/>
        <v>100</v>
      </c>
      <c r="V34" s="709" t="s">
        <v>17</v>
      </c>
      <c r="W34" s="710">
        <f t="shared" si="14"/>
        <v>100</v>
      </c>
      <c r="X34" s="711"/>
      <c r="Y34" s="3470"/>
      <c r="Z34" s="55" t="str">
        <f t="shared" si="15"/>
        <v>物业管理</v>
      </c>
      <c r="AA34" s="712">
        <f t="shared" si="3"/>
        <v>1</v>
      </c>
      <c r="AB34" s="712">
        <f t="shared" si="4"/>
        <v>1</v>
      </c>
      <c r="AC34" s="712">
        <f t="shared" si="5"/>
        <v>1</v>
      </c>
    </row>
    <row r="35" spans="1:29" ht="15">
      <c r="A35" s="430"/>
      <c r="B35" s="380" t="s">
        <v>2423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70" t="s">
        <v>2325</v>
      </c>
      <c r="Q35" s="1504" t="str">
        <f t="shared" si="11"/>
        <v>市政基础设施</v>
      </c>
      <c r="R35" s="713" t="s">
        <v>17</v>
      </c>
      <c r="S35" s="714">
        <f t="shared" si="12"/>
        <v>100</v>
      </c>
      <c r="T35" s="713" t="s">
        <v>17</v>
      </c>
      <c r="U35" s="714">
        <f t="shared" si="13"/>
        <v>100</v>
      </c>
      <c r="V35" s="713" t="s">
        <v>17</v>
      </c>
      <c r="W35" s="714">
        <f t="shared" si="14"/>
        <v>100</v>
      </c>
      <c r="X35" s="1507"/>
      <c r="Y35" s="3470" t="s">
        <v>2325</v>
      </c>
      <c r="Z35" s="1508" t="str">
        <f t="shared" si="15"/>
        <v>市政基础设施</v>
      </c>
      <c r="AA35" s="1505">
        <f t="shared" si="3"/>
        <v>1</v>
      </c>
      <c r="AB35" s="1505">
        <f t="shared" si="4"/>
        <v>1</v>
      </c>
      <c r="AC35" s="1505">
        <f t="shared" si="5"/>
        <v>1</v>
      </c>
    </row>
    <row r="36" spans="1:29" ht="15">
      <c r="A36" s="430"/>
      <c r="B36" s="380" t="s">
        <v>2428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70"/>
      <c r="Q36" s="1504" t="str">
        <f t="shared" si="11"/>
        <v>内部装修</v>
      </c>
      <c r="R36" s="713" t="s">
        <v>17</v>
      </c>
      <c r="S36" s="714">
        <f t="shared" si="12"/>
        <v>100</v>
      </c>
      <c r="T36" s="713" t="s">
        <v>17</v>
      </c>
      <c r="U36" s="714">
        <f t="shared" si="13"/>
        <v>100</v>
      </c>
      <c r="V36" s="713" t="s">
        <v>17</v>
      </c>
      <c r="W36" s="714">
        <f t="shared" si="14"/>
        <v>100</v>
      </c>
      <c r="X36" s="1507"/>
      <c r="Y36" s="3470"/>
      <c r="Z36" s="1508" t="str">
        <f t="shared" si="15"/>
        <v>内部装修</v>
      </c>
      <c r="AA36" s="1505">
        <f t="shared" si="3"/>
        <v>1</v>
      </c>
      <c r="AB36" s="1505">
        <f t="shared" si="4"/>
        <v>1</v>
      </c>
      <c r="AC36" s="1505">
        <f t="shared" si="5"/>
        <v>1</v>
      </c>
    </row>
    <row r="37" spans="1:29" ht="15">
      <c r="A37" s="430"/>
      <c r="B37" s="380" t="s">
        <v>2464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70"/>
      <c r="Q37" s="1504" t="str">
        <f t="shared" si="11"/>
        <v>内部装修状况</v>
      </c>
      <c r="R37" s="713" t="s">
        <v>17</v>
      </c>
      <c r="S37" s="714">
        <f t="shared" si="12"/>
        <v>100</v>
      </c>
      <c r="T37" s="713" t="s">
        <v>17</v>
      </c>
      <c r="U37" s="714">
        <f t="shared" si="13"/>
        <v>100</v>
      </c>
      <c r="V37" s="713" t="s">
        <v>17</v>
      </c>
      <c r="W37" s="714">
        <f t="shared" si="14"/>
        <v>100</v>
      </c>
      <c r="X37" s="1507"/>
      <c r="Y37" s="3470"/>
      <c r="Z37" s="1508" t="str">
        <f t="shared" si="15"/>
        <v>内部装修状况</v>
      </c>
      <c r="AA37" s="1505">
        <f t="shared" si="3"/>
        <v>1</v>
      </c>
      <c r="AB37" s="1505">
        <f t="shared" si="4"/>
        <v>1</v>
      </c>
      <c r="AC37" s="1505">
        <f t="shared" si="5"/>
        <v>1</v>
      </c>
    </row>
    <row r="38" spans="1:29" s="429" customFormat="1" ht="15">
      <c r="A38" s="426"/>
      <c r="B38" s="1265">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70"/>
      <c r="Q38" s="715">
        <f t="shared" si="11"/>
        <v>111</v>
      </c>
      <c r="R38" s="716" t="s">
        <v>17</v>
      </c>
      <c r="S38" s="717">
        <f t="shared" si="12"/>
        <v>100</v>
      </c>
      <c r="T38" s="716" t="s">
        <v>17</v>
      </c>
      <c r="U38" s="717">
        <f t="shared" si="13"/>
        <v>100</v>
      </c>
      <c r="V38" s="716" t="s">
        <v>17</v>
      </c>
      <c r="W38" s="717">
        <f t="shared" si="14"/>
        <v>100</v>
      </c>
      <c r="X38" s="718"/>
      <c r="Y38" s="3470"/>
      <c r="Z38" s="719">
        <f t="shared" si="15"/>
        <v>111</v>
      </c>
      <c r="AA38" s="1505">
        <f t="shared" si="3"/>
        <v>1</v>
      </c>
      <c r="AB38" s="1505">
        <f t="shared" si="4"/>
        <v>1</v>
      </c>
      <c r="AC38" s="1505">
        <f t="shared" si="5"/>
        <v>1</v>
      </c>
    </row>
    <row r="39" spans="1:29" ht="15">
      <c r="A39" s="430"/>
      <c r="B39" s="1265">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70"/>
      <c r="Q39" s="1504">
        <f t="shared" si="11"/>
        <v>111</v>
      </c>
      <c r="R39" s="713" t="s">
        <v>17</v>
      </c>
      <c r="S39" s="714">
        <f t="shared" si="12"/>
        <v>100</v>
      </c>
      <c r="T39" s="713" t="s">
        <v>17</v>
      </c>
      <c r="U39" s="714">
        <f t="shared" si="13"/>
        <v>100</v>
      </c>
      <c r="V39" s="713" t="s">
        <v>17</v>
      </c>
      <c r="W39" s="714">
        <f t="shared" si="14"/>
        <v>100</v>
      </c>
      <c r="X39" s="1507"/>
      <c r="Y39" s="3470"/>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471"/>
      <c r="Q40" s="1504">
        <f t="shared" si="11"/>
        <v>111</v>
      </c>
      <c r="R40" s="713" t="s">
        <v>17</v>
      </c>
      <c r="S40" s="714">
        <f t="shared" si="12"/>
        <v>100</v>
      </c>
      <c r="T40" s="713" t="s">
        <v>17</v>
      </c>
      <c r="U40" s="714">
        <f t="shared" si="13"/>
        <v>100</v>
      </c>
      <c r="V40" s="713" t="s">
        <v>17</v>
      </c>
      <c r="W40" s="714">
        <f t="shared" si="14"/>
        <v>100</v>
      </c>
      <c r="X40" s="1507"/>
      <c r="Y40" s="3471"/>
      <c r="Z40" s="1508">
        <f t="shared" si="15"/>
        <v>111</v>
      </c>
      <c r="AA40" s="1505">
        <f t="shared" si="3"/>
        <v>1</v>
      </c>
      <c r="AB40" s="1505">
        <f t="shared" si="4"/>
        <v>1</v>
      </c>
      <c r="AC40" s="1505">
        <f t="shared" si="5"/>
        <v>1</v>
      </c>
    </row>
    <row r="41" spans="1:29" ht="15">
      <c r="A41" s="437" t="s">
        <v>2337</v>
      </c>
      <c r="B41" s="438"/>
      <c r="C41" s="1286" t="s">
        <v>1</v>
      </c>
      <c r="D41" s="1287"/>
      <c r="E41" s="1288"/>
      <c r="F41" s="1289"/>
      <c r="G41" s="1290"/>
      <c r="H41" s="1291"/>
      <c r="I41" s="1288"/>
      <c r="J41" s="1291"/>
      <c r="K41" s="722"/>
      <c r="L41" s="1056"/>
      <c r="M41" s="1057"/>
      <c r="N41" s="1044"/>
      <c r="O41" s="1057"/>
      <c r="P41" s="3463" t="str">
        <f>A41</f>
        <v>成交单价（元/平方米）</v>
      </c>
      <c r="Q41" s="3463"/>
      <c r="R41" s="3464">
        <f>E41</f>
        <v>0</v>
      </c>
      <c r="S41" s="3464"/>
      <c r="T41" s="3464">
        <f>G41</f>
        <v>0</v>
      </c>
      <c r="U41" s="3464"/>
      <c r="V41" s="3464">
        <f>I41</f>
        <v>0</v>
      </c>
      <c r="W41" s="3464"/>
      <c r="X41" s="698"/>
      <c r="Y41" s="720"/>
      <c r="Z41" s="698"/>
      <c r="AA41" s="698"/>
      <c r="AB41" s="698"/>
      <c r="AC41" s="698"/>
    </row>
    <row r="42" spans="1:29" ht="15.75" thickBot="1">
      <c r="A42" s="444" t="s">
        <v>2429</v>
      </c>
      <c r="B42" s="445"/>
      <c r="C42" s="1292" t="e">
        <f>R43</f>
        <v>#DIV/0!</v>
      </c>
      <c r="D42" s="2506" t="s">
        <v>2820</v>
      </c>
      <c r="E42" s="1293" t="e">
        <f>R42</f>
        <v>#DIV/0!</v>
      </c>
      <c r="F42" s="2507"/>
      <c r="G42" s="1292" t="e">
        <f>T42</f>
        <v>#DIV/0!</v>
      </c>
      <c r="H42" s="2507"/>
      <c r="I42" s="1293" t="e">
        <f>V42</f>
        <v>#DIV/0!</v>
      </c>
      <c r="J42" s="2507"/>
      <c r="K42" s="2509">
        <f>F42+H42+J42</f>
        <v>0</v>
      </c>
      <c r="L42" s="1056"/>
      <c r="M42" s="1057"/>
      <c r="N42" s="1044"/>
      <c r="O42" s="1057"/>
      <c r="P42" s="3463" t="str">
        <f>A42</f>
        <v>比较价值（元/平方米）</v>
      </c>
      <c r="Q42" s="346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698"/>
      <c r="Y42" s="698"/>
      <c r="Z42" s="698"/>
      <c r="AA42" s="698"/>
      <c r="AB42" s="698"/>
      <c r="AC42" s="698"/>
    </row>
    <row r="43" spans="1:29" ht="15.75" thickBot="1">
      <c r="A43" s="448" t="s">
        <v>2430</v>
      </c>
      <c r="B43" s="449"/>
      <c r="C43" s="1295" t="e">
        <f>R43</f>
        <v>#DIV/0!</v>
      </c>
      <c r="D43" s="1295"/>
      <c r="E43" s="1295"/>
      <c r="F43" s="1295"/>
      <c r="G43" s="1295"/>
      <c r="H43" s="1295"/>
      <c r="I43" s="1295"/>
      <c r="J43" s="1295"/>
      <c r="K43" s="723"/>
      <c r="L43" s="1056"/>
      <c r="M43" s="1057"/>
      <c r="N43" s="1057"/>
      <c r="O43" s="1057"/>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2434</v>
      </c>
      <c r="B51" s="698"/>
      <c r="C51" s="703"/>
      <c r="D51" s="703"/>
      <c r="E51" s="703"/>
      <c r="F51" s="704"/>
      <c r="G51" s="704"/>
      <c r="H51" s="703"/>
      <c r="I51" s="703"/>
      <c r="J51" s="703"/>
      <c r="K51" s="1071"/>
      <c r="L51" s="1072"/>
      <c r="M51" s="1070"/>
      <c r="N51" s="1070"/>
      <c r="O51" s="1070"/>
      <c r="P51" s="459"/>
      <c r="Q51" s="460"/>
    </row>
    <row r="52" spans="1:17" s="464" customFormat="1" ht="15">
      <c r="A52" s="461" t="s">
        <v>2308</v>
      </c>
      <c r="B52" s="462"/>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3"/>
    </row>
    <row r="53" spans="1:17" s="113" customFormat="1" ht="15">
      <c r="A53" s="465"/>
      <c r="B53" s="466"/>
      <c r="C53" s="1315">
        <v>100</v>
      </c>
      <c r="D53" s="468"/>
      <c r="E53" s="468"/>
      <c r="F53" s="468"/>
      <c r="G53" s="468"/>
      <c r="H53" s="468"/>
      <c r="I53" s="468"/>
      <c r="J53" s="468"/>
      <c r="K53" s="468"/>
      <c r="L53" s="468"/>
      <c r="M53" s="469"/>
      <c r="N53" s="468"/>
      <c r="O53" s="470"/>
      <c r="P53" s="460"/>
    </row>
    <row r="54" spans="1:17" s="113" customFormat="1" ht="15.75" thickBot="1">
      <c r="A54" s="471" t="s">
        <v>2345</v>
      </c>
      <c r="B54" s="472"/>
      <c r="C54" s="473"/>
      <c r="D54" s="474"/>
      <c r="E54" s="474"/>
      <c r="F54" s="474"/>
      <c r="G54" s="474"/>
      <c r="H54" s="474"/>
      <c r="I54" s="474"/>
      <c r="J54" s="474"/>
      <c r="K54" s="474"/>
      <c r="L54" s="474"/>
      <c r="M54" s="475"/>
      <c r="N54" s="2967"/>
      <c r="O54" s="2968"/>
      <c r="P54" s="460"/>
      <c r="Q54" s="460"/>
    </row>
    <row r="55" spans="1:17" s="113" customFormat="1" ht="15">
      <c r="A55" s="477" t="s">
        <v>2310</v>
      </c>
      <c r="B55" s="466"/>
      <c r="C55" s="478" t="s">
        <v>2412</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2348</v>
      </c>
      <c r="B57" s="484" t="s">
        <v>2314</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2317</v>
      </c>
      <c r="C59" s="495" t="s">
        <v>2349</v>
      </c>
      <c r="D59" s="495" t="s">
        <v>2350</v>
      </c>
      <c r="E59" s="495" t="s">
        <v>2351</v>
      </c>
      <c r="F59" s="495" t="s">
        <v>2352</v>
      </c>
      <c r="G59" s="495" t="s">
        <v>2353</v>
      </c>
      <c r="H59" s="495" t="s">
        <v>2354</v>
      </c>
      <c r="I59" s="495" t="s">
        <v>2355</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2319</v>
      </c>
      <c r="B70" s="484" t="s">
        <v>2465</v>
      </c>
      <c r="C70" s="529" t="s">
        <v>2357</v>
      </c>
      <c r="D70" s="529" t="s">
        <v>2358</v>
      </c>
      <c r="E70" s="529" t="s">
        <v>2359</v>
      </c>
      <c r="F70" s="529" t="s">
        <v>2360</v>
      </c>
      <c r="G70" s="529" t="s">
        <v>2361</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2362</v>
      </c>
      <c r="C72" s="534" t="s">
        <v>2357</v>
      </c>
      <c r="D72" s="534" t="s">
        <v>2358</v>
      </c>
      <c r="E72" s="534" t="s">
        <v>2359</v>
      </c>
      <c r="F72" s="534" t="s">
        <v>2360</v>
      </c>
      <c r="G72" s="534" t="s">
        <v>2361</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2363</v>
      </c>
      <c r="C74" s="534" t="s">
        <v>2357</v>
      </c>
      <c r="D74" s="534" t="s">
        <v>2358</v>
      </c>
      <c r="E74" s="534" t="s">
        <v>2359</v>
      </c>
      <c r="F74" s="534" t="s">
        <v>2360</v>
      </c>
      <c r="G74" s="534" t="s">
        <v>2361</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2449</v>
      </c>
      <c r="C76" s="615" t="s">
        <v>2435</v>
      </c>
      <c r="D76" s="615" t="s">
        <v>2436</v>
      </c>
      <c r="E76" s="615" t="s">
        <v>2437</v>
      </c>
      <c r="F76" s="615" t="s">
        <v>2438</v>
      </c>
      <c r="G76" s="615" t="s">
        <v>2439</v>
      </c>
      <c r="H76" s="495"/>
      <c r="I76" s="495"/>
      <c r="J76" s="495"/>
      <c r="K76" s="495"/>
      <c r="L76" s="495"/>
      <c r="M76" s="1261"/>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2458</v>
      </c>
      <c r="C78" s="534" t="s">
        <v>2357</v>
      </c>
      <c r="D78" s="534" t="s">
        <v>2358</v>
      </c>
      <c r="E78" s="534" t="s">
        <v>2359</v>
      </c>
      <c r="F78" s="534" t="s">
        <v>2360</v>
      </c>
      <c r="G78" s="534" t="s">
        <v>2361</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2"/>
      <c r="B87" s="525"/>
      <c r="C87" s="526"/>
      <c r="D87" s="526"/>
      <c r="E87" s="526"/>
      <c r="F87" s="526"/>
      <c r="G87" s="547"/>
      <c r="H87" s="547"/>
      <c r="I87" s="547"/>
      <c r="J87" s="547"/>
      <c r="K87" s="547"/>
      <c r="L87" s="547"/>
      <c r="M87" s="548"/>
      <c r="N87" s="1064"/>
      <c r="O87" s="1064"/>
      <c r="P87" s="45"/>
      <c r="Q87" s="460"/>
    </row>
    <row r="88" spans="1:17">
      <c r="A88" s="483" t="s">
        <v>2323</v>
      </c>
      <c r="B88" s="484" t="s">
        <v>2372</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2374</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2376</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2377</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2378</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2380</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2466</v>
      </c>
      <c r="C106" s="534" t="s">
        <v>2357</v>
      </c>
      <c r="D106" s="534" t="s">
        <v>2358</v>
      </c>
      <c r="E106" s="534" t="s">
        <v>2359</v>
      </c>
      <c r="F106" s="534" t="s">
        <v>2360</v>
      </c>
      <c r="G106" s="534" t="s">
        <v>2361</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2"/>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2467</v>
      </c>
      <c r="B1" s="1361"/>
      <c r="C1" s="1362" t="s">
        <v>2290</v>
      </c>
      <c r="D1" s="1363"/>
      <c r="E1" s="1364"/>
      <c r="F1" s="2033"/>
      <c r="G1" s="1365" t="s">
        <v>2403</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2087</v>
      </c>
      <c r="B2" s="1296" t="e">
        <f ca="1">IF(C2="——",IF(B37="元/平方米",ROUND(C39*D3/10000,0),ROUND(F3*C39/10000,0)),IF(B37="元/平方米",ROUND(C39*D3/10000,0),ROUND(F3*C39/10000,0))-D2)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1297"/>
      <c r="Q2" s="707"/>
      <c r="R2" s="707"/>
      <c r="S2" s="707"/>
      <c r="T2" s="707"/>
      <c r="U2" s="707"/>
      <c r="V2" s="707"/>
      <c r="W2" s="707"/>
      <c r="X2" s="707"/>
      <c r="Y2" s="707"/>
      <c r="Z2" s="707"/>
      <c r="AA2" s="707"/>
      <c r="AB2" s="707"/>
      <c r="AC2" s="708"/>
    </row>
    <row r="3" spans="1:29" s="357" customFormat="1" ht="28.5" customHeight="1" thickBot="1">
      <c r="A3" s="208" t="s">
        <v>2089</v>
      </c>
      <c r="B3" s="565" t="e">
        <f ca="1">IF(AND(C2="——",B37="元/平方米"),C39,ROUND(B2*10000/D3,0))</f>
        <v>#DIV/0!</v>
      </c>
      <c r="C3" s="359" t="s">
        <v>2404</v>
      </c>
      <c r="D3" s="358">
        <f>SUMIF('数据-汇总表'!$C19:$C33,D1,'数据-汇总表'!$E19:$E33)</f>
        <v>0</v>
      </c>
      <c r="E3" s="359" t="s">
        <v>2468</v>
      </c>
      <c r="F3" s="358">
        <f>SUMIF('数据-取费表'!A5:A15,D1,'数据-取费表'!AH5:AH15)</f>
        <v>0</v>
      </c>
      <c r="G3" s="1038"/>
      <c r="H3" s="1038"/>
      <c r="I3" s="1038"/>
      <c r="J3" s="1038"/>
      <c r="K3" s="1040"/>
      <c r="L3" s="2931"/>
      <c r="M3" s="2932"/>
      <c r="N3" s="2932"/>
      <c r="O3" s="2932"/>
      <c r="P3" s="1297"/>
      <c r="Q3" s="707"/>
      <c r="R3" s="707"/>
      <c r="S3" s="707"/>
      <c r="T3" s="707"/>
      <c r="U3" s="707"/>
      <c r="V3" s="707"/>
      <c r="W3" s="707"/>
      <c r="X3" s="707"/>
      <c r="Y3" s="707"/>
      <c r="Z3" s="707"/>
      <c r="AA3" s="707"/>
      <c r="AB3" s="724"/>
      <c r="AC3" s="721"/>
    </row>
    <row r="4" spans="1:29" ht="15">
      <c r="A4" s="360" t="s">
        <v>2405</v>
      </c>
      <c r="B4" s="361"/>
      <c r="C4" s="3446" t="s">
        <v>2406</v>
      </c>
      <c r="D4" s="3447"/>
      <c r="E4" s="3448" t="s">
        <v>2407</v>
      </c>
      <c r="F4" s="3449"/>
      <c r="G4" s="3446" t="s">
        <v>2408</v>
      </c>
      <c r="H4" s="3447"/>
      <c r="I4" s="3446" t="s">
        <v>2409</v>
      </c>
      <c r="J4" s="3447"/>
      <c r="K4" s="566" t="s">
        <v>2410</v>
      </c>
      <c r="L4" s="2912"/>
      <c r="M4" s="2913"/>
      <c r="N4" s="2913"/>
      <c r="O4" s="2913"/>
      <c r="P4" s="3450" t="s">
        <v>2411</v>
      </c>
      <c r="Q4" s="3451"/>
      <c r="R4" s="3433" t="s">
        <v>2407</v>
      </c>
      <c r="S4" s="3434"/>
      <c r="T4" s="3433" t="s">
        <v>2408</v>
      </c>
      <c r="U4" s="3434"/>
      <c r="V4" s="3458" t="s">
        <v>2409</v>
      </c>
      <c r="W4" s="3458"/>
      <c r="X4" s="1507"/>
      <c r="Y4" s="3433" t="s">
        <v>2411</v>
      </c>
      <c r="Z4" s="3434"/>
      <c r="AA4" s="3428" t="s">
        <v>2407</v>
      </c>
      <c r="AB4" s="3429" t="s">
        <v>2408</v>
      </c>
      <c r="AC4" s="3428" t="s">
        <v>2409</v>
      </c>
    </row>
    <row r="5" spans="1:29" ht="15">
      <c r="A5" s="363"/>
      <c r="B5" s="364"/>
      <c r="C5" s="3439" t="s">
        <v>2302</v>
      </c>
      <c r="D5" s="3440"/>
      <c r="E5" s="3437" t="s">
        <v>2303</v>
      </c>
      <c r="F5" s="3438"/>
      <c r="G5" s="3439" t="s">
        <v>2304</v>
      </c>
      <c r="H5" s="3440"/>
      <c r="I5" s="3439" t="s">
        <v>2305</v>
      </c>
      <c r="J5" s="3440"/>
      <c r="K5" s="566"/>
      <c r="L5" s="2912"/>
      <c r="M5" s="2913"/>
      <c r="N5" s="2913"/>
      <c r="O5" s="2913"/>
      <c r="P5" s="3452"/>
      <c r="Q5" s="3453"/>
      <c r="R5" s="3435"/>
      <c r="S5" s="3436"/>
      <c r="T5" s="3435"/>
      <c r="U5" s="3436"/>
      <c r="V5" s="3458"/>
      <c r="W5" s="3458"/>
      <c r="X5" s="1507"/>
      <c r="Y5" s="3435"/>
      <c r="Z5" s="3436"/>
      <c r="AA5" s="3429"/>
      <c r="AB5" s="3429"/>
      <c r="AC5" s="3429"/>
    </row>
    <row r="6" spans="1:29" ht="15.75" thickBot="1">
      <c r="A6" s="365"/>
      <c r="B6" s="366"/>
      <c r="C6" s="3441" t="s">
        <v>2306</v>
      </c>
      <c r="D6" s="3442"/>
      <c r="E6" s="3443" t="s">
        <v>2306</v>
      </c>
      <c r="F6" s="3444"/>
      <c r="G6" s="3441" t="s">
        <v>2306</v>
      </c>
      <c r="H6" s="3442"/>
      <c r="I6" s="3441" t="s">
        <v>2306</v>
      </c>
      <c r="J6" s="3442"/>
      <c r="K6" s="566" t="s">
        <v>2307</v>
      </c>
      <c r="L6" s="2912"/>
      <c r="M6" s="2913"/>
      <c r="N6" s="2913"/>
      <c r="O6" s="2913"/>
      <c r="P6" s="3454"/>
      <c r="Q6" s="3455"/>
      <c r="R6" s="3435"/>
      <c r="S6" s="3436"/>
      <c r="T6" s="3456"/>
      <c r="U6" s="3457"/>
      <c r="V6" s="3458"/>
      <c r="W6" s="3458"/>
      <c r="X6" s="1507"/>
      <c r="Y6" s="3456"/>
      <c r="Z6" s="3457"/>
      <c r="AA6" s="3430"/>
      <c r="AB6" s="3430"/>
      <c r="AC6" s="3430"/>
    </row>
    <row r="7" spans="1:29" s="113" customFormat="1" ht="15.75" thickBot="1">
      <c r="A7" s="367" t="s">
        <v>2308</v>
      </c>
      <c r="B7" s="368"/>
      <c r="C7" s="369">
        <f>'数据-取费表'!B2</f>
        <v>44642</v>
      </c>
      <c r="D7" s="370">
        <v>100</v>
      </c>
      <c r="E7" s="371"/>
      <c r="F7" s="372">
        <f>SUMIF(48:48,YEAR(E7)&amp;"-"&amp;MONTH(E7),49:49)</f>
        <v>0</v>
      </c>
      <c r="G7" s="371"/>
      <c r="H7" s="370">
        <f>SUMIF(48:48,YEAR(G7)&amp;"-"&amp;MONTH(G7),49:49)</f>
        <v>0</v>
      </c>
      <c r="I7" s="371"/>
      <c r="J7" s="370">
        <f>SUMIF(48:48,YEAR(I7)&amp;"-"&amp;MONTH(I7),49:49)</f>
        <v>0</v>
      </c>
      <c r="K7" s="567"/>
      <c r="L7" s="2914"/>
      <c r="M7" s="2915"/>
      <c r="N7" s="2915"/>
      <c r="O7" s="2915"/>
      <c r="P7" s="3431" t="s">
        <v>2309</v>
      </c>
      <c r="Q7" s="3459"/>
      <c r="R7" s="709" t="s">
        <v>17</v>
      </c>
      <c r="S7" s="710">
        <f t="shared" ref="S7:S14" si="0">F7</f>
        <v>0</v>
      </c>
      <c r="T7" s="709" t="s">
        <v>17</v>
      </c>
      <c r="U7" s="710">
        <f t="shared" ref="U7:U14" si="1">H7</f>
        <v>0</v>
      </c>
      <c r="V7" s="709" t="s">
        <v>17</v>
      </c>
      <c r="W7" s="710">
        <f t="shared" ref="W7:W14" si="2">J7</f>
        <v>0</v>
      </c>
      <c r="X7" s="711"/>
      <c r="Y7" s="3431" t="s">
        <v>2309</v>
      </c>
      <c r="Z7" s="3432"/>
      <c r="AA7" s="712" t="e">
        <f>D7/F7</f>
        <v>#DIV/0!</v>
      </c>
      <c r="AB7" s="712" t="e">
        <f>D7/H7</f>
        <v>#DIV/0!</v>
      </c>
      <c r="AC7" s="712" t="e">
        <f>D7/J7</f>
        <v>#DIV/0!</v>
      </c>
    </row>
    <row r="8" spans="1:29" s="113" customFormat="1" ht="15.75" thickBot="1">
      <c r="A8" s="367" t="s">
        <v>2310</v>
      </c>
      <c r="B8" s="368"/>
      <c r="C8" s="373" t="s">
        <v>2412</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431" t="s">
        <v>2312</v>
      </c>
      <c r="Q8" s="3432"/>
      <c r="R8" s="709" t="s">
        <v>17</v>
      </c>
      <c r="S8" s="710">
        <f t="shared" si="0"/>
        <v>0</v>
      </c>
      <c r="T8" s="709" t="s">
        <v>17</v>
      </c>
      <c r="U8" s="710">
        <f t="shared" si="1"/>
        <v>0</v>
      </c>
      <c r="V8" s="709" t="s">
        <v>17</v>
      </c>
      <c r="W8" s="710">
        <f t="shared" si="2"/>
        <v>0</v>
      </c>
      <c r="X8" s="711"/>
      <c r="Y8" s="3431" t="s">
        <v>2312</v>
      </c>
      <c r="Z8" s="3432"/>
      <c r="AA8" s="712" t="e">
        <f t="shared" ref="AA8:AA36" si="3">D8/F8</f>
        <v>#DIV/0!</v>
      </c>
      <c r="AB8" s="712" t="e">
        <f t="shared" ref="AB8:AB36" si="4">D8/H8</f>
        <v>#DIV/0!</v>
      </c>
      <c r="AC8" s="712" t="e">
        <f t="shared" ref="AC8:AC36" si="5">D8/J8</f>
        <v>#DIV/0!</v>
      </c>
    </row>
    <row r="9" spans="1:29" s="113" customFormat="1">
      <c r="A9" s="64" t="s">
        <v>2313</v>
      </c>
      <c r="B9" s="595" t="s">
        <v>2314</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63" t="s">
        <v>2315</v>
      </c>
      <c r="Q9" s="1495" t="str">
        <f t="shared" ref="Q9:Q14" si="6">B9</f>
        <v>用途</v>
      </c>
      <c r="R9" s="709" t="s">
        <v>17</v>
      </c>
      <c r="S9" s="710">
        <f t="shared" si="0"/>
        <v>100</v>
      </c>
      <c r="T9" s="709" t="s">
        <v>17</v>
      </c>
      <c r="U9" s="710">
        <f t="shared" si="1"/>
        <v>100</v>
      </c>
      <c r="V9" s="709" t="s">
        <v>17</v>
      </c>
      <c r="W9" s="710">
        <f t="shared" si="2"/>
        <v>100</v>
      </c>
      <c r="X9" s="711"/>
      <c r="Y9" s="3375" t="s">
        <v>2316</v>
      </c>
      <c r="Z9" s="55" t="str">
        <f t="shared" ref="Z9:Z14" si="7">Q9</f>
        <v>用途</v>
      </c>
      <c r="AA9" s="712">
        <f t="shared" si="3"/>
        <v>1</v>
      </c>
      <c r="AB9" s="712">
        <f t="shared" si="4"/>
        <v>1</v>
      </c>
      <c r="AC9" s="712">
        <f t="shared" si="5"/>
        <v>1</v>
      </c>
    </row>
    <row r="10" spans="1:29" s="385" customFormat="1" ht="27">
      <c r="A10" s="596"/>
      <c r="B10" s="597" t="s">
        <v>2317</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63"/>
      <c r="Q10" s="1495" t="str">
        <f t="shared" si="6"/>
        <v>土地使用年限（年）</v>
      </c>
      <c r="R10" s="709" t="s">
        <v>17</v>
      </c>
      <c r="S10" s="710">
        <f t="shared" si="0"/>
        <v>100</v>
      </c>
      <c r="T10" s="709" t="s">
        <v>17</v>
      </c>
      <c r="U10" s="710">
        <f t="shared" si="1"/>
        <v>100</v>
      </c>
      <c r="V10" s="709" t="s">
        <v>17</v>
      </c>
      <c r="W10" s="710">
        <f t="shared" si="2"/>
        <v>100</v>
      </c>
      <c r="X10" s="711"/>
      <c r="Y10" s="3375"/>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63"/>
      <c r="Q11" s="1495">
        <f t="shared" si="6"/>
        <v>111</v>
      </c>
      <c r="R11" s="709" t="s">
        <v>17</v>
      </c>
      <c r="S11" s="710">
        <f t="shared" si="0"/>
        <v>100</v>
      </c>
      <c r="T11" s="709" t="s">
        <v>17</v>
      </c>
      <c r="U11" s="710">
        <f t="shared" si="1"/>
        <v>100</v>
      </c>
      <c r="V11" s="709" t="s">
        <v>17</v>
      </c>
      <c r="W11" s="710">
        <f t="shared" si="2"/>
        <v>100</v>
      </c>
      <c r="X11" s="711"/>
      <c r="Y11" s="3375"/>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63"/>
      <c r="Q12" s="1495">
        <f t="shared" si="6"/>
        <v>111</v>
      </c>
      <c r="R12" s="709" t="s">
        <v>17</v>
      </c>
      <c r="S12" s="710">
        <f t="shared" si="0"/>
        <v>100</v>
      </c>
      <c r="T12" s="709" t="s">
        <v>17</v>
      </c>
      <c r="U12" s="710">
        <f t="shared" si="1"/>
        <v>100</v>
      </c>
      <c r="V12" s="709" t="s">
        <v>17</v>
      </c>
      <c r="W12" s="710">
        <f t="shared" si="2"/>
        <v>100</v>
      </c>
      <c r="X12" s="711"/>
      <c r="Y12" s="3375"/>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63"/>
      <c r="Q13" s="1495">
        <f t="shared" si="6"/>
        <v>111</v>
      </c>
      <c r="R13" s="709" t="s">
        <v>17</v>
      </c>
      <c r="S13" s="710">
        <f t="shared" si="0"/>
        <v>100</v>
      </c>
      <c r="T13" s="709" t="s">
        <v>17</v>
      </c>
      <c r="U13" s="710">
        <f t="shared" si="1"/>
        <v>100</v>
      </c>
      <c r="V13" s="709" t="s">
        <v>17</v>
      </c>
      <c r="W13" s="710">
        <f t="shared" si="2"/>
        <v>100</v>
      </c>
      <c r="X13" s="711"/>
      <c r="Y13" s="3375"/>
      <c r="Z13" s="55">
        <f t="shared" si="7"/>
        <v>111</v>
      </c>
      <c r="AA13" s="712">
        <f t="shared" si="3"/>
        <v>1</v>
      </c>
      <c r="AB13" s="712">
        <f t="shared" si="4"/>
        <v>1</v>
      </c>
      <c r="AC13" s="712">
        <f t="shared" si="5"/>
        <v>1</v>
      </c>
    </row>
    <row r="14" spans="1:29" ht="85.5">
      <c r="A14" s="360" t="s">
        <v>2319</v>
      </c>
      <c r="B14" s="584" t="s">
        <v>2469</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465" t="s">
        <v>2320</v>
      </c>
      <c r="Q14" s="1504" t="str">
        <f t="shared" si="6"/>
        <v>交通便捷度</v>
      </c>
      <c r="R14" s="713" t="s">
        <v>17</v>
      </c>
      <c r="S14" s="714">
        <f t="shared" si="0"/>
        <v>100</v>
      </c>
      <c r="T14" s="713" t="s">
        <v>17</v>
      </c>
      <c r="U14" s="714">
        <f t="shared" si="1"/>
        <v>100</v>
      </c>
      <c r="V14" s="713" t="s">
        <v>17</v>
      </c>
      <c r="W14" s="714">
        <f t="shared" si="2"/>
        <v>100</v>
      </c>
      <c r="X14" s="1507"/>
      <c r="Y14" s="3465" t="s">
        <v>2320</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466"/>
      <c r="Q15" s="1504"/>
      <c r="R15" s="713"/>
      <c r="S15" s="714"/>
      <c r="T15" s="713"/>
      <c r="U15" s="714"/>
      <c r="V15" s="713"/>
      <c r="W15" s="714"/>
      <c r="X15" s="1507"/>
      <c r="Y15" s="3466"/>
      <c r="Z15" s="1508"/>
      <c r="AA15" s="1505">
        <v>1</v>
      </c>
      <c r="AB15" s="1505">
        <v>1</v>
      </c>
      <c r="AC15" s="1505">
        <v>1</v>
      </c>
    </row>
    <row r="16" spans="1:29" ht="42.75">
      <c r="A16" s="363"/>
      <c r="B16" s="586" t="s">
        <v>2448</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466"/>
      <c r="Q16" s="1504" t="str">
        <f>B16</f>
        <v>公共配套设施</v>
      </c>
      <c r="R16" s="713" t="s">
        <v>17</v>
      </c>
      <c r="S16" s="714">
        <f>F16</f>
        <v>100</v>
      </c>
      <c r="T16" s="713" t="s">
        <v>17</v>
      </c>
      <c r="U16" s="714">
        <f>H16</f>
        <v>100</v>
      </c>
      <c r="V16" s="713" t="s">
        <v>17</v>
      </c>
      <c r="W16" s="714">
        <f>J16</f>
        <v>100</v>
      </c>
      <c r="X16" s="1507"/>
      <c r="Y16" s="3466"/>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466"/>
      <c r="Q17" s="1504"/>
      <c r="R17" s="713"/>
      <c r="S17" s="714"/>
      <c r="T17" s="713"/>
      <c r="U17" s="714"/>
      <c r="V17" s="713"/>
      <c r="W17" s="714"/>
      <c r="X17" s="1507"/>
      <c r="Y17" s="3466"/>
      <c r="Z17" s="1508"/>
      <c r="AA17" s="1505">
        <v>1</v>
      </c>
      <c r="AB17" s="1505">
        <v>1</v>
      </c>
      <c r="AC17" s="1505">
        <v>1</v>
      </c>
    </row>
    <row r="18" spans="1:29" ht="28.5">
      <c r="A18" s="363"/>
      <c r="B18" s="588" t="s">
        <v>2449</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466"/>
      <c r="Q18" s="1504" t="str">
        <f>B18</f>
        <v>基础设施水平</v>
      </c>
      <c r="R18" s="713" t="s">
        <v>17</v>
      </c>
      <c r="S18" s="714">
        <f>F18</f>
        <v>100</v>
      </c>
      <c r="T18" s="713" t="s">
        <v>17</v>
      </c>
      <c r="U18" s="714">
        <f>H18</f>
        <v>100</v>
      </c>
      <c r="V18" s="713" t="s">
        <v>17</v>
      </c>
      <c r="W18" s="714">
        <f>J18</f>
        <v>100</v>
      </c>
      <c r="X18" s="1507"/>
      <c r="Y18" s="3466"/>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2"/>
      <c r="L19" s="2919"/>
      <c r="M19" s="2913"/>
      <c r="N19" s="2913"/>
      <c r="O19" s="2913"/>
      <c r="P19" s="3466"/>
      <c r="Q19" s="1504"/>
      <c r="R19" s="713"/>
      <c r="S19" s="714"/>
      <c r="T19" s="713"/>
      <c r="U19" s="714"/>
      <c r="V19" s="713"/>
      <c r="W19" s="714"/>
      <c r="X19" s="1507"/>
      <c r="Y19" s="3466"/>
      <c r="Z19" s="1508"/>
      <c r="AA19" s="1505">
        <v>1</v>
      </c>
      <c r="AB19" s="1505">
        <v>1</v>
      </c>
      <c r="AC19" s="1505">
        <v>1</v>
      </c>
    </row>
    <row r="20" spans="1:29" ht="57">
      <c r="A20" s="363"/>
      <c r="B20" s="586" t="s">
        <v>2470</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466"/>
      <c r="Q20" s="1504" t="str">
        <f>B20</f>
        <v>自然及人文环境</v>
      </c>
      <c r="R20" s="713" t="s">
        <v>17</v>
      </c>
      <c r="S20" s="714">
        <f>F20</f>
        <v>100</v>
      </c>
      <c r="T20" s="713" t="s">
        <v>17</v>
      </c>
      <c r="U20" s="714">
        <f>H20</f>
        <v>100</v>
      </c>
      <c r="V20" s="713" t="s">
        <v>17</v>
      </c>
      <c r="W20" s="714">
        <f>J20</f>
        <v>100</v>
      </c>
      <c r="X20" s="1507"/>
      <c r="Y20" s="3466"/>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466"/>
      <c r="Q21" s="1504"/>
      <c r="R21" s="713"/>
      <c r="S21" s="714"/>
      <c r="T21" s="713"/>
      <c r="U21" s="714"/>
      <c r="V21" s="713"/>
      <c r="W21" s="714"/>
      <c r="X21" s="1507"/>
      <c r="Y21" s="3466"/>
      <c r="Z21" s="1508"/>
      <c r="AA21" s="1505">
        <v>1</v>
      </c>
      <c r="AB21" s="1505">
        <v>1</v>
      </c>
      <c r="AC21" s="1505">
        <v>1</v>
      </c>
    </row>
    <row r="22" spans="1:29" ht="15">
      <c r="A22" s="363"/>
      <c r="B22" s="586" t="s">
        <v>2471</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466"/>
      <c r="Q22" s="1504" t="str">
        <f>B22</f>
        <v>楼层</v>
      </c>
      <c r="R22" s="713" t="s">
        <v>17</v>
      </c>
      <c r="S22" s="714">
        <f>F22</f>
        <v>100</v>
      </c>
      <c r="T22" s="713" t="s">
        <v>17</v>
      </c>
      <c r="U22" s="714">
        <f>H22</f>
        <v>100</v>
      </c>
      <c r="V22" s="713" t="s">
        <v>17</v>
      </c>
      <c r="W22" s="714">
        <f>J22</f>
        <v>100</v>
      </c>
      <c r="X22" s="1507"/>
      <c r="Y22" s="3466"/>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66"/>
      <c r="Q23" s="1504">
        <f>B23</f>
        <v>111</v>
      </c>
      <c r="R23" s="713" t="s">
        <v>17</v>
      </c>
      <c r="S23" s="714">
        <f>F23</f>
        <v>100</v>
      </c>
      <c r="T23" s="713" t="s">
        <v>17</v>
      </c>
      <c r="U23" s="714">
        <f>H23</f>
        <v>100</v>
      </c>
      <c r="V23" s="713" t="s">
        <v>17</v>
      </c>
      <c r="W23" s="714">
        <f>J23</f>
        <v>100</v>
      </c>
      <c r="X23" s="1507"/>
      <c r="Y23" s="3466"/>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66"/>
      <c r="Q24" s="1504">
        <f t="shared" ref="Q24:Q36" si="11">B24</f>
        <v>111</v>
      </c>
      <c r="R24" s="713" t="s">
        <v>17</v>
      </c>
      <c r="S24" s="714">
        <f>F24</f>
        <v>100</v>
      </c>
      <c r="T24" s="713" t="s">
        <v>17</v>
      </c>
      <c r="U24" s="714">
        <f>H24</f>
        <v>100</v>
      </c>
      <c r="V24" s="713" t="s">
        <v>17</v>
      </c>
      <c r="W24" s="714">
        <f>J24</f>
        <v>100</v>
      </c>
      <c r="X24" s="1507"/>
      <c r="Y24" s="3466"/>
      <c r="Z24" s="1508">
        <f>Q24</f>
        <v>111</v>
      </c>
      <c r="AA24" s="1505">
        <f t="shared" si="3"/>
        <v>1</v>
      </c>
      <c r="AB24" s="1505">
        <f t="shared" si="4"/>
        <v>1</v>
      </c>
      <c r="AC24" s="1505">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66"/>
      <c r="Q25" s="1495">
        <f t="shared" si="11"/>
        <v>111</v>
      </c>
      <c r="R25" s="709" t="s">
        <v>17</v>
      </c>
      <c r="S25" s="710">
        <f>F25</f>
        <v>100</v>
      </c>
      <c r="T25" s="709" t="s">
        <v>17</v>
      </c>
      <c r="U25" s="710">
        <f>H25</f>
        <v>100</v>
      </c>
      <c r="V25" s="709" t="s">
        <v>17</v>
      </c>
      <c r="W25" s="710">
        <f>J25</f>
        <v>100</v>
      </c>
      <c r="X25" s="711"/>
      <c r="Y25" s="3466"/>
      <c r="Z25" s="55">
        <f>Q25</f>
        <v>111</v>
      </c>
      <c r="AA25" s="1505">
        <f>D25/F25</f>
        <v>1</v>
      </c>
      <c r="AB25" s="1505">
        <f>D25/H25</f>
        <v>1</v>
      </c>
      <c r="AC25" s="1505">
        <f>D25/J25</f>
        <v>1</v>
      </c>
    </row>
    <row r="26" spans="1:29" ht="28.5">
      <c r="A26" s="607" t="s">
        <v>2323</v>
      </c>
      <c r="B26" s="66" t="s">
        <v>2472</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489" t="s">
        <v>2325</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70" t="s">
        <v>2325</v>
      </c>
      <c r="Z26" s="1508" t="str">
        <f t="shared" ref="Z26:Z36" si="15">Q26</f>
        <v>配套类型</v>
      </c>
      <c r="AA26" s="1505">
        <f t="shared" si="3"/>
        <v>1</v>
      </c>
      <c r="AB26" s="1505">
        <f t="shared" si="4"/>
        <v>1</v>
      </c>
      <c r="AC26" s="1505">
        <f t="shared" si="5"/>
        <v>1</v>
      </c>
    </row>
    <row r="27" spans="1:29" s="429" customFormat="1" ht="15">
      <c r="A27" s="608"/>
      <c r="B27" s="609" t="s">
        <v>2473</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470"/>
      <c r="Q27" s="715" t="str">
        <f t="shared" si="11"/>
        <v>项目停车位配比</v>
      </c>
      <c r="R27" s="716" t="s">
        <v>17</v>
      </c>
      <c r="S27" s="717">
        <f t="shared" si="12"/>
        <v>100</v>
      </c>
      <c r="T27" s="716" t="s">
        <v>17</v>
      </c>
      <c r="U27" s="717">
        <f t="shared" si="13"/>
        <v>100</v>
      </c>
      <c r="V27" s="716" t="s">
        <v>17</v>
      </c>
      <c r="W27" s="717">
        <f t="shared" si="14"/>
        <v>100</v>
      </c>
      <c r="X27" s="718"/>
      <c r="Y27" s="3470"/>
      <c r="Z27" s="719" t="str">
        <f t="shared" si="15"/>
        <v>项目停车位配比</v>
      </c>
      <c r="AA27" s="1505">
        <f t="shared" si="3"/>
        <v>1</v>
      </c>
      <c r="AB27" s="1505">
        <f t="shared" si="4"/>
        <v>1</v>
      </c>
      <c r="AC27" s="1505">
        <f t="shared" si="5"/>
        <v>1</v>
      </c>
    </row>
    <row r="28" spans="1:29" ht="15">
      <c r="A28" s="611"/>
      <c r="B28" s="609" t="s">
        <v>2474</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470"/>
      <c r="Q28" s="1504" t="str">
        <f t="shared" si="11"/>
        <v>公共部分装修</v>
      </c>
      <c r="R28" s="713" t="s">
        <v>17</v>
      </c>
      <c r="S28" s="714">
        <f t="shared" si="12"/>
        <v>100</v>
      </c>
      <c r="T28" s="713" t="s">
        <v>17</v>
      </c>
      <c r="U28" s="714">
        <f t="shared" si="13"/>
        <v>100</v>
      </c>
      <c r="V28" s="713" t="s">
        <v>17</v>
      </c>
      <c r="W28" s="714">
        <f t="shared" si="14"/>
        <v>100</v>
      </c>
      <c r="X28" s="1507"/>
      <c r="Y28" s="3470"/>
      <c r="Z28" s="1508" t="str">
        <f t="shared" si="15"/>
        <v>公共部分装修</v>
      </c>
      <c r="AA28" s="1505">
        <f t="shared" si="3"/>
        <v>1</v>
      </c>
      <c r="AB28" s="1505">
        <f t="shared" si="4"/>
        <v>1</v>
      </c>
      <c r="AC28" s="1505">
        <f t="shared" si="5"/>
        <v>1</v>
      </c>
    </row>
    <row r="29" spans="1:29" ht="15">
      <c r="A29" s="611"/>
      <c r="B29" s="609" t="s">
        <v>2475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470"/>
      <c r="Q29" s="1504" t="str">
        <f t="shared" si="11"/>
        <v>成新率</v>
      </c>
      <c r="R29" s="713" t="s">
        <v>17</v>
      </c>
      <c r="S29" s="714" t="e">
        <f t="shared" si="12"/>
        <v>#N/A</v>
      </c>
      <c r="T29" s="713" t="s">
        <v>17</v>
      </c>
      <c r="U29" s="714" t="e">
        <f t="shared" si="13"/>
        <v>#N/A</v>
      </c>
      <c r="V29" s="713" t="s">
        <v>17</v>
      </c>
      <c r="W29" s="714" t="e">
        <f t="shared" si="14"/>
        <v>#N/A</v>
      </c>
      <c r="X29" s="1507"/>
      <c r="Y29" s="3470"/>
      <c r="Z29" s="1508" t="str">
        <f t="shared" si="15"/>
        <v>成新率</v>
      </c>
      <c r="AA29" s="1505" t="e">
        <f t="shared" si="3"/>
        <v>#N/A</v>
      </c>
      <c r="AB29" s="1505" t="e">
        <f t="shared" si="4"/>
        <v>#N/A</v>
      </c>
      <c r="AC29" s="1505" t="e">
        <f t="shared" si="5"/>
        <v>#N/A</v>
      </c>
    </row>
    <row r="30" spans="1:29" ht="15">
      <c r="A30" s="611"/>
      <c r="B30" s="609" t="s">
        <v>2476</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470"/>
      <c r="Q30" s="1504" t="str">
        <f t="shared" si="11"/>
        <v>物业等级</v>
      </c>
      <c r="R30" s="713" t="s">
        <v>17</v>
      </c>
      <c r="S30" s="714">
        <f t="shared" si="12"/>
        <v>100</v>
      </c>
      <c r="T30" s="713" t="s">
        <v>17</v>
      </c>
      <c r="U30" s="714">
        <f t="shared" si="13"/>
        <v>100</v>
      </c>
      <c r="V30" s="713" t="s">
        <v>17</v>
      </c>
      <c r="W30" s="714">
        <f t="shared" si="14"/>
        <v>100</v>
      </c>
      <c r="X30" s="1507"/>
      <c r="Y30" s="3470"/>
      <c r="Z30" s="1508" t="str">
        <f t="shared" si="15"/>
        <v>物业等级</v>
      </c>
      <c r="AA30" s="1505">
        <f t="shared" si="3"/>
        <v>1</v>
      </c>
      <c r="AB30" s="1505">
        <f t="shared" si="4"/>
        <v>1</v>
      </c>
      <c r="AC30" s="1505">
        <f t="shared" si="5"/>
        <v>1</v>
      </c>
    </row>
    <row r="31" spans="1:29" s="113" customFormat="1" ht="15">
      <c r="A31" s="613"/>
      <c r="B31" s="609" t="s">
        <v>2477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470"/>
      <c r="Q31" s="1495" t="str">
        <f t="shared" si="11"/>
        <v>停车位面积</v>
      </c>
      <c r="R31" s="709" t="s">
        <v>17</v>
      </c>
      <c r="S31" s="710" t="e">
        <f t="shared" si="12"/>
        <v>#N/A</v>
      </c>
      <c r="T31" s="709" t="s">
        <v>17</v>
      </c>
      <c r="U31" s="710" t="e">
        <f t="shared" si="13"/>
        <v>#N/A</v>
      </c>
      <c r="V31" s="709" t="s">
        <v>17</v>
      </c>
      <c r="W31" s="710" t="e">
        <f t="shared" si="14"/>
        <v>#N/A</v>
      </c>
      <c r="X31" s="711"/>
      <c r="Y31" s="3470"/>
      <c r="Z31" s="55" t="str">
        <f t="shared" si="15"/>
        <v>停车位面积</v>
      </c>
      <c r="AA31" s="712" t="e">
        <f t="shared" si="3"/>
        <v>#N/A</v>
      </c>
      <c r="AB31" s="712" t="e">
        <f t="shared" si="4"/>
        <v>#N/A</v>
      </c>
      <c r="AC31" s="712" t="e">
        <f t="shared" si="5"/>
        <v>#N/A</v>
      </c>
    </row>
    <row r="32" spans="1:29" ht="15">
      <c r="A32" s="611"/>
      <c r="B32" s="609" t="s">
        <v>2478</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470" t="s">
        <v>2325</v>
      </c>
      <c r="Q32" s="1504" t="str">
        <f t="shared" si="11"/>
        <v>车位类型</v>
      </c>
      <c r="R32" s="713" t="s">
        <v>17</v>
      </c>
      <c r="S32" s="714">
        <f t="shared" si="12"/>
        <v>100</v>
      </c>
      <c r="T32" s="713" t="s">
        <v>17</v>
      </c>
      <c r="U32" s="714">
        <f t="shared" si="13"/>
        <v>100</v>
      </c>
      <c r="V32" s="713" t="s">
        <v>17</v>
      </c>
      <c r="W32" s="714">
        <f t="shared" si="14"/>
        <v>100</v>
      </c>
      <c r="X32" s="1507"/>
      <c r="Y32" s="3470" t="s">
        <v>2325</v>
      </c>
      <c r="Z32" s="1508" t="str">
        <f t="shared" si="15"/>
        <v>车位类型</v>
      </c>
      <c r="AA32" s="1505">
        <f t="shared" si="3"/>
        <v>1</v>
      </c>
      <c r="AB32" s="1505">
        <f t="shared" si="4"/>
        <v>1</v>
      </c>
      <c r="AC32" s="1505">
        <f t="shared" si="5"/>
        <v>1</v>
      </c>
    </row>
    <row r="33" spans="1:29" ht="15">
      <c r="A33" s="611"/>
      <c r="B33" s="609" t="s">
        <v>2479</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70"/>
      <c r="Q33" s="1504" t="str">
        <f t="shared" si="11"/>
        <v>是否直接入户</v>
      </c>
      <c r="R33" s="713" t="s">
        <v>17</v>
      </c>
      <c r="S33" s="714">
        <f t="shared" si="12"/>
        <v>100</v>
      </c>
      <c r="T33" s="713" t="s">
        <v>17</v>
      </c>
      <c r="U33" s="714">
        <f t="shared" si="13"/>
        <v>100</v>
      </c>
      <c r="V33" s="713" t="s">
        <v>17</v>
      </c>
      <c r="W33" s="714">
        <f t="shared" si="14"/>
        <v>100</v>
      </c>
      <c r="X33" s="1507"/>
      <c r="Y33" s="3470"/>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470"/>
      <c r="Q34" s="1504">
        <f t="shared" si="11"/>
        <v>111</v>
      </c>
      <c r="R34" s="713" t="s">
        <v>17</v>
      </c>
      <c r="S34" s="714">
        <f t="shared" si="12"/>
        <v>100</v>
      </c>
      <c r="T34" s="713" t="s">
        <v>17</v>
      </c>
      <c r="U34" s="714">
        <f t="shared" si="13"/>
        <v>100</v>
      </c>
      <c r="V34" s="713" t="s">
        <v>17</v>
      </c>
      <c r="W34" s="714">
        <f t="shared" si="14"/>
        <v>100</v>
      </c>
      <c r="X34" s="1507"/>
      <c r="Y34" s="3470"/>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70"/>
      <c r="Q35" s="715">
        <f t="shared" si="11"/>
        <v>111</v>
      </c>
      <c r="R35" s="716" t="s">
        <v>17</v>
      </c>
      <c r="S35" s="717">
        <f t="shared" si="12"/>
        <v>100</v>
      </c>
      <c r="T35" s="716" t="s">
        <v>17</v>
      </c>
      <c r="U35" s="717">
        <f t="shared" si="13"/>
        <v>100</v>
      </c>
      <c r="V35" s="716" t="s">
        <v>17</v>
      </c>
      <c r="W35" s="717">
        <f t="shared" si="14"/>
        <v>100</v>
      </c>
      <c r="X35" s="718"/>
      <c r="Y35" s="3470"/>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70"/>
      <c r="Q36" s="1504">
        <f t="shared" si="11"/>
        <v>111</v>
      </c>
      <c r="R36" s="713" t="s">
        <v>17</v>
      </c>
      <c r="S36" s="714">
        <f t="shared" si="12"/>
        <v>100</v>
      </c>
      <c r="T36" s="713" t="s">
        <v>17</v>
      </c>
      <c r="U36" s="714">
        <f t="shared" si="13"/>
        <v>100</v>
      </c>
      <c r="V36" s="713" t="s">
        <v>17</v>
      </c>
      <c r="W36" s="714">
        <f t="shared" si="14"/>
        <v>100</v>
      </c>
      <c r="X36" s="1507"/>
      <c r="Y36" s="3470"/>
      <c r="Z36" s="1508">
        <f t="shared" si="15"/>
        <v>111</v>
      </c>
      <c r="AA36" s="1505">
        <f t="shared" si="3"/>
        <v>1</v>
      </c>
      <c r="AB36" s="1505">
        <f t="shared" si="4"/>
        <v>1</v>
      </c>
      <c r="AC36" s="1505">
        <f t="shared" si="5"/>
        <v>1</v>
      </c>
    </row>
    <row r="37" spans="1:29" ht="15">
      <c r="A37" s="437" t="s">
        <v>2480</v>
      </c>
      <c r="B37" s="2127" t="s">
        <v>2481</v>
      </c>
      <c r="C37" s="1286" t="s">
        <v>1</v>
      </c>
      <c r="D37" s="1287"/>
      <c r="E37" s="1288"/>
      <c r="F37" s="1289"/>
      <c r="G37" s="1290"/>
      <c r="H37" s="1291"/>
      <c r="I37" s="1288"/>
      <c r="J37" s="1291"/>
      <c r="K37" s="575"/>
      <c r="L37" s="2921"/>
      <c r="M37" s="2922"/>
      <c r="N37" s="2913"/>
      <c r="O37" s="2922"/>
      <c r="P37" s="3463" t="str">
        <f>A37</f>
        <v>成交单价</v>
      </c>
      <c r="Q37" s="3463"/>
      <c r="R37" s="3464">
        <f>E37</f>
        <v>0</v>
      </c>
      <c r="S37" s="3464"/>
      <c r="T37" s="3464">
        <f>G37</f>
        <v>0</v>
      </c>
      <c r="U37" s="3464"/>
      <c r="V37" s="3464">
        <f>I37</f>
        <v>0</v>
      </c>
      <c r="W37" s="3464"/>
      <c r="X37" s="698"/>
      <c r="Y37" s="720"/>
      <c r="Z37" s="698"/>
      <c r="AA37" s="698"/>
      <c r="AB37" s="698"/>
      <c r="AC37" s="698"/>
    </row>
    <row r="38" spans="1:29" ht="15.75" thickBot="1">
      <c r="A38" s="444" t="s">
        <v>2482</v>
      </c>
      <c r="B38" s="445" t="str">
        <f>B37</f>
        <v>元/车位</v>
      </c>
      <c r="C38" s="1292" t="e">
        <f>R39</f>
        <v>#DIV/0!</v>
      </c>
      <c r="D38" s="2506" t="s">
        <v>2820</v>
      </c>
      <c r="E38" s="1293" t="e">
        <f>R38</f>
        <v>#DIV/0!</v>
      </c>
      <c r="F38" s="2507"/>
      <c r="G38" s="1292" t="e">
        <f>T38</f>
        <v>#DIV/0!</v>
      </c>
      <c r="H38" s="2507"/>
      <c r="I38" s="1293" t="e">
        <f>V38</f>
        <v>#DIV/0!</v>
      </c>
      <c r="J38" s="2507"/>
      <c r="K38" s="2509">
        <f>F38+H38+J38</f>
        <v>0</v>
      </c>
      <c r="L38" s="2921"/>
      <c r="M38" s="2922"/>
      <c r="N38" s="2922"/>
      <c r="O38" s="2922"/>
      <c r="P38" s="3463" t="str">
        <f>A38</f>
        <v>比较价值（元/平方米）</v>
      </c>
      <c r="Q38" s="3463"/>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698"/>
      <c r="Y38" s="698"/>
      <c r="Z38" s="698"/>
      <c r="AA38" s="698"/>
      <c r="AB38" s="698"/>
      <c r="AC38" s="698"/>
    </row>
    <row r="39" spans="1:29" ht="15.75" thickBot="1">
      <c r="A39" s="448" t="s">
        <v>2483</v>
      </c>
      <c r="B39" s="449"/>
      <c r="C39" s="1295" t="e">
        <f>R39</f>
        <v>#DIV/0!</v>
      </c>
      <c r="D39" s="1295"/>
      <c r="E39" s="1295"/>
      <c r="F39" s="1295"/>
      <c r="G39" s="1295"/>
      <c r="H39" s="1295"/>
      <c r="I39" s="1295"/>
      <c r="J39" s="1295"/>
      <c r="K39" s="576"/>
      <c r="L39" s="2921"/>
      <c r="M39" s="2922"/>
      <c r="N39" s="2922"/>
      <c r="O39" s="2922"/>
      <c r="P39" s="3460" t="str">
        <f>A39</f>
        <v>估价对象XX用房的比较价值（楼面单价，元/平方米）</v>
      </c>
      <c r="Q39" s="3461"/>
      <c r="R39" s="3490" t="e">
        <f>IF(F1="售价",ROUND(IF(D38="简单平均",AVERAGE(R38:W38),R38*F38+T38*H38+V38*J38),0),ROUND(IF(D38="简单平均",AVERAGE(R38:V38),R38*F38+T38*H38+V38*J38),1))</f>
        <v>#DIV/0!</v>
      </c>
      <c r="S39" s="3490"/>
      <c r="T39" s="3490"/>
      <c r="U39" s="3490"/>
      <c r="V39" s="3490"/>
      <c r="W39" s="3490"/>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8" t="s">
        <v>2487</v>
      </c>
      <c r="B47" s="1057"/>
      <c r="C47" s="1070"/>
      <c r="D47" s="1070"/>
      <c r="E47" s="1070"/>
      <c r="F47" s="1299"/>
      <c r="G47" s="1299"/>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2488</v>
      </c>
      <c r="B48" s="462"/>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6"/>
      <c r="Q48" s="2938"/>
      <c r="R48" s="2938"/>
      <c r="S48" s="2938"/>
      <c r="T48" s="2938"/>
      <c r="U48" s="2938"/>
      <c r="V48" s="2938"/>
      <c r="W48" s="2938"/>
      <c r="X48" s="2938"/>
      <c r="Y48" s="2938"/>
      <c r="Z48" s="2938"/>
      <c r="AA48" s="2938"/>
      <c r="AB48" s="2938"/>
      <c r="AC48" s="2938"/>
    </row>
    <row r="49" spans="1:29" s="113" customFormat="1" ht="15">
      <c r="A49" s="465"/>
      <c r="B49" s="466"/>
      <c r="C49" s="1309">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3" customFormat="1" ht="15.75" thickBot="1">
      <c r="A50" s="471" t="s">
        <v>2345</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3" customFormat="1" ht="15">
      <c r="A51" s="477" t="s">
        <v>2310</v>
      </c>
      <c r="B51" s="466"/>
      <c r="C51" s="478" t="s">
        <v>2412</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3"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2348</v>
      </c>
      <c r="B53" s="484" t="s">
        <v>2314</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2317</v>
      </c>
      <c r="C55" s="495" t="s">
        <v>2349</v>
      </c>
      <c r="D55" s="495" t="s">
        <v>2350</v>
      </c>
      <c r="E55" s="495" t="s">
        <v>2351</v>
      </c>
      <c r="F55" s="495" t="s">
        <v>2352</v>
      </c>
      <c r="G55" s="495" t="s">
        <v>2353</v>
      </c>
      <c r="H55" s="495" t="s">
        <v>2354</v>
      </c>
      <c r="I55" s="495" t="s">
        <v>2355</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2319</v>
      </c>
      <c r="B63" s="484" t="s">
        <v>2362</v>
      </c>
      <c r="C63" s="529" t="s">
        <v>2357</v>
      </c>
      <c r="D63" s="529" t="s">
        <v>2358</v>
      </c>
      <c r="E63" s="529" t="s">
        <v>2359</v>
      </c>
      <c r="F63" s="529" t="s">
        <v>2360</v>
      </c>
      <c r="G63" s="529" t="s">
        <v>2361</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2363</v>
      </c>
      <c r="C65" s="534" t="s">
        <v>2357</v>
      </c>
      <c r="D65" s="534" t="s">
        <v>2358</v>
      </c>
      <c r="E65" s="534" t="s">
        <v>2359</v>
      </c>
      <c r="F65" s="534" t="s">
        <v>2360</v>
      </c>
      <c r="G65" s="534" t="s">
        <v>2361</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2449</v>
      </c>
      <c r="C67" s="615" t="s">
        <v>2435</v>
      </c>
      <c r="D67" s="615" t="s">
        <v>2436</v>
      </c>
      <c r="E67" s="615" t="s">
        <v>2437</v>
      </c>
      <c r="F67" s="615" t="s">
        <v>2438</v>
      </c>
      <c r="G67" s="615" t="s">
        <v>2439</v>
      </c>
      <c r="H67" s="495"/>
      <c r="I67" s="495"/>
      <c r="J67" s="495"/>
      <c r="K67" s="495"/>
      <c r="L67" s="495"/>
      <c r="M67" s="1261"/>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2369</v>
      </c>
      <c r="C69" s="534" t="s">
        <v>2357</v>
      </c>
      <c r="D69" s="534" t="s">
        <v>2358</v>
      </c>
      <c r="E69" s="534" t="s">
        <v>2359</v>
      </c>
      <c r="F69" s="534" t="s">
        <v>2360</v>
      </c>
      <c r="G69" s="534" t="s">
        <v>2361</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2489</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3"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3"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3"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3"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2323</v>
      </c>
      <c r="B79" s="484" t="s">
        <v>2490</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2491</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2376</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2493</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2495</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2496</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2467</v>
      </c>
      <c r="B1" s="1361"/>
      <c r="C1" s="1362" t="s">
        <v>2290</v>
      </c>
      <c r="D1" s="1363"/>
      <c r="E1" s="1372"/>
      <c r="F1" s="2033"/>
      <c r="G1" s="1373" t="s">
        <v>2403</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2087</v>
      </c>
      <c r="B2" s="1296" t="e">
        <f ca="1">IF(C2="——",ROUND(C37*D3/10000,0),ROUND(C37*D3/10000,0)-D2)</f>
        <v>#DIV/0!</v>
      </c>
      <c r="C2" s="2035"/>
      <c r="D2" s="1037" t="e">
        <f ca="1">SUMIF(INDIRECT("'"&amp;F2&amp;"'"&amp;"!A:A"),"承租人权益价值",INDIRECT("'"&amp;F2&amp;"'"&amp;"!c:c"))</f>
        <v>#REF!</v>
      </c>
      <c r="E2" s="2036" t="s">
        <v>2088</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 ca="1">IF(C2="——",C37,ROUND(B2*10000/D3,0))</f>
        <v>#DIV/0!</v>
      </c>
      <c r="C3" s="359" t="s">
        <v>2404</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2405</v>
      </c>
      <c r="B4" s="361"/>
      <c r="C4" s="3446" t="s">
        <v>2406</v>
      </c>
      <c r="D4" s="3447"/>
      <c r="E4" s="3448" t="s">
        <v>2407</v>
      </c>
      <c r="F4" s="3449"/>
      <c r="G4" s="3446" t="s">
        <v>2408</v>
      </c>
      <c r="H4" s="3447"/>
      <c r="I4" s="3446" t="s">
        <v>2409</v>
      </c>
      <c r="J4" s="3447"/>
      <c r="K4" s="566" t="s">
        <v>2410</v>
      </c>
      <c r="L4" s="2912"/>
      <c r="M4" s="2913"/>
      <c r="N4" s="2913"/>
      <c r="O4" s="2913"/>
      <c r="P4" s="3450" t="s">
        <v>2411</v>
      </c>
      <c r="Q4" s="3451"/>
      <c r="R4" s="3433" t="s">
        <v>2407</v>
      </c>
      <c r="S4" s="3434"/>
      <c r="T4" s="3433" t="s">
        <v>2408</v>
      </c>
      <c r="U4" s="3434"/>
      <c r="V4" s="3458" t="s">
        <v>2409</v>
      </c>
      <c r="W4" s="3458"/>
      <c r="X4" s="1507"/>
      <c r="Y4" s="3433" t="s">
        <v>2411</v>
      </c>
      <c r="Z4" s="3434"/>
      <c r="AA4" s="3428" t="s">
        <v>2407</v>
      </c>
      <c r="AB4" s="3429" t="s">
        <v>2408</v>
      </c>
      <c r="AC4" s="3428" t="s">
        <v>2409</v>
      </c>
    </row>
    <row r="5" spans="1:29" ht="15">
      <c r="A5" s="363"/>
      <c r="B5" s="364"/>
      <c r="C5" s="3439" t="s">
        <v>2302</v>
      </c>
      <c r="D5" s="3440"/>
      <c r="E5" s="3437" t="s">
        <v>2303</v>
      </c>
      <c r="F5" s="3438"/>
      <c r="G5" s="3439" t="s">
        <v>2304</v>
      </c>
      <c r="H5" s="3440"/>
      <c r="I5" s="3439" t="s">
        <v>2305</v>
      </c>
      <c r="J5" s="3440"/>
      <c r="K5" s="566"/>
      <c r="L5" s="2912"/>
      <c r="M5" s="2913"/>
      <c r="N5" s="2913"/>
      <c r="O5" s="2913"/>
      <c r="P5" s="3452"/>
      <c r="Q5" s="3453"/>
      <c r="R5" s="3435"/>
      <c r="S5" s="3436"/>
      <c r="T5" s="3435"/>
      <c r="U5" s="3436"/>
      <c r="V5" s="3458"/>
      <c r="W5" s="3458"/>
      <c r="X5" s="1507"/>
      <c r="Y5" s="3435"/>
      <c r="Z5" s="3436"/>
      <c r="AA5" s="3429"/>
      <c r="AB5" s="3429"/>
      <c r="AC5" s="3429"/>
    </row>
    <row r="6" spans="1:29" ht="15.75" thickBot="1">
      <c r="A6" s="365"/>
      <c r="B6" s="366"/>
      <c r="C6" s="3441" t="s">
        <v>2306</v>
      </c>
      <c r="D6" s="3442"/>
      <c r="E6" s="3443" t="s">
        <v>2306</v>
      </c>
      <c r="F6" s="3444"/>
      <c r="G6" s="3441" t="s">
        <v>2306</v>
      </c>
      <c r="H6" s="3442"/>
      <c r="I6" s="3441" t="s">
        <v>2306</v>
      </c>
      <c r="J6" s="3442"/>
      <c r="K6" s="566" t="s">
        <v>2307</v>
      </c>
      <c r="L6" s="2912"/>
      <c r="M6" s="2913"/>
      <c r="N6" s="2913"/>
      <c r="O6" s="2913"/>
      <c r="P6" s="3454"/>
      <c r="Q6" s="3455"/>
      <c r="R6" s="3435"/>
      <c r="S6" s="3436"/>
      <c r="T6" s="3456"/>
      <c r="U6" s="3457"/>
      <c r="V6" s="3458"/>
      <c r="W6" s="3458"/>
      <c r="X6" s="1507"/>
      <c r="Y6" s="3456"/>
      <c r="Z6" s="3457"/>
      <c r="AA6" s="3430"/>
      <c r="AB6" s="3430"/>
      <c r="AC6" s="3430"/>
    </row>
    <row r="7" spans="1:29" s="113" customFormat="1" ht="15.75" thickBot="1">
      <c r="A7" s="367" t="s">
        <v>2308</v>
      </c>
      <c r="B7" s="368"/>
      <c r="C7" s="369">
        <f>'数据-取费表'!B2</f>
        <v>44642</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431" t="s">
        <v>2309</v>
      </c>
      <c r="Q7" s="3459"/>
      <c r="R7" s="709" t="s">
        <v>17</v>
      </c>
      <c r="S7" s="710">
        <f t="shared" ref="S7:S14" si="0">F7</f>
        <v>0</v>
      </c>
      <c r="T7" s="709" t="s">
        <v>17</v>
      </c>
      <c r="U7" s="710">
        <f t="shared" ref="U7:U14" si="1">H7</f>
        <v>0</v>
      </c>
      <c r="V7" s="709" t="s">
        <v>17</v>
      </c>
      <c r="W7" s="710">
        <f t="shared" ref="W7:W14" si="2">J7</f>
        <v>0</v>
      </c>
      <c r="X7" s="711"/>
      <c r="Y7" s="3431" t="s">
        <v>2309</v>
      </c>
      <c r="Z7" s="3432"/>
      <c r="AA7" s="712" t="e">
        <f>D7/F7</f>
        <v>#DIV/0!</v>
      </c>
      <c r="AB7" s="712" t="e">
        <f>D7/H7</f>
        <v>#DIV/0!</v>
      </c>
      <c r="AC7" s="712" t="e">
        <f>D7/J7</f>
        <v>#DIV/0!</v>
      </c>
    </row>
    <row r="8" spans="1:29" s="113" customFormat="1" ht="15.75" thickBot="1">
      <c r="A8" s="367" t="s">
        <v>2310</v>
      </c>
      <c r="B8" s="368"/>
      <c r="C8" s="373" t="s">
        <v>2412</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431" t="s">
        <v>2312</v>
      </c>
      <c r="Q8" s="3432"/>
      <c r="R8" s="709" t="s">
        <v>17</v>
      </c>
      <c r="S8" s="710">
        <f t="shared" si="0"/>
        <v>0</v>
      </c>
      <c r="T8" s="709" t="s">
        <v>17</v>
      </c>
      <c r="U8" s="710">
        <f t="shared" si="1"/>
        <v>0</v>
      </c>
      <c r="V8" s="709" t="s">
        <v>17</v>
      </c>
      <c r="W8" s="710">
        <f t="shared" si="2"/>
        <v>0</v>
      </c>
      <c r="X8" s="711"/>
      <c r="Y8" s="3431" t="s">
        <v>2312</v>
      </c>
      <c r="Z8" s="3432"/>
      <c r="AA8" s="712" t="e">
        <f t="shared" ref="AA8:AA34" si="3">D8/F8</f>
        <v>#DIV/0!</v>
      </c>
      <c r="AB8" s="712" t="e">
        <f t="shared" ref="AB8:AB34" si="4">D8/H8</f>
        <v>#DIV/0!</v>
      </c>
      <c r="AC8" s="712" t="e">
        <f t="shared" ref="AC8:AC34" si="5">D8/J8</f>
        <v>#DIV/0!</v>
      </c>
    </row>
    <row r="9" spans="1:29" s="113" customFormat="1">
      <c r="A9" s="374" t="s">
        <v>2313</v>
      </c>
      <c r="B9" s="67" t="s">
        <v>2314</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63" t="s">
        <v>2315</v>
      </c>
      <c r="Q9" s="1495" t="str">
        <f t="shared" ref="Q9:Q14" si="6">B9</f>
        <v>用途</v>
      </c>
      <c r="R9" s="709" t="s">
        <v>17</v>
      </c>
      <c r="S9" s="710">
        <f t="shared" si="0"/>
        <v>100</v>
      </c>
      <c r="T9" s="709" t="s">
        <v>17</v>
      </c>
      <c r="U9" s="710">
        <f t="shared" si="1"/>
        <v>100</v>
      </c>
      <c r="V9" s="709" t="s">
        <v>17</v>
      </c>
      <c r="W9" s="710">
        <f t="shared" si="2"/>
        <v>100</v>
      </c>
      <c r="X9" s="711"/>
      <c r="Y9" s="3375" t="s">
        <v>2316</v>
      </c>
      <c r="Z9" s="55" t="str">
        <f t="shared" ref="Z9:Z14" si="7">Q9</f>
        <v>用途</v>
      </c>
      <c r="AA9" s="712">
        <f t="shared" si="3"/>
        <v>1</v>
      </c>
      <c r="AB9" s="712">
        <f t="shared" si="4"/>
        <v>1</v>
      </c>
      <c r="AC9" s="712">
        <f t="shared" si="5"/>
        <v>1</v>
      </c>
    </row>
    <row r="10" spans="1:29" s="385" customFormat="1" ht="27">
      <c r="A10" s="379"/>
      <c r="B10" s="380" t="s">
        <v>2317</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63"/>
      <c r="Q10" s="1495" t="str">
        <f t="shared" si="6"/>
        <v>土地使用年限（年）</v>
      </c>
      <c r="R10" s="709" t="s">
        <v>17</v>
      </c>
      <c r="S10" s="710">
        <f t="shared" si="0"/>
        <v>100</v>
      </c>
      <c r="T10" s="709" t="s">
        <v>17</v>
      </c>
      <c r="U10" s="710">
        <f t="shared" si="1"/>
        <v>100</v>
      </c>
      <c r="V10" s="709" t="s">
        <v>17</v>
      </c>
      <c r="W10" s="710">
        <f t="shared" si="2"/>
        <v>100</v>
      </c>
      <c r="X10" s="711"/>
      <c r="Y10" s="3375"/>
      <c r="Z10" s="55"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63"/>
      <c r="Q11" s="1495">
        <f t="shared" si="6"/>
        <v>111</v>
      </c>
      <c r="R11" s="709" t="s">
        <v>17</v>
      </c>
      <c r="S11" s="710">
        <f t="shared" si="0"/>
        <v>100</v>
      </c>
      <c r="T11" s="709" t="s">
        <v>17</v>
      </c>
      <c r="U11" s="710">
        <f t="shared" si="1"/>
        <v>100</v>
      </c>
      <c r="V11" s="709" t="s">
        <v>17</v>
      </c>
      <c r="W11" s="710">
        <f t="shared" si="2"/>
        <v>100</v>
      </c>
      <c r="X11" s="711"/>
      <c r="Y11" s="3375"/>
      <c r="Z11" s="55">
        <f t="shared" si="7"/>
        <v>111</v>
      </c>
      <c r="AA11" s="712">
        <f t="shared" si="3"/>
        <v>1</v>
      </c>
      <c r="AB11" s="712">
        <f t="shared" si="4"/>
        <v>1</v>
      </c>
      <c r="AC11" s="712">
        <f t="shared" si="5"/>
        <v>1</v>
      </c>
    </row>
    <row r="12" spans="1:29" s="113"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63"/>
      <c r="Q12" s="1495">
        <f t="shared" si="6"/>
        <v>111</v>
      </c>
      <c r="R12" s="709" t="s">
        <v>17</v>
      </c>
      <c r="S12" s="710">
        <f t="shared" si="0"/>
        <v>100</v>
      </c>
      <c r="T12" s="709" t="s">
        <v>17</v>
      </c>
      <c r="U12" s="710">
        <f t="shared" si="1"/>
        <v>100</v>
      </c>
      <c r="V12" s="709" t="s">
        <v>17</v>
      </c>
      <c r="W12" s="710">
        <f t="shared" si="2"/>
        <v>100</v>
      </c>
      <c r="X12" s="711"/>
      <c r="Y12" s="3375"/>
      <c r="Z12" s="55">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63"/>
      <c r="Q13" s="1495">
        <f t="shared" si="6"/>
        <v>111</v>
      </c>
      <c r="R13" s="709" t="s">
        <v>17</v>
      </c>
      <c r="S13" s="710">
        <f t="shared" si="0"/>
        <v>100</v>
      </c>
      <c r="T13" s="709" t="s">
        <v>17</v>
      </c>
      <c r="U13" s="710">
        <f t="shared" si="1"/>
        <v>100</v>
      </c>
      <c r="V13" s="709" t="s">
        <v>17</v>
      </c>
      <c r="W13" s="710">
        <f t="shared" si="2"/>
        <v>100</v>
      </c>
      <c r="X13" s="711"/>
      <c r="Y13" s="3375"/>
      <c r="Z13" s="55">
        <f t="shared" si="7"/>
        <v>111</v>
      </c>
      <c r="AA13" s="712">
        <f t="shared" si="3"/>
        <v>1</v>
      </c>
      <c r="AB13" s="712">
        <f t="shared" si="4"/>
        <v>1</v>
      </c>
      <c r="AC13" s="712">
        <f t="shared" si="5"/>
        <v>1</v>
      </c>
    </row>
    <row r="14" spans="1:29" ht="85.5">
      <c r="A14" s="398" t="s">
        <v>2319</v>
      </c>
      <c r="B14" s="65" t="s">
        <v>2469</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65" t="s">
        <v>2320</v>
      </c>
      <c r="Q14" s="1504" t="str">
        <f t="shared" si="6"/>
        <v>交通便捷度</v>
      </c>
      <c r="R14" s="713" t="s">
        <v>17</v>
      </c>
      <c r="S14" s="714">
        <f t="shared" si="0"/>
        <v>100</v>
      </c>
      <c r="T14" s="713" t="s">
        <v>17</v>
      </c>
      <c r="U14" s="714">
        <f t="shared" si="1"/>
        <v>100</v>
      </c>
      <c r="V14" s="713" t="s">
        <v>17</v>
      </c>
      <c r="W14" s="714">
        <f t="shared" si="2"/>
        <v>100</v>
      </c>
      <c r="X14" s="1507"/>
      <c r="Y14" s="3465" t="s">
        <v>2320</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466"/>
      <c r="Q15" s="1504"/>
      <c r="R15" s="713"/>
      <c r="S15" s="714"/>
      <c r="T15" s="713"/>
      <c r="U15" s="714"/>
      <c r="V15" s="713"/>
      <c r="W15" s="714"/>
      <c r="X15" s="1507"/>
      <c r="Y15" s="3466"/>
      <c r="Z15" s="1508"/>
      <c r="AA15" s="1505">
        <v>1</v>
      </c>
      <c r="AB15" s="1505">
        <v>1</v>
      </c>
      <c r="AC15" s="1505">
        <v>1</v>
      </c>
    </row>
    <row r="16" spans="1:29" ht="42.75">
      <c r="A16" s="386"/>
      <c r="B16" s="409" t="s">
        <v>2448</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66"/>
      <c r="Q16" s="1504" t="str">
        <f>B16</f>
        <v>公共配套设施</v>
      </c>
      <c r="R16" s="713" t="s">
        <v>17</v>
      </c>
      <c r="S16" s="714">
        <f>F16</f>
        <v>100</v>
      </c>
      <c r="T16" s="713" t="s">
        <v>17</v>
      </c>
      <c r="U16" s="714">
        <f>H16</f>
        <v>100</v>
      </c>
      <c r="V16" s="713" t="s">
        <v>17</v>
      </c>
      <c r="W16" s="714">
        <f>J16</f>
        <v>100</v>
      </c>
      <c r="X16" s="1507"/>
      <c r="Y16" s="3466"/>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466"/>
      <c r="Q17" s="1504"/>
      <c r="R17" s="713"/>
      <c r="S17" s="714"/>
      <c r="T17" s="713"/>
      <c r="U17" s="714"/>
      <c r="V17" s="713"/>
      <c r="W17" s="714"/>
      <c r="X17" s="1507"/>
      <c r="Y17" s="3466"/>
      <c r="Z17" s="1508"/>
      <c r="AA17" s="1505">
        <v>1</v>
      </c>
      <c r="AB17" s="1505">
        <v>1</v>
      </c>
      <c r="AC17" s="1505">
        <v>1</v>
      </c>
    </row>
    <row r="18" spans="1:29" ht="28.5">
      <c r="A18" s="386"/>
      <c r="B18" s="1263" t="s">
        <v>2449</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66"/>
      <c r="Q18" s="1504" t="str">
        <f>B18</f>
        <v>基础设施水平</v>
      </c>
      <c r="R18" s="713" t="s">
        <v>17</v>
      </c>
      <c r="S18" s="714">
        <f>F18</f>
        <v>100</v>
      </c>
      <c r="T18" s="713" t="s">
        <v>17</v>
      </c>
      <c r="U18" s="714">
        <f>H18</f>
        <v>100</v>
      </c>
      <c r="V18" s="713" t="s">
        <v>17</v>
      </c>
      <c r="W18" s="714">
        <f>J18</f>
        <v>100</v>
      </c>
      <c r="X18" s="1507"/>
      <c r="Y18" s="3466"/>
      <c r="Z18" s="1508" t="str">
        <f>Q18</f>
        <v>基础设施水平</v>
      </c>
      <c r="AA18" s="1505">
        <f t="shared" ref="AA18" si="8">D18/F18</f>
        <v>1</v>
      </c>
      <c r="AB18" s="1505">
        <f t="shared" ref="AB18" si="9">D18/H18</f>
        <v>1</v>
      </c>
      <c r="AC18" s="1505">
        <f t="shared" ref="AC18" si="10">D18/J18</f>
        <v>1</v>
      </c>
    </row>
    <row r="19" spans="1:29" ht="15">
      <c r="A19" s="386"/>
      <c r="B19" s="1263"/>
      <c r="C19" s="2055"/>
      <c r="D19" s="408"/>
      <c r="E19" s="2055"/>
      <c r="F19" s="411"/>
      <c r="G19" s="2055"/>
      <c r="H19" s="406"/>
      <c r="I19" s="405"/>
      <c r="J19" s="406"/>
      <c r="K19" s="1262"/>
      <c r="L19" s="2919"/>
      <c r="M19" s="2913"/>
      <c r="N19" s="2913"/>
      <c r="O19" s="2971"/>
      <c r="P19" s="3466"/>
      <c r="Q19" s="1504"/>
      <c r="R19" s="713"/>
      <c r="S19" s="714"/>
      <c r="T19" s="713"/>
      <c r="U19" s="714"/>
      <c r="V19" s="713"/>
      <c r="W19" s="714"/>
      <c r="X19" s="1507"/>
      <c r="Y19" s="3466"/>
      <c r="Z19" s="1508"/>
      <c r="AA19" s="1505">
        <v>1</v>
      </c>
      <c r="AB19" s="1505">
        <v>1</v>
      </c>
      <c r="AC19" s="1505">
        <v>1</v>
      </c>
    </row>
    <row r="20" spans="1:29" ht="57">
      <c r="A20" s="386"/>
      <c r="B20" s="409" t="s">
        <v>2470</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66"/>
      <c r="Q20" s="1504" t="str">
        <f>B20</f>
        <v>自然及人文环境</v>
      </c>
      <c r="R20" s="713" t="s">
        <v>17</v>
      </c>
      <c r="S20" s="714">
        <f>F20</f>
        <v>100</v>
      </c>
      <c r="T20" s="713" t="s">
        <v>17</v>
      </c>
      <c r="U20" s="714">
        <f>H20</f>
        <v>100</v>
      </c>
      <c r="V20" s="713" t="s">
        <v>17</v>
      </c>
      <c r="W20" s="714">
        <f>J20</f>
        <v>100</v>
      </c>
      <c r="X20" s="1507"/>
      <c r="Y20" s="3466"/>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466"/>
      <c r="Q21" s="1504"/>
      <c r="R21" s="713"/>
      <c r="S21" s="714"/>
      <c r="T21" s="713"/>
      <c r="U21" s="714"/>
      <c r="V21" s="713"/>
      <c r="W21" s="714"/>
      <c r="X21" s="1507"/>
      <c r="Y21" s="3466"/>
      <c r="Z21" s="1508"/>
      <c r="AA21" s="1505">
        <v>1</v>
      </c>
      <c r="AB21" s="1505">
        <v>1</v>
      </c>
      <c r="AC21" s="1505">
        <v>1</v>
      </c>
    </row>
    <row r="22" spans="1:29" ht="15">
      <c r="A22" s="386"/>
      <c r="B22" s="409" t="s">
        <v>2471</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66"/>
      <c r="Q22" s="1504" t="str">
        <f>B22</f>
        <v>楼层</v>
      </c>
      <c r="R22" s="713" t="s">
        <v>17</v>
      </c>
      <c r="S22" s="714">
        <f>F22</f>
        <v>100</v>
      </c>
      <c r="T22" s="713" t="s">
        <v>17</v>
      </c>
      <c r="U22" s="714">
        <f>H22</f>
        <v>100</v>
      </c>
      <c r="V22" s="713" t="s">
        <v>17</v>
      </c>
      <c r="W22" s="714">
        <f>J22</f>
        <v>100</v>
      </c>
      <c r="X22" s="1507"/>
      <c r="Y22" s="3466"/>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66"/>
      <c r="Q23" s="1504">
        <f>B23</f>
        <v>111</v>
      </c>
      <c r="R23" s="713" t="s">
        <v>17</v>
      </c>
      <c r="S23" s="714">
        <f>F23</f>
        <v>100</v>
      </c>
      <c r="T23" s="713" t="s">
        <v>17</v>
      </c>
      <c r="U23" s="714">
        <f>H23</f>
        <v>100</v>
      </c>
      <c r="V23" s="713" t="s">
        <v>17</v>
      </c>
      <c r="W23" s="714">
        <f>J23</f>
        <v>100</v>
      </c>
      <c r="X23" s="1507"/>
      <c r="Y23" s="3466"/>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66"/>
      <c r="Q24" s="1504">
        <f t="shared" ref="Q24:Q34" si="11">B24</f>
        <v>111</v>
      </c>
      <c r="R24" s="713" t="s">
        <v>17</v>
      </c>
      <c r="S24" s="714">
        <f>F24</f>
        <v>100</v>
      </c>
      <c r="T24" s="713" t="s">
        <v>17</v>
      </c>
      <c r="U24" s="714">
        <f>H24</f>
        <v>100</v>
      </c>
      <c r="V24" s="713" t="s">
        <v>17</v>
      </c>
      <c r="W24" s="714">
        <f>J24</f>
        <v>100</v>
      </c>
      <c r="X24" s="1507"/>
      <c r="Y24" s="3466"/>
      <c r="Z24" s="1508">
        <f>Q24</f>
        <v>111</v>
      </c>
      <c r="AA24" s="1505">
        <f t="shared" si="3"/>
        <v>1</v>
      </c>
      <c r="AB24" s="1505">
        <f t="shared" si="4"/>
        <v>1</v>
      </c>
      <c r="AC24" s="1505">
        <f t="shared" si="5"/>
        <v>1</v>
      </c>
    </row>
    <row r="25" spans="1:29" s="113"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466"/>
      <c r="Q25" s="1495">
        <f t="shared" si="11"/>
        <v>111</v>
      </c>
      <c r="R25" s="709" t="s">
        <v>17</v>
      </c>
      <c r="S25" s="710">
        <f>F25</f>
        <v>100</v>
      </c>
      <c r="T25" s="709" t="s">
        <v>17</v>
      </c>
      <c r="U25" s="710">
        <f>H25</f>
        <v>100</v>
      </c>
      <c r="V25" s="709" t="s">
        <v>17</v>
      </c>
      <c r="W25" s="710">
        <f>J25</f>
        <v>100</v>
      </c>
      <c r="X25" s="711"/>
      <c r="Y25" s="3466"/>
      <c r="Z25" s="55">
        <f>Q25</f>
        <v>111</v>
      </c>
      <c r="AA25" s="1505">
        <f>D25/F25</f>
        <v>1</v>
      </c>
      <c r="AB25" s="1505">
        <f>D25/H25</f>
        <v>1</v>
      </c>
      <c r="AC25" s="1505">
        <f>D25/J25</f>
        <v>1</v>
      </c>
    </row>
    <row r="26" spans="1:29" ht="28.5">
      <c r="A26" s="424" t="s">
        <v>2323</v>
      </c>
      <c r="B26" s="67" t="s">
        <v>2474</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489" t="s">
        <v>2325</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70" t="s">
        <v>2325</v>
      </c>
      <c r="Z26" s="1508" t="str">
        <f t="shared" ref="Z26:Z34" si="15">Q26</f>
        <v>公共部分装修</v>
      </c>
      <c r="AA26" s="1505">
        <f t="shared" si="3"/>
        <v>1</v>
      </c>
      <c r="AB26" s="1505">
        <f t="shared" si="4"/>
        <v>1</v>
      </c>
      <c r="AC26" s="1505">
        <f t="shared" si="5"/>
        <v>1</v>
      </c>
    </row>
    <row r="27" spans="1:29" s="429" customFormat="1" ht="15">
      <c r="A27" s="426"/>
      <c r="B27" s="380" t="s">
        <v>2475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70"/>
      <c r="Q27" s="715" t="str">
        <f t="shared" si="11"/>
        <v>成新率</v>
      </c>
      <c r="R27" s="716" t="s">
        <v>17</v>
      </c>
      <c r="S27" s="717" t="e">
        <f t="shared" si="12"/>
        <v>#N/A</v>
      </c>
      <c r="T27" s="716" t="s">
        <v>17</v>
      </c>
      <c r="U27" s="717" t="e">
        <f t="shared" si="13"/>
        <v>#N/A</v>
      </c>
      <c r="V27" s="716" t="s">
        <v>17</v>
      </c>
      <c r="W27" s="717" t="e">
        <f t="shared" si="14"/>
        <v>#N/A</v>
      </c>
      <c r="X27" s="718"/>
      <c r="Y27" s="3470"/>
      <c r="Z27" s="719" t="str">
        <f t="shared" si="15"/>
        <v>成新率</v>
      </c>
      <c r="AA27" s="1505" t="e">
        <f t="shared" si="3"/>
        <v>#N/A</v>
      </c>
      <c r="AB27" s="1505" t="e">
        <f t="shared" si="4"/>
        <v>#N/A</v>
      </c>
      <c r="AC27" s="1505" t="e">
        <f t="shared" si="5"/>
        <v>#N/A</v>
      </c>
    </row>
    <row r="28" spans="1:29" ht="15">
      <c r="A28" s="430"/>
      <c r="B28" s="380" t="s">
        <v>2476</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70"/>
      <c r="Q28" s="1504" t="str">
        <f t="shared" si="11"/>
        <v>物业等级</v>
      </c>
      <c r="R28" s="713" t="s">
        <v>17</v>
      </c>
      <c r="S28" s="714">
        <f t="shared" si="12"/>
        <v>100</v>
      </c>
      <c r="T28" s="713" t="s">
        <v>17</v>
      </c>
      <c r="U28" s="714">
        <f t="shared" si="13"/>
        <v>100</v>
      </c>
      <c r="V28" s="713" t="s">
        <v>17</v>
      </c>
      <c r="W28" s="714">
        <f t="shared" si="14"/>
        <v>100</v>
      </c>
      <c r="X28" s="1507"/>
      <c r="Y28" s="3470"/>
      <c r="Z28" s="1508" t="str">
        <f t="shared" si="15"/>
        <v>物业等级</v>
      </c>
      <c r="AA28" s="1505">
        <f t="shared" si="3"/>
        <v>1</v>
      </c>
      <c r="AB28" s="1505">
        <f t="shared" si="4"/>
        <v>1</v>
      </c>
      <c r="AC28" s="1505">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70"/>
      <c r="Q29" s="1504" t="str">
        <f t="shared" si="11"/>
        <v>有无电梯</v>
      </c>
      <c r="R29" s="713" t="s">
        <v>17</v>
      </c>
      <c r="S29" s="714">
        <f t="shared" si="12"/>
        <v>100</v>
      </c>
      <c r="T29" s="713" t="s">
        <v>17</v>
      </c>
      <c r="U29" s="714">
        <f t="shared" si="13"/>
        <v>100</v>
      </c>
      <c r="V29" s="713" t="s">
        <v>17</v>
      </c>
      <c r="W29" s="714">
        <f t="shared" si="14"/>
        <v>100</v>
      </c>
      <c r="X29" s="1507"/>
      <c r="Y29" s="3470"/>
      <c r="Z29" s="1508" t="str">
        <f t="shared" si="15"/>
        <v>有无电梯</v>
      </c>
      <c r="AA29" s="1505">
        <f t="shared" si="3"/>
        <v>1</v>
      </c>
      <c r="AB29" s="1505">
        <f t="shared" si="4"/>
        <v>1</v>
      </c>
      <c r="AC29" s="1505">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70"/>
      <c r="Q30" s="1504" t="str">
        <f t="shared" si="11"/>
        <v>建筑面积</v>
      </c>
      <c r="R30" s="713" t="s">
        <v>17</v>
      </c>
      <c r="S30" s="714" t="e">
        <f t="shared" si="12"/>
        <v>#N/A</v>
      </c>
      <c r="T30" s="713" t="s">
        <v>17</v>
      </c>
      <c r="U30" s="714" t="e">
        <f t="shared" si="13"/>
        <v>#N/A</v>
      </c>
      <c r="V30" s="713" t="s">
        <v>17</v>
      </c>
      <c r="W30" s="714" t="e">
        <f t="shared" si="14"/>
        <v>#N/A</v>
      </c>
      <c r="X30" s="1507"/>
      <c r="Y30" s="3470"/>
      <c r="Z30" s="1508" t="str">
        <f t="shared" si="15"/>
        <v>建筑面积</v>
      </c>
      <c r="AA30" s="1505" t="e">
        <f t="shared" si="3"/>
        <v>#N/A</v>
      </c>
      <c r="AB30" s="1505" t="e">
        <f t="shared" si="4"/>
        <v>#N/A</v>
      </c>
      <c r="AC30" s="1505" t="e">
        <f t="shared" si="5"/>
        <v>#N/A</v>
      </c>
    </row>
    <row r="31" spans="1:29" s="113" customFormat="1" ht="15">
      <c r="A31" s="431"/>
      <c r="B31" s="380" t="s">
        <v>2499</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70"/>
      <c r="Q31" s="1495" t="str">
        <f t="shared" si="11"/>
        <v>是否封闭</v>
      </c>
      <c r="R31" s="709" t="s">
        <v>17</v>
      </c>
      <c r="S31" s="710">
        <f t="shared" si="12"/>
        <v>100</v>
      </c>
      <c r="T31" s="709" t="s">
        <v>17</v>
      </c>
      <c r="U31" s="710">
        <f t="shared" si="13"/>
        <v>100</v>
      </c>
      <c r="V31" s="709" t="s">
        <v>17</v>
      </c>
      <c r="W31" s="710">
        <f t="shared" si="14"/>
        <v>100</v>
      </c>
      <c r="X31" s="711"/>
      <c r="Y31" s="3470"/>
      <c r="Z31" s="55"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70" t="s">
        <v>2325</v>
      </c>
      <c r="Q32" s="1504">
        <f t="shared" si="11"/>
        <v>111</v>
      </c>
      <c r="R32" s="713" t="s">
        <v>17</v>
      </c>
      <c r="S32" s="714">
        <f t="shared" si="12"/>
        <v>100</v>
      </c>
      <c r="T32" s="713" t="s">
        <v>17</v>
      </c>
      <c r="U32" s="714">
        <f t="shared" si="13"/>
        <v>100</v>
      </c>
      <c r="V32" s="713" t="s">
        <v>17</v>
      </c>
      <c r="W32" s="714">
        <f t="shared" si="14"/>
        <v>100</v>
      </c>
      <c r="X32" s="1507"/>
      <c r="Y32" s="3470" t="s">
        <v>2325</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70"/>
      <c r="Q33" s="1504">
        <f t="shared" si="11"/>
        <v>111</v>
      </c>
      <c r="R33" s="713" t="s">
        <v>17</v>
      </c>
      <c r="S33" s="714">
        <f t="shared" si="12"/>
        <v>100</v>
      </c>
      <c r="T33" s="713" t="s">
        <v>17</v>
      </c>
      <c r="U33" s="714">
        <f t="shared" si="13"/>
        <v>100</v>
      </c>
      <c r="V33" s="713" t="s">
        <v>17</v>
      </c>
      <c r="W33" s="714">
        <f t="shared" si="14"/>
        <v>100</v>
      </c>
      <c r="X33" s="1507"/>
      <c r="Y33" s="3470"/>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470"/>
      <c r="Q34" s="1504">
        <f t="shared" si="11"/>
        <v>111</v>
      </c>
      <c r="R34" s="713" t="s">
        <v>17</v>
      </c>
      <c r="S34" s="714">
        <f t="shared" si="12"/>
        <v>100</v>
      </c>
      <c r="T34" s="713" t="s">
        <v>17</v>
      </c>
      <c r="U34" s="714">
        <f t="shared" si="13"/>
        <v>100</v>
      </c>
      <c r="V34" s="713" t="s">
        <v>17</v>
      </c>
      <c r="W34" s="714">
        <f t="shared" si="14"/>
        <v>100</v>
      </c>
      <c r="X34" s="1507"/>
      <c r="Y34" s="3470"/>
      <c r="Z34" s="1508">
        <f t="shared" si="15"/>
        <v>111</v>
      </c>
      <c r="AA34" s="1505">
        <f t="shared" si="3"/>
        <v>1</v>
      </c>
      <c r="AB34" s="1505">
        <f t="shared" si="4"/>
        <v>1</v>
      </c>
      <c r="AC34" s="1505">
        <f t="shared" si="5"/>
        <v>1</v>
      </c>
    </row>
    <row r="35" spans="1:30" ht="15">
      <c r="A35" s="437" t="s">
        <v>2337</v>
      </c>
      <c r="B35" s="438"/>
      <c r="C35" s="1286" t="s">
        <v>1</v>
      </c>
      <c r="D35" s="1287"/>
      <c r="E35" s="1288"/>
      <c r="F35" s="1289"/>
      <c r="G35" s="1290"/>
      <c r="H35" s="1291"/>
      <c r="I35" s="1288"/>
      <c r="J35" s="1291"/>
      <c r="K35" s="722"/>
      <c r="L35" s="2921"/>
      <c r="M35" s="2922"/>
      <c r="N35" s="2913"/>
      <c r="O35" s="2922"/>
      <c r="P35" s="3463" t="str">
        <f>A35</f>
        <v>成交单价（元/平方米）</v>
      </c>
      <c r="Q35" s="3463"/>
      <c r="R35" s="3464">
        <f>E35</f>
        <v>0</v>
      </c>
      <c r="S35" s="3464"/>
      <c r="T35" s="3464">
        <f>G35</f>
        <v>0</v>
      </c>
      <c r="U35" s="3464"/>
      <c r="V35" s="3464">
        <f>I35</f>
        <v>0</v>
      </c>
      <c r="W35" s="3464"/>
      <c r="X35" s="698"/>
      <c r="Y35" s="720"/>
      <c r="Z35" s="698"/>
      <c r="AA35" s="698"/>
      <c r="AB35" s="698"/>
      <c r="AC35" s="698"/>
    </row>
    <row r="36" spans="1:30" ht="15.75" thickBot="1">
      <c r="A36" s="444" t="s">
        <v>2429</v>
      </c>
      <c r="B36" s="445"/>
      <c r="C36" s="1292" t="e">
        <f>R37</f>
        <v>#DIV/0!</v>
      </c>
      <c r="D36" s="2506" t="s">
        <v>2820</v>
      </c>
      <c r="E36" s="1293" t="e">
        <f>R36</f>
        <v>#DIV/0!</v>
      </c>
      <c r="F36" s="2507"/>
      <c r="G36" s="1292" t="e">
        <f>T36</f>
        <v>#DIV/0!</v>
      </c>
      <c r="H36" s="2507"/>
      <c r="I36" s="1293" t="e">
        <f>V36</f>
        <v>#DIV/0!</v>
      </c>
      <c r="J36" s="2507"/>
      <c r="K36" s="2509">
        <f>F36+H36+J36</f>
        <v>0</v>
      </c>
      <c r="L36" s="2921"/>
      <c r="M36" s="2922"/>
      <c r="N36" s="2913"/>
      <c r="O36" s="2922"/>
      <c r="P36" s="3463" t="str">
        <f>A36</f>
        <v>比较价值（元/平方米）</v>
      </c>
      <c r="Q36" s="3463"/>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698"/>
      <c r="Y36" s="698"/>
      <c r="Z36" s="698"/>
      <c r="AA36" s="698"/>
      <c r="AB36" s="698"/>
      <c r="AC36" s="698"/>
    </row>
    <row r="37" spans="1:30" ht="15.75" thickBot="1">
      <c r="A37" s="448" t="s">
        <v>2430</v>
      </c>
      <c r="B37" s="449"/>
      <c r="C37" s="1295" t="e">
        <f>R37</f>
        <v>#DIV/0!</v>
      </c>
      <c r="D37" s="1295"/>
      <c r="E37" s="1295"/>
      <c r="F37" s="1295"/>
      <c r="G37" s="1295"/>
      <c r="H37" s="1295"/>
      <c r="I37" s="1295"/>
      <c r="J37" s="1295"/>
      <c r="K37" s="723"/>
      <c r="L37" s="2921"/>
      <c r="M37" s="2922"/>
      <c r="N37" s="2922"/>
      <c r="O37" s="2922"/>
      <c r="P37" s="3460" t="str">
        <f>A37</f>
        <v>估价对象XX用房的比较价值（楼面单价，元/平方米）</v>
      </c>
      <c r="Q37" s="3461"/>
      <c r="R37" s="3490" t="e">
        <f>IF(F1="售价",ROUND(IF(D36="简单平均",AVERAGE(R36:W36),R36*F36+T36*H36+V36*J36),0),ROUND(IF(D36="简单平均",AVERAGE(R36:V36),R36*F36+T36*H36+V36*J36),1))</f>
        <v>#DIV/0!</v>
      </c>
      <c r="S37" s="3490"/>
      <c r="T37" s="3490"/>
      <c r="U37" s="3490"/>
      <c r="V37" s="3490"/>
      <c r="W37" s="3490"/>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2434</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2308</v>
      </c>
      <c r="B46" s="462"/>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3" customFormat="1" ht="15.75" thickBot="1">
      <c r="A48" s="471" t="s">
        <v>2345</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3" customFormat="1" ht="15">
      <c r="A49" s="477" t="s">
        <v>2310</v>
      </c>
      <c r="B49" s="466"/>
      <c r="C49" s="478" t="s">
        <v>2412</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2348</v>
      </c>
      <c r="B51" s="484" t="s">
        <v>2314</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2317</v>
      </c>
      <c r="C53" s="495" t="s">
        <v>2349</v>
      </c>
      <c r="D53" s="495" t="s">
        <v>2350</v>
      </c>
      <c r="E53" s="495" t="s">
        <v>2351</v>
      </c>
      <c r="F53" s="495" t="s">
        <v>2352</v>
      </c>
      <c r="G53" s="495" t="s">
        <v>2353</v>
      </c>
      <c r="H53" s="495" t="s">
        <v>2354</v>
      </c>
      <c r="I53" s="495" t="s">
        <v>2355</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2319</v>
      </c>
      <c r="B61" s="484" t="s">
        <v>2362</v>
      </c>
      <c r="C61" s="529" t="s">
        <v>2357</v>
      </c>
      <c r="D61" s="529" t="s">
        <v>2358</v>
      </c>
      <c r="E61" s="529" t="s">
        <v>2359</v>
      </c>
      <c r="F61" s="529" t="s">
        <v>2360</v>
      </c>
      <c r="G61" s="529" t="s">
        <v>2361</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2500</v>
      </c>
      <c r="C63" s="534" t="s">
        <v>2357</v>
      </c>
      <c r="D63" s="534" t="s">
        <v>2358</v>
      </c>
      <c r="E63" s="534" t="s">
        <v>2359</v>
      </c>
      <c r="F63" s="534" t="s">
        <v>2360</v>
      </c>
      <c r="G63" s="534" t="s">
        <v>2361</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2449</v>
      </c>
      <c r="C65" s="615" t="s">
        <v>2435</v>
      </c>
      <c r="D65" s="615" t="s">
        <v>2436</v>
      </c>
      <c r="E65" s="615" t="s">
        <v>2437</v>
      </c>
      <c r="F65" s="615" t="s">
        <v>2438</v>
      </c>
      <c r="G65" s="615" t="s">
        <v>2439</v>
      </c>
      <c r="H65" s="495"/>
      <c r="I65" s="495"/>
      <c r="J65" s="495"/>
      <c r="K65" s="495"/>
      <c r="L65" s="495"/>
      <c r="M65" s="1261"/>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2369</v>
      </c>
      <c r="C67" s="534" t="s">
        <v>2357</v>
      </c>
      <c r="D67" s="534" t="s">
        <v>2358</v>
      </c>
      <c r="E67" s="534" t="s">
        <v>2359</v>
      </c>
      <c r="F67" s="534" t="s">
        <v>2360</v>
      </c>
      <c r="G67" s="534" t="s">
        <v>2361</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2489</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2323</v>
      </c>
      <c r="B77" s="484" t="s">
        <v>2376</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2493</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2501</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2503</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2087</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2089</v>
      </c>
      <c r="B3" s="565" t="e">
        <f>ROUND(IF(D3="",B2*10000/'数据-汇总表'!E3,B2*10000/D3),0)</f>
        <v>#DIV/0!</v>
      </c>
      <c r="C3" s="208" t="s">
        <v>2506</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2405</v>
      </c>
      <c r="B4" s="361"/>
      <c r="C4" s="3446" t="s">
        <v>2406</v>
      </c>
      <c r="D4" s="3447"/>
      <c r="E4" s="3448" t="s">
        <v>2407</v>
      </c>
      <c r="F4" s="3449"/>
      <c r="G4" s="3446" t="s">
        <v>2408</v>
      </c>
      <c r="H4" s="3447"/>
      <c r="I4" s="3446" t="s">
        <v>2409</v>
      </c>
      <c r="J4" s="3447"/>
      <c r="K4" s="566" t="s">
        <v>2410</v>
      </c>
      <c r="L4" s="2912"/>
      <c r="M4" s="2913"/>
      <c r="N4" s="2913"/>
      <c r="O4" s="2913"/>
      <c r="P4" s="3450" t="s">
        <v>2411</v>
      </c>
      <c r="Q4" s="3451"/>
      <c r="R4" s="3433" t="s">
        <v>2407</v>
      </c>
      <c r="S4" s="3434"/>
      <c r="T4" s="3433" t="s">
        <v>2408</v>
      </c>
      <c r="U4" s="3434"/>
      <c r="V4" s="3458" t="s">
        <v>2409</v>
      </c>
      <c r="W4" s="3458"/>
      <c r="X4" s="1507"/>
      <c r="Y4" s="3433" t="s">
        <v>2411</v>
      </c>
      <c r="Z4" s="3434"/>
      <c r="AA4" s="3428" t="s">
        <v>2407</v>
      </c>
      <c r="AB4" s="3429" t="s">
        <v>2408</v>
      </c>
      <c r="AC4" s="3428" t="s">
        <v>2409</v>
      </c>
    </row>
    <row r="5" spans="1:30" ht="15">
      <c r="A5" s="363"/>
      <c r="B5" s="364"/>
      <c r="C5" s="3439" t="s">
        <v>2302</v>
      </c>
      <c r="D5" s="3440"/>
      <c r="E5" s="3437" t="s">
        <v>2303</v>
      </c>
      <c r="F5" s="3438"/>
      <c r="G5" s="3439" t="s">
        <v>2304</v>
      </c>
      <c r="H5" s="3440"/>
      <c r="I5" s="3439" t="s">
        <v>2305</v>
      </c>
      <c r="J5" s="3440"/>
      <c r="K5" s="566"/>
      <c r="L5" s="2912"/>
      <c r="M5" s="2913"/>
      <c r="N5" s="2913"/>
      <c r="O5" s="2913"/>
      <c r="P5" s="3452"/>
      <c r="Q5" s="3453"/>
      <c r="R5" s="3435"/>
      <c r="S5" s="3436"/>
      <c r="T5" s="3435"/>
      <c r="U5" s="3436"/>
      <c r="V5" s="3458"/>
      <c r="W5" s="3458"/>
      <c r="X5" s="1507"/>
      <c r="Y5" s="3435"/>
      <c r="Z5" s="3436"/>
      <c r="AA5" s="3429"/>
      <c r="AB5" s="3429"/>
      <c r="AC5" s="3429"/>
    </row>
    <row r="6" spans="1:30" ht="15.75" thickBot="1">
      <c r="A6" s="365"/>
      <c r="B6" s="366"/>
      <c r="C6" s="3441" t="s">
        <v>2306</v>
      </c>
      <c r="D6" s="3442"/>
      <c r="E6" s="3443" t="s">
        <v>2306</v>
      </c>
      <c r="F6" s="3444"/>
      <c r="G6" s="3441" t="s">
        <v>2306</v>
      </c>
      <c r="H6" s="3442"/>
      <c r="I6" s="3441" t="s">
        <v>2306</v>
      </c>
      <c r="J6" s="3442"/>
      <c r="K6" s="566" t="s">
        <v>2307</v>
      </c>
      <c r="L6" s="2912"/>
      <c r="M6" s="2913"/>
      <c r="N6" s="2913"/>
      <c r="O6" s="2913"/>
      <c r="P6" s="3454"/>
      <c r="Q6" s="3455"/>
      <c r="R6" s="3435"/>
      <c r="S6" s="3436"/>
      <c r="T6" s="3456"/>
      <c r="U6" s="3457"/>
      <c r="V6" s="3458"/>
      <c r="W6" s="3458"/>
      <c r="X6" s="1507"/>
      <c r="Y6" s="3456"/>
      <c r="Z6" s="3457"/>
      <c r="AA6" s="3430"/>
      <c r="AB6" s="3430"/>
      <c r="AC6" s="3430"/>
    </row>
    <row r="7" spans="1:30" s="113" customFormat="1" ht="15.75" thickBot="1">
      <c r="A7" s="367" t="s">
        <v>2308</v>
      </c>
      <c r="B7" s="368"/>
      <c r="C7" s="369">
        <f>'数据-取费表'!B2</f>
        <v>44642</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431" t="s">
        <v>2309</v>
      </c>
      <c r="Q7" s="3459"/>
      <c r="R7" s="709" t="s">
        <v>17</v>
      </c>
      <c r="S7" s="710">
        <f t="shared" ref="S7:S15" si="0">F7</f>
        <v>0</v>
      </c>
      <c r="T7" s="709" t="s">
        <v>17</v>
      </c>
      <c r="U7" s="710">
        <f t="shared" ref="U7:U15" si="1">H7</f>
        <v>0</v>
      </c>
      <c r="V7" s="709" t="s">
        <v>17</v>
      </c>
      <c r="W7" s="710">
        <f t="shared" ref="W7:W15" si="2">J7</f>
        <v>0</v>
      </c>
      <c r="X7" s="711"/>
      <c r="Y7" s="3431" t="s">
        <v>2309</v>
      </c>
      <c r="Z7" s="3432"/>
      <c r="AA7" s="712" t="e">
        <f>D7/F7</f>
        <v>#DIV/0!</v>
      </c>
      <c r="AB7" s="712" t="e">
        <f>D7/H7</f>
        <v>#DIV/0!</v>
      </c>
      <c r="AC7" s="712" t="e">
        <f>D7/J7</f>
        <v>#DIV/0!</v>
      </c>
    </row>
    <row r="8" spans="1:30" s="113" customFormat="1" ht="15.75" thickBot="1">
      <c r="A8" s="367" t="s">
        <v>2310</v>
      </c>
      <c r="B8" s="368"/>
      <c r="C8" s="373" t="s">
        <v>2311</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431" t="s">
        <v>2312</v>
      </c>
      <c r="Q8" s="3432"/>
      <c r="R8" s="709" t="s">
        <v>17</v>
      </c>
      <c r="S8" s="710">
        <f t="shared" si="0"/>
        <v>0</v>
      </c>
      <c r="T8" s="709" t="s">
        <v>17</v>
      </c>
      <c r="U8" s="710">
        <f t="shared" si="1"/>
        <v>0</v>
      </c>
      <c r="V8" s="709" t="s">
        <v>17</v>
      </c>
      <c r="W8" s="710">
        <f t="shared" si="2"/>
        <v>0</v>
      </c>
      <c r="X8" s="711"/>
      <c r="Y8" s="3431" t="s">
        <v>2312</v>
      </c>
      <c r="Z8" s="3432"/>
      <c r="AA8" s="712" t="e">
        <f t="shared" ref="AA8:AA45" si="3">D8/F8</f>
        <v>#DIV/0!</v>
      </c>
      <c r="AB8" s="712" t="e">
        <f t="shared" ref="AB8:AB45" si="4">D8/H8</f>
        <v>#DIV/0!</v>
      </c>
      <c r="AC8" s="712" t="e">
        <f t="shared" ref="AC8:AC45" si="5">D8/J8</f>
        <v>#DIV/0!</v>
      </c>
    </row>
    <row r="9" spans="1:30" s="113" customFormat="1">
      <c r="A9" s="374" t="s">
        <v>2313</v>
      </c>
      <c r="B9" s="67" t="s">
        <v>2314</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63" t="s">
        <v>2315</v>
      </c>
      <c r="Q9" s="1495" t="str">
        <f t="shared" ref="Q9:Q15" si="6">B9</f>
        <v>用途</v>
      </c>
      <c r="R9" s="709" t="s">
        <v>17</v>
      </c>
      <c r="S9" s="710">
        <f t="shared" si="0"/>
        <v>100</v>
      </c>
      <c r="T9" s="709" t="s">
        <v>17</v>
      </c>
      <c r="U9" s="710">
        <f t="shared" si="1"/>
        <v>100</v>
      </c>
      <c r="V9" s="709" t="s">
        <v>17</v>
      </c>
      <c r="W9" s="710">
        <f t="shared" si="2"/>
        <v>100</v>
      </c>
      <c r="X9" s="711"/>
      <c r="Y9" s="3375" t="s">
        <v>2316</v>
      </c>
      <c r="Z9" s="55" t="str">
        <f t="shared" ref="Z9:Z15" si="7">Q9</f>
        <v>用途</v>
      </c>
      <c r="AA9" s="712">
        <f t="shared" si="3"/>
        <v>1</v>
      </c>
      <c r="AB9" s="712">
        <f t="shared" si="4"/>
        <v>1</v>
      </c>
      <c r="AC9" s="712">
        <f t="shared" si="5"/>
        <v>1</v>
      </c>
    </row>
    <row r="10" spans="1:30" s="385" customFormat="1" ht="27">
      <c r="A10" s="379"/>
      <c r="B10" s="380" t="s">
        <v>2317</v>
      </c>
      <c r="C10" s="390"/>
      <c r="D10" s="131">
        <v>100</v>
      </c>
      <c r="E10" s="423"/>
      <c r="F10" s="131">
        <f>ROUND(100/'数据-取费表'!G16,0)</f>
        <v>106</v>
      </c>
      <c r="G10" s="421"/>
      <c r="H10" s="131">
        <f>ROUND(100/'数据-取费表'!G16,0)</f>
        <v>106</v>
      </c>
      <c r="I10" s="421"/>
      <c r="J10" s="131">
        <f>ROUND(100/'数据-取费表'!G16,0)</f>
        <v>106</v>
      </c>
      <c r="K10" s="627"/>
      <c r="L10" s="2916"/>
      <c r="M10" s="2917"/>
      <c r="N10" s="2917"/>
      <c r="O10" s="2970"/>
      <c r="P10" s="3463"/>
      <c r="Q10" s="1495" t="str">
        <f t="shared" si="6"/>
        <v>土地使用年限（年）</v>
      </c>
      <c r="R10" s="709" t="s">
        <v>17</v>
      </c>
      <c r="S10" s="710">
        <f t="shared" si="0"/>
        <v>106</v>
      </c>
      <c r="T10" s="709" t="s">
        <v>17</v>
      </c>
      <c r="U10" s="710">
        <f t="shared" si="1"/>
        <v>106</v>
      </c>
      <c r="V10" s="709" t="s">
        <v>17</v>
      </c>
      <c r="W10" s="710">
        <f t="shared" si="2"/>
        <v>106</v>
      </c>
      <c r="X10" s="711"/>
      <c r="Y10" s="3375"/>
      <c r="Z10" s="55" t="str">
        <f t="shared" si="7"/>
        <v>土地使用年限（年）</v>
      </c>
      <c r="AA10" s="712">
        <f t="shared" si="3"/>
        <v>0.94339622641509435</v>
      </c>
      <c r="AB10" s="712">
        <f t="shared" si="4"/>
        <v>0.94339622641509435</v>
      </c>
      <c r="AC10" s="712">
        <f t="shared" si="5"/>
        <v>0.94339622641509435</v>
      </c>
    </row>
    <row r="11" spans="1:30" ht="15">
      <c r="A11" s="386"/>
      <c r="B11" s="380" t="s">
        <v>2318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63"/>
      <c r="Q11" s="1495" t="str">
        <f t="shared" si="6"/>
        <v>容积率</v>
      </c>
      <c r="R11" s="709" t="s">
        <v>17</v>
      </c>
      <c r="S11" s="710" t="e">
        <f t="shared" si="0"/>
        <v>#N/A</v>
      </c>
      <c r="T11" s="709" t="s">
        <v>17</v>
      </c>
      <c r="U11" s="710" t="e">
        <f t="shared" si="1"/>
        <v>#N/A</v>
      </c>
      <c r="V11" s="709" t="s">
        <v>17</v>
      </c>
      <c r="W11" s="710" t="e">
        <f t="shared" si="2"/>
        <v>#N/A</v>
      </c>
      <c r="X11" s="711"/>
      <c r="Y11" s="3375"/>
      <c r="Z11" s="55" t="str">
        <f t="shared" si="7"/>
        <v>容积率</v>
      </c>
      <c r="AA11" s="712" t="e">
        <f t="shared" si="3"/>
        <v>#N/A</v>
      </c>
      <c r="AB11" s="712" t="e">
        <f t="shared" si="4"/>
        <v>#N/A</v>
      </c>
      <c r="AC11" s="712" t="e">
        <f t="shared" si="5"/>
        <v>#N/A</v>
      </c>
    </row>
    <row r="12" spans="1:30" s="113" customFormat="1" ht="15">
      <c r="A12" s="389"/>
      <c r="B12" s="2047" t="s">
        <v>2507</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63"/>
      <c r="Q12" s="1495" t="str">
        <f t="shared" si="6"/>
        <v>配建</v>
      </c>
      <c r="R12" s="709" t="s">
        <v>17</v>
      </c>
      <c r="S12" s="710">
        <f t="shared" si="0"/>
        <v>100</v>
      </c>
      <c r="T12" s="709" t="s">
        <v>17</v>
      </c>
      <c r="U12" s="710">
        <f t="shared" si="1"/>
        <v>100</v>
      </c>
      <c r="V12" s="709" t="s">
        <v>17</v>
      </c>
      <c r="W12" s="710">
        <f t="shared" si="2"/>
        <v>100</v>
      </c>
      <c r="X12" s="711"/>
      <c r="Y12" s="3375"/>
      <c r="Z12" s="55"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63"/>
      <c r="Q13" s="1495">
        <f t="shared" si="6"/>
        <v>111</v>
      </c>
      <c r="R13" s="709" t="s">
        <v>17</v>
      </c>
      <c r="S13" s="710">
        <f t="shared" si="0"/>
        <v>100</v>
      </c>
      <c r="T13" s="709" t="s">
        <v>17</v>
      </c>
      <c r="U13" s="710">
        <f t="shared" si="1"/>
        <v>100</v>
      </c>
      <c r="V13" s="709" t="s">
        <v>17</v>
      </c>
      <c r="W13" s="710">
        <f t="shared" si="2"/>
        <v>100</v>
      </c>
      <c r="X13" s="711"/>
      <c r="Y13" s="3375"/>
      <c r="Z13" s="55">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63"/>
      <c r="Q14" s="1495">
        <f t="shared" si="6"/>
        <v>111</v>
      </c>
      <c r="R14" s="709" t="s">
        <v>17</v>
      </c>
      <c r="S14" s="710">
        <f t="shared" si="0"/>
        <v>100</v>
      </c>
      <c r="T14" s="709" t="s">
        <v>17</v>
      </c>
      <c r="U14" s="710">
        <f t="shared" si="1"/>
        <v>100</v>
      </c>
      <c r="V14" s="709" t="s">
        <v>17</v>
      </c>
      <c r="W14" s="710">
        <f t="shared" si="2"/>
        <v>100</v>
      </c>
      <c r="X14" s="711"/>
      <c r="Y14" s="3375"/>
      <c r="Z14" s="55">
        <f t="shared" si="7"/>
        <v>111</v>
      </c>
      <c r="AA14" s="712">
        <f>D14/F14</f>
        <v>1</v>
      </c>
      <c r="AB14" s="712">
        <f>D14/H14</f>
        <v>1</v>
      </c>
      <c r="AC14" s="712">
        <f>D14/J14</f>
        <v>1</v>
      </c>
    </row>
    <row r="15" spans="1:30" ht="99.75">
      <c r="A15" s="398" t="s">
        <v>2319</v>
      </c>
      <c r="B15" s="65" t="s">
        <v>1882</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65" t="s">
        <v>2320</v>
      </c>
      <c r="Q15" s="1504" t="str">
        <f t="shared" si="6"/>
        <v>居住社区成熟度</v>
      </c>
      <c r="R15" s="713" t="s">
        <v>17</v>
      </c>
      <c r="S15" s="714">
        <f t="shared" si="0"/>
        <v>100</v>
      </c>
      <c r="T15" s="713" t="s">
        <v>17</v>
      </c>
      <c r="U15" s="714">
        <f t="shared" si="1"/>
        <v>100</v>
      </c>
      <c r="V15" s="713" t="s">
        <v>17</v>
      </c>
      <c r="W15" s="714">
        <f t="shared" si="2"/>
        <v>100</v>
      </c>
      <c r="X15" s="1507"/>
      <c r="Y15" s="3465" t="s">
        <v>2320</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466"/>
      <c r="Q16" s="1504"/>
      <c r="R16" s="713"/>
      <c r="S16" s="714"/>
      <c r="T16" s="713"/>
      <c r="U16" s="714"/>
      <c r="V16" s="713"/>
      <c r="W16" s="714"/>
      <c r="X16" s="1507"/>
      <c r="Y16" s="3466"/>
      <c r="Z16" s="1508"/>
      <c r="AA16" s="1505">
        <v>1</v>
      </c>
      <c r="AB16" s="1505">
        <v>1</v>
      </c>
      <c r="AC16" s="1505">
        <v>1</v>
      </c>
    </row>
    <row r="17" spans="1:29" ht="71.25">
      <c r="A17" s="386"/>
      <c r="B17" s="409" t="s">
        <v>2413</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66"/>
      <c r="Q17" s="1504" t="str">
        <f>B17</f>
        <v>商业繁华度</v>
      </c>
      <c r="R17" s="713" t="s">
        <v>17</v>
      </c>
      <c r="S17" s="714">
        <f>F17</f>
        <v>100</v>
      </c>
      <c r="T17" s="713" t="s">
        <v>17</v>
      </c>
      <c r="U17" s="714">
        <f>H17</f>
        <v>100</v>
      </c>
      <c r="V17" s="713" t="s">
        <v>17</v>
      </c>
      <c r="W17" s="714">
        <f>J17</f>
        <v>100</v>
      </c>
      <c r="X17" s="1507"/>
      <c r="Y17" s="3466"/>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466"/>
      <c r="Q18" s="1504"/>
      <c r="R18" s="713"/>
      <c r="S18" s="714"/>
      <c r="T18" s="713"/>
      <c r="U18" s="714"/>
      <c r="V18" s="713"/>
      <c r="W18" s="714"/>
      <c r="X18" s="1507"/>
      <c r="Y18" s="3466"/>
      <c r="Z18" s="1508"/>
      <c r="AA18" s="1505">
        <v>1</v>
      </c>
      <c r="AB18" s="1505">
        <v>1</v>
      </c>
      <c r="AC18" s="1505">
        <v>1</v>
      </c>
    </row>
    <row r="19" spans="1:29" ht="71.25">
      <c r="A19" s="386"/>
      <c r="B19" s="409" t="s">
        <v>2447</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66"/>
      <c r="Q19" s="1504" t="str">
        <f>B19</f>
        <v>办公集聚程度</v>
      </c>
      <c r="R19" s="713" t="s">
        <v>17</v>
      </c>
      <c r="S19" s="714">
        <f>F19</f>
        <v>100</v>
      </c>
      <c r="T19" s="713" t="s">
        <v>17</v>
      </c>
      <c r="U19" s="714">
        <f>H19</f>
        <v>100</v>
      </c>
      <c r="V19" s="713" t="s">
        <v>17</v>
      </c>
      <c r="W19" s="714">
        <f>J19</f>
        <v>100</v>
      </c>
      <c r="X19" s="1507"/>
      <c r="Y19" s="3466"/>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466"/>
      <c r="Q20" s="1504"/>
      <c r="R20" s="713"/>
      <c r="S20" s="714"/>
      <c r="T20" s="713"/>
      <c r="U20" s="714"/>
      <c r="V20" s="713"/>
      <c r="W20" s="714"/>
      <c r="X20" s="1507"/>
      <c r="Y20" s="3466"/>
      <c r="Z20" s="1508"/>
      <c r="AA20" s="1505">
        <v>1</v>
      </c>
      <c r="AB20" s="1505">
        <v>1</v>
      </c>
      <c r="AC20" s="1505">
        <v>1</v>
      </c>
    </row>
    <row r="21" spans="1:29" ht="85.5">
      <c r="A21" s="386"/>
      <c r="B21" s="409" t="s">
        <v>2469</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66"/>
      <c r="Q21" s="1504" t="str">
        <f>B21</f>
        <v>交通便捷度</v>
      </c>
      <c r="R21" s="713" t="s">
        <v>17</v>
      </c>
      <c r="S21" s="714">
        <f>F21</f>
        <v>100</v>
      </c>
      <c r="T21" s="713" t="s">
        <v>17</v>
      </c>
      <c r="U21" s="714">
        <f>H21</f>
        <v>100</v>
      </c>
      <c r="V21" s="713" t="s">
        <v>17</v>
      </c>
      <c r="W21" s="714">
        <f>J21</f>
        <v>100</v>
      </c>
      <c r="X21" s="1507"/>
      <c r="Y21" s="3466"/>
      <c r="Z21" s="1508" t="str">
        <f>Q21</f>
        <v>交通便捷度</v>
      </c>
      <c r="AA21" s="1505">
        <f t="shared" si="3"/>
        <v>1</v>
      </c>
      <c r="AB21" s="1505">
        <f t="shared" si="4"/>
        <v>1</v>
      </c>
      <c r="AC21" s="1505">
        <f t="shared" si="5"/>
        <v>1</v>
      </c>
    </row>
    <row r="22" spans="1:29" ht="15">
      <c r="A22" s="386"/>
      <c r="B22" s="1263"/>
      <c r="C22" s="405"/>
      <c r="D22" s="408"/>
      <c r="E22" s="2052"/>
      <c r="F22" s="406"/>
      <c r="G22" s="2052"/>
      <c r="H22" s="406"/>
      <c r="I22" s="2051"/>
      <c r="J22" s="406"/>
      <c r="K22" s="627"/>
      <c r="L22" s="2919"/>
      <c r="M22" s="2913"/>
      <c r="N22" s="2913"/>
      <c r="O22" s="2971"/>
      <c r="P22" s="3466"/>
      <c r="Q22" s="1504"/>
      <c r="R22" s="713"/>
      <c r="S22" s="714"/>
      <c r="T22" s="713"/>
      <c r="U22" s="714"/>
      <c r="V22" s="713"/>
      <c r="W22" s="714"/>
      <c r="X22" s="1507"/>
      <c r="Y22" s="3466"/>
      <c r="Z22" s="1508"/>
      <c r="AA22" s="1505">
        <v>1</v>
      </c>
      <c r="AB22" s="1505">
        <v>1</v>
      </c>
      <c r="AC22" s="1505">
        <v>1</v>
      </c>
    </row>
    <row r="23" spans="1:29" ht="15">
      <c r="A23" s="363"/>
      <c r="B23" s="409" t="s">
        <v>2508</v>
      </c>
      <c r="C23" s="1268">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66"/>
      <c r="Q23" s="1504" t="str">
        <f t="shared" ref="Q23:Q37" si="8">B23</f>
        <v>区域土地利用方向</v>
      </c>
      <c r="R23" s="713" t="s">
        <v>17</v>
      </c>
      <c r="S23" s="714">
        <f>F23</f>
        <v>100</v>
      </c>
      <c r="T23" s="713" t="s">
        <v>17</v>
      </c>
      <c r="U23" s="714">
        <f>H23</f>
        <v>100</v>
      </c>
      <c r="V23" s="713" t="s">
        <v>17</v>
      </c>
      <c r="W23" s="714">
        <f>J23</f>
        <v>100</v>
      </c>
      <c r="X23" s="1507"/>
      <c r="Y23" s="3466"/>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466"/>
      <c r="Q24" s="1504"/>
      <c r="R24" s="713"/>
      <c r="S24" s="714"/>
      <c r="T24" s="713"/>
      <c r="U24" s="714"/>
      <c r="V24" s="713"/>
      <c r="W24" s="714"/>
      <c r="X24" s="1507"/>
      <c r="Y24" s="3466"/>
      <c r="Z24" s="1508"/>
      <c r="AA24" s="1505"/>
      <c r="AB24" s="1505"/>
      <c r="AC24" s="1505"/>
    </row>
    <row r="25" spans="1:29" ht="57">
      <c r="A25" s="363"/>
      <c r="B25" s="1263" t="s">
        <v>2509</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66"/>
      <c r="Q25" s="1504" t="str">
        <f t="shared" si="8"/>
        <v>自然及人文环境状况</v>
      </c>
      <c r="R25" s="713" t="s">
        <v>17</v>
      </c>
      <c r="S25" s="714">
        <f>F25</f>
        <v>100</v>
      </c>
      <c r="T25" s="713" t="s">
        <v>17</v>
      </c>
      <c r="U25" s="714">
        <f>H25</f>
        <v>100</v>
      </c>
      <c r="V25" s="713" t="s">
        <v>17</v>
      </c>
      <c r="W25" s="714">
        <f>J25</f>
        <v>100</v>
      </c>
      <c r="X25" s="1507"/>
      <c r="Y25" s="3466"/>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466"/>
      <c r="Q26" s="1504"/>
      <c r="R26" s="713"/>
      <c r="S26" s="714"/>
      <c r="T26" s="713"/>
      <c r="U26" s="714"/>
      <c r="V26" s="713"/>
      <c r="W26" s="714"/>
      <c r="X26" s="1507"/>
      <c r="Y26" s="3466"/>
      <c r="Z26" s="1508"/>
      <c r="AA26" s="1505">
        <v>1</v>
      </c>
      <c r="AB26" s="1505">
        <v>1</v>
      </c>
      <c r="AC26" s="1505">
        <v>1</v>
      </c>
    </row>
    <row r="27" spans="1:29" s="113" customFormat="1" ht="42.75">
      <c r="A27" s="604"/>
      <c r="B27" s="1263" t="s">
        <v>2414</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66"/>
      <c r="Q27" s="1495" t="str">
        <f t="shared" si="8"/>
        <v>公共配套设施</v>
      </c>
      <c r="R27" s="709" t="s">
        <v>17</v>
      </c>
      <c r="S27" s="710">
        <f>F27</f>
        <v>100</v>
      </c>
      <c r="T27" s="709" t="s">
        <v>17</v>
      </c>
      <c r="U27" s="710">
        <f>H27</f>
        <v>100</v>
      </c>
      <c r="V27" s="709" t="s">
        <v>17</v>
      </c>
      <c r="W27" s="710">
        <f>J27</f>
        <v>100</v>
      </c>
      <c r="X27" s="711"/>
      <c r="Y27" s="3466"/>
      <c r="Z27" s="55" t="str">
        <f>Q27</f>
        <v>公共配套设施</v>
      </c>
      <c r="AA27" s="1505">
        <f>D27/F27</f>
        <v>1</v>
      </c>
      <c r="AB27" s="1505">
        <f>D27/H27</f>
        <v>1</v>
      </c>
      <c r="AC27" s="1505">
        <f>D27/J27</f>
        <v>1</v>
      </c>
    </row>
    <row r="28" spans="1:29" s="113" customFormat="1" ht="15">
      <c r="A28" s="604"/>
      <c r="B28" s="414"/>
      <c r="C28" s="2132"/>
      <c r="D28" s="406"/>
      <c r="E28" s="2058"/>
      <c r="F28" s="406"/>
      <c r="G28" s="2058"/>
      <c r="H28" s="406"/>
      <c r="I28" s="405"/>
      <c r="J28" s="406"/>
      <c r="K28" s="627"/>
      <c r="L28" s="2914"/>
      <c r="M28" s="2915"/>
      <c r="N28" s="2915"/>
      <c r="O28" s="2969"/>
      <c r="P28" s="3466"/>
      <c r="Q28" s="1495"/>
      <c r="R28" s="709"/>
      <c r="S28" s="710"/>
      <c r="T28" s="709"/>
      <c r="U28" s="710"/>
      <c r="V28" s="709"/>
      <c r="W28" s="710"/>
      <c r="X28" s="711"/>
      <c r="Y28" s="3466"/>
      <c r="Z28" s="55"/>
      <c r="AA28" s="1505">
        <v>1</v>
      </c>
      <c r="AB28" s="1505">
        <v>1</v>
      </c>
      <c r="AC28" s="1505">
        <v>1</v>
      </c>
    </row>
    <row r="29" spans="1:29" s="113" customFormat="1" ht="28.5">
      <c r="A29" s="604"/>
      <c r="B29" s="1263" t="s">
        <v>2415</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66"/>
      <c r="Q29" s="1495" t="str">
        <f t="shared" ref="Q29" si="9">B29</f>
        <v>基础设施水平</v>
      </c>
      <c r="R29" s="709" t="s">
        <v>17</v>
      </c>
      <c r="S29" s="710">
        <f>F29</f>
        <v>100</v>
      </c>
      <c r="T29" s="709" t="s">
        <v>17</v>
      </c>
      <c r="U29" s="710">
        <f>H29</f>
        <v>100</v>
      </c>
      <c r="V29" s="709" t="s">
        <v>17</v>
      </c>
      <c r="W29" s="710">
        <f>J29</f>
        <v>100</v>
      </c>
      <c r="X29" s="711"/>
      <c r="Y29" s="3466"/>
      <c r="Z29" s="55" t="str">
        <f>Q29</f>
        <v>基础设施水平</v>
      </c>
      <c r="AA29" s="1505">
        <f>D29/F29</f>
        <v>1</v>
      </c>
      <c r="AB29" s="1505">
        <f>D29/H29</f>
        <v>1</v>
      </c>
      <c r="AC29" s="1505">
        <f>D29/J29</f>
        <v>1</v>
      </c>
    </row>
    <row r="30" spans="1:29" s="113" customFormat="1" ht="15">
      <c r="A30" s="604"/>
      <c r="B30" s="414"/>
      <c r="C30" s="2132"/>
      <c r="D30" s="406"/>
      <c r="E30" s="2133"/>
      <c r="F30" s="406"/>
      <c r="G30" s="2133"/>
      <c r="H30" s="406"/>
      <c r="I30" s="2133"/>
      <c r="J30" s="406"/>
      <c r="K30" s="627"/>
      <c r="L30" s="2914"/>
      <c r="M30" s="2915"/>
      <c r="N30" s="2915"/>
      <c r="O30" s="2969"/>
      <c r="P30" s="3466"/>
      <c r="Q30" s="1495"/>
      <c r="R30" s="709"/>
      <c r="S30" s="710"/>
      <c r="T30" s="709"/>
      <c r="U30" s="710"/>
      <c r="V30" s="709"/>
      <c r="W30" s="710"/>
      <c r="X30" s="711"/>
      <c r="Y30" s="3466"/>
      <c r="Z30" s="55"/>
      <c r="AA30" s="1505">
        <v>1</v>
      </c>
      <c r="AB30" s="1505">
        <v>1</v>
      </c>
      <c r="AC30" s="1505">
        <v>1</v>
      </c>
    </row>
    <row r="31" spans="1:29" ht="15">
      <c r="A31" s="386"/>
      <c r="B31" s="414" t="s">
        <v>2416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66"/>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66"/>
      <c r="Z31" s="1508" t="str">
        <f t="shared" ref="Z31:Z45" si="13">Q31</f>
        <v>临街状况</v>
      </c>
      <c r="AA31" s="1505">
        <f t="shared" si="3"/>
        <v>1</v>
      </c>
      <c r="AB31" s="1505">
        <f t="shared" si="4"/>
        <v>1</v>
      </c>
      <c r="AC31" s="1505">
        <f t="shared" si="5"/>
        <v>1</v>
      </c>
    </row>
    <row r="32" spans="1:29" ht="27">
      <c r="A32" s="386"/>
      <c r="B32" s="1263" t="s">
        <v>2451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66"/>
      <c r="Q32" s="1504" t="str">
        <f t="shared" si="8"/>
        <v>毗邻道路的类型与等级</v>
      </c>
      <c r="R32" s="713" t="s">
        <v>17</v>
      </c>
      <c r="S32" s="714">
        <f t="shared" si="10"/>
        <v>100</v>
      </c>
      <c r="T32" s="713" t="s">
        <v>17</v>
      </c>
      <c r="U32" s="714">
        <f t="shared" si="11"/>
        <v>100</v>
      </c>
      <c r="V32" s="713" t="s">
        <v>17</v>
      </c>
      <c r="W32" s="714">
        <f t="shared" si="12"/>
        <v>100</v>
      </c>
      <c r="X32" s="1507"/>
      <c r="Y32" s="3466"/>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466"/>
      <c r="Q33" s="1504"/>
      <c r="R33" s="713"/>
      <c r="S33" s="714"/>
      <c r="T33" s="713"/>
      <c r="U33" s="714"/>
      <c r="V33" s="713"/>
      <c r="W33" s="714"/>
      <c r="X33" s="1507"/>
      <c r="Y33" s="3466"/>
      <c r="Z33" s="1508"/>
      <c r="AA33" s="1505">
        <v>1</v>
      </c>
      <c r="AB33" s="1505">
        <v>1</v>
      </c>
      <c r="AC33" s="1505">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66"/>
      <c r="Q34" s="1504" t="str">
        <f t="shared" si="8"/>
        <v>土地级别</v>
      </c>
      <c r="R34" s="713" t="s">
        <v>17</v>
      </c>
      <c r="S34" s="714">
        <f t="shared" si="10"/>
        <v>100</v>
      </c>
      <c r="T34" s="713" t="s">
        <v>17</v>
      </c>
      <c r="U34" s="714">
        <f t="shared" si="11"/>
        <v>100</v>
      </c>
      <c r="V34" s="713" t="s">
        <v>17</v>
      </c>
      <c r="W34" s="714">
        <f t="shared" si="12"/>
        <v>100</v>
      </c>
      <c r="X34" s="1507"/>
      <c r="Y34" s="3466"/>
      <c r="Z34" s="1508" t="str">
        <f t="shared" si="13"/>
        <v>土地级别</v>
      </c>
      <c r="AA34" s="1505">
        <f t="shared" si="3"/>
        <v>1</v>
      </c>
      <c r="AB34" s="1505">
        <f t="shared" si="4"/>
        <v>1</v>
      </c>
      <c r="AC34" s="1505">
        <f t="shared" si="5"/>
        <v>1</v>
      </c>
    </row>
    <row r="35" spans="1:29" ht="15">
      <c r="A35" s="363"/>
      <c r="B35" s="1265">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66"/>
      <c r="Q35" s="1504">
        <f t="shared" si="8"/>
        <v>111</v>
      </c>
      <c r="R35" s="713" t="s">
        <v>17</v>
      </c>
      <c r="S35" s="714">
        <f t="shared" si="10"/>
        <v>100</v>
      </c>
      <c r="T35" s="713" t="s">
        <v>17</v>
      </c>
      <c r="U35" s="714">
        <f t="shared" si="11"/>
        <v>100</v>
      </c>
      <c r="V35" s="713" t="s">
        <v>17</v>
      </c>
      <c r="W35" s="714">
        <f t="shared" si="12"/>
        <v>100</v>
      </c>
      <c r="X35" s="1507"/>
      <c r="Y35" s="3466"/>
      <c r="Z35" s="1508">
        <f t="shared" si="13"/>
        <v>111</v>
      </c>
      <c r="AA35" s="1505">
        <f t="shared" si="3"/>
        <v>1</v>
      </c>
      <c r="AB35" s="1505">
        <f t="shared" si="4"/>
        <v>1</v>
      </c>
      <c r="AC35" s="1505">
        <f t="shared" si="5"/>
        <v>1</v>
      </c>
    </row>
    <row r="36" spans="1:29" ht="15">
      <c r="A36" s="630"/>
      <c r="B36" s="1266">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489" t="s">
        <v>2325</v>
      </c>
      <c r="Q36" s="1504">
        <f t="shared" si="8"/>
        <v>111</v>
      </c>
      <c r="R36" s="713" t="s">
        <v>17</v>
      </c>
      <c r="S36" s="714">
        <f t="shared" si="10"/>
        <v>100</v>
      </c>
      <c r="T36" s="713" t="s">
        <v>17</v>
      </c>
      <c r="U36" s="714">
        <f t="shared" si="11"/>
        <v>100</v>
      </c>
      <c r="V36" s="713" t="s">
        <v>17</v>
      </c>
      <c r="W36" s="714">
        <f t="shared" si="12"/>
        <v>100</v>
      </c>
      <c r="X36" s="1507"/>
      <c r="Y36" s="3470" t="s">
        <v>2325</v>
      </c>
      <c r="Z36" s="1508">
        <f t="shared" si="13"/>
        <v>111</v>
      </c>
      <c r="AA36" s="1505">
        <f t="shared" si="3"/>
        <v>1</v>
      </c>
      <c r="AB36" s="1505">
        <f t="shared" si="4"/>
        <v>1</v>
      </c>
      <c r="AC36" s="1505">
        <f t="shared" si="5"/>
        <v>1</v>
      </c>
    </row>
    <row r="37" spans="1:29" s="429" customFormat="1" ht="15.75" thickBot="1">
      <c r="A37" s="631"/>
      <c r="B37" s="1267">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70"/>
      <c r="Q37" s="1504">
        <f t="shared" si="8"/>
        <v>111</v>
      </c>
      <c r="R37" s="716" t="s">
        <v>17</v>
      </c>
      <c r="S37" s="717">
        <f t="shared" si="10"/>
        <v>100</v>
      </c>
      <c r="T37" s="716" t="s">
        <v>17</v>
      </c>
      <c r="U37" s="717">
        <f t="shared" si="11"/>
        <v>100</v>
      </c>
      <c r="V37" s="716" t="s">
        <v>17</v>
      </c>
      <c r="W37" s="717">
        <f t="shared" si="12"/>
        <v>100</v>
      </c>
      <c r="X37" s="718"/>
      <c r="Y37" s="3470"/>
      <c r="Z37" s="719">
        <f t="shared" si="13"/>
        <v>111</v>
      </c>
      <c r="AA37" s="1505">
        <f t="shared" si="3"/>
        <v>1</v>
      </c>
      <c r="AB37" s="1505">
        <f t="shared" si="4"/>
        <v>1</v>
      </c>
      <c r="AC37" s="1505">
        <f t="shared" si="5"/>
        <v>1</v>
      </c>
    </row>
    <row r="38" spans="1:29" ht="15">
      <c r="A38" s="430" t="s">
        <v>2323</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70"/>
      <c r="Q38" s="1504" t="str">
        <f>B38</f>
        <v>宗地面积</v>
      </c>
      <c r="R38" s="713" t="s">
        <v>17</v>
      </c>
      <c r="S38" s="714" t="e">
        <f t="shared" si="10"/>
        <v>#N/A</v>
      </c>
      <c r="T38" s="713" t="s">
        <v>17</v>
      </c>
      <c r="U38" s="714" t="e">
        <f t="shared" si="11"/>
        <v>#N/A</v>
      </c>
      <c r="V38" s="713" t="s">
        <v>17</v>
      </c>
      <c r="W38" s="714" t="e">
        <f t="shared" si="12"/>
        <v>#N/A</v>
      </c>
      <c r="X38" s="1507"/>
      <c r="Y38" s="3470"/>
      <c r="Z38" s="1508" t="str">
        <f t="shared" si="13"/>
        <v>宗地面积</v>
      </c>
      <c r="AA38" s="1505" t="e">
        <f t="shared" si="3"/>
        <v>#N/A</v>
      </c>
      <c r="AB38" s="1505" t="e">
        <f t="shared" si="4"/>
        <v>#N/A</v>
      </c>
      <c r="AC38" s="1505" t="e">
        <f t="shared" si="5"/>
        <v>#N/A</v>
      </c>
    </row>
    <row r="39" spans="1:29" ht="15">
      <c r="A39" s="430"/>
      <c r="B39" s="380" t="s">
        <v>2512</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470"/>
      <c r="Q39" s="1504" t="str">
        <f t="shared" ref="Q39:Q45" si="14">B39</f>
        <v>宗地形状</v>
      </c>
      <c r="R39" s="713" t="s">
        <v>17</v>
      </c>
      <c r="S39" s="714">
        <f t="shared" si="10"/>
        <v>100</v>
      </c>
      <c r="T39" s="713" t="s">
        <v>17</v>
      </c>
      <c r="U39" s="714">
        <f t="shared" si="11"/>
        <v>100</v>
      </c>
      <c r="V39" s="713" t="s">
        <v>17</v>
      </c>
      <c r="W39" s="714">
        <f t="shared" si="12"/>
        <v>100</v>
      </c>
      <c r="X39" s="1507"/>
      <c r="Y39" s="3470"/>
      <c r="Z39" s="1508" t="str">
        <f t="shared" si="13"/>
        <v>宗地形状</v>
      </c>
      <c r="AA39" s="1505">
        <f t="shared" si="3"/>
        <v>1</v>
      </c>
      <c r="AB39" s="1505">
        <f t="shared" si="4"/>
        <v>1</v>
      </c>
      <c r="AC39" s="1505">
        <f t="shared" si="5"/>
        <v>1</v>
      </c>
    </row>
    <row r="40" spans="1:29" ht="15">
      <c r="A40" s="430"/>
      <c r="B40" s="380" t="s">
        <v>2513</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470"/>
      <c r="Q40" s="1504" t="str">
        <f t="shared" si="14"/>
        <v>临街宽度及深度</v>
      </c>
      <c r="R40" s="713" t="s">
        <v>17</v>
      </c>
      <c r="S40" s="714">
        <f t="shared" si="10"/>
        <v>100</v>
      </c>
      <c r="T40" s="713" t="s">
        <v>17</v>
      </c>
      <c r="U40" s="714">
        <f t="shared" si="11"/>
        <v>100</v>
      </c>
      <c r="V40" s="713" t="s">
        <v>17</v>
      </c>
      <c r="W40" s="714">
        <f t="shared" si="12"/>
        <v>100</v>
      </c>
      <c r="X40" s="1507"/>
      <c r="Y40" s="3470"/>
      <c r="Z40" s="1508" t="str">
        <f t="shared" si="13"/>
        <v>临街宽度及深度</v>
      </c>
      <c r="AA40" s="1505">
        <f t="shared" si="3"/>
        <v>1</v>
      </c>
      <c r="AB40" s="1505">
        <f t="shared" si="4"/>
        <v>1</v>
      </c>
      <c r="AC40" s="1505">
        <f t="shared" si="5"/>
        <v>1</v>
      </c>
    </row>
    <row r="41" spans="1:29" s="113" customFormat="1" ht="15">
      <c r="A41" s="431"/>
      <c r="B41" s="380" t="s">
        <v>2514</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470"/>
      <c r="Q41" s="1504" t="str">
        <f t="shared" si="14"/>
        <v>宗地开发程度</v>
      </c>
      <c r="R41" s="709" t="s">
        <v>17</v>
      </c>
      <c r="S41" s="710">
        <f t="shared" si="10"/>
        <v>100</v>
      </c>
      <c r="T41" s="709" t="s">
        <v>17</v>
      </c>
      <c r="U41" s="710">
        <f t="shared" si="11"/>
        <v>100</v>
      </c>
      <c r="V41" s="709" t="s">
        <v>17</v>
      </c>
      <c r="W41" s="710">
        <f t="shared" si="12"/>
        <v>100</v>
      </c>
      <c r="X41" s="711"/>
      <c r="Y41" s="3470"/>
      <c r="Z41" s="55" t="str">
        <f t="shared" si="13"/>
        <v>宗地开发程度</v>
      </c>
      <c r="AA41" s="712">
        <f t="shared" si="3"/>
        <v>1</v>
      </c>
      <c r="AB41" s="712">
        <f t="shared" si="4"/>
        <v>1</v>
      </c>
      <c r="AC41" s="712">
        <f t="shared" si="5"/>
        <v>1</v>
      </c>
    </row>
    <row r="42" spans="1:29" ht="15">
      <c r="A42" s="430"/>
      <c r="B42" s="380" t="s">
        <v>2515</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470" t="s">
        <v>2325</v>
      </c>
      <c r="Q42" s="1504" t="str">
        <f t="shared" si="14"/>
        <v>工程地质条件</v>
      </c>
      <c r="R42" s="713" t="s">
        <v>17</v>
      </c>
      <c r="S42" s="714">
        <f t="shared" si="10"/>
        <v>100</v>
      </c>
      <c r="T42" s="713" t="s">
        <v>17</v>
      </c>
      <c r="U42" s="714">
        <f t="shared" si="11"/>
        <v>100</v>
      </c>
      <c r="V42" s="713" t="s">
        <v>17</v>
      </c>
      <c r="W42" s="714">
        <f t="shared" si="12"/>
        <v>100</v>
      </c>
      <c r="X42" s="1507"/>
      <c r="Y42" s="3470" t="s">
        <v>2325</v>
      </c>
      <c r="Z42" s="1508" t="str">
        <f t="shared" si="13"/>
        <v>工程地质条件</v>
      </c>
      <c r="AA42" s="1505">
        <f t="shared" si="3"/>
        <v>1</v>
      </c>
      <c r="AB42" s="1505">
        <f t="shared" si="4"/>
        <v>1</v>
      </c>
      <c r="AC42" s="1505">
        <f t="shared" si="5"/>
        <v>1</v>
      </c>
    </row>
    <row r="43" spans="1:29" ht="15">
      <c r="A43" s="430"/>
      <c r="B43" s="1266">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70"/>
      <c r="Q43" s="1504">
        <f t="shared" si="14"/>
        <v>111</v>
      </c>
      <c r="R43" s="713" t="s">
        <v>17</v>
      </c>
      <c r="S43" s="714">
        <f t="shared" si="10"/>
        <v>100</v>
      </c>
      <c r="T43" s="713" t="s">
        <v>17</v>
      </c>
      <c r="U43" s="714">
        <f t="shared" si="11"/>
        <v>100</v>
      </c>
      <c r="V43" s="713" t="s">
        <v>17</v>
      </c>
      <c r="W43" s="714">
        <f t="shared" si="12"/>
        <v>100</v>
      </c>
      <c r="X43" s="1507"/>
      <c r="Y43" s="3470"/>
      <c r="Z43" s="1508">
        <f t="shared" si="13"/>
        <v>111</v>
      </c>
      <c r="AA43" s="1505">
        <f t="shared" si="3"/>
        <v>1</v>
      </c>
      <c r="AB43" s="1505">
        <f t="shared" si="4"/>
        <v>1</v>
      </c>
      <c r="AC43" s="1505">
        <f t="shared" si="5"/>
        <v>1</v>
      </c>
    </row>
    <row r="44" spans="1:29" ht="15">
      <c r="A44" s="430"/>
      <c r="B44" s="1266">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70"/>
      <c r="Q44" s="1504">
        <f t="shared" si="14"/>
        <v>111</v>
      </c>
      <c r="R44" s="713" t="s">
        <v>17</v>
      </c>
      <c r="S44" s="714">
        <f t="shared" si="10"/>
        <v>100</v>
      </c>
      <c r="T44" s="713" t="s">
        <v>17</v>
      </c>
      <c r="U44" s="714">
        <f t="shared" si="11"/>
        <v>100</v>
      </c>
      <c r="V44" s="713" t="s">
        <v>17</v>
      </c>
      <c r="W44" s="714">
        <f t="shared" si="12"/>
        <v>100</v>
      </c>
      <c r="X44" s="1507"/>
      <c r="Y44" s="3470"/>
      <c r="Z44" s="1508">
        <f t="shared" si="13"/>
        <v>111</v>
      </c>
      <c r="AA44" s="1505">
        <f t="shared" si="3"/>
        <v>1</v>
      </c>
      <c r="AB44" s="1505">
        <f t="shared" si="4"/>
        <v>1</v>
      </c>
      <c r="AC44" s="1505">
        <f t="shared" si="5"/>
        <v>1</v>
      </c>
    </row>
    <row r="45" spans="1:29" s="429" customFormat="1" ht="15.75" thickBot="1">
      <c r="A45" s="426"/>
      <c r="B45" s="1266">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70"/>
      <c r="Q45" s="1504">
        <f t="shared" si="14"/>
        <v>111</v>
      </c>
      <c r="R45" s="716" t="s">
        <v>17</v>
      </c>
      <c r="S45" s="717">
        <f t="shared" si="10"/>
        <v>100</v>
      </c>
      <c r="T45" s="716" t="s">
        <v>17</v>
      </c>
      <c r="U45" s="717">
        <f t="shared" si="11"/>
        <v>100</v>
      </c>
      <c r="V45" s="716" t="s">
        <v>17</v>
      </c>
      <c r="W45" s="717">
        <f t="shared" si="12"/>
        <v>100</v>
      </c>
      <c r="X45" s="718"/>
      <c r="Y45" s="3470"/>
      <c r="Z45" s="719">
        <f t="shared" si="13"/>
        <v>111</v>
      </c>
      <c r="AA45" s="1505">
        <f t="shared" si="3"/>
        <v>1</v>
      </c>
      <c r="AB45" s="1505">
        <f t="shared" si="4"/>
        <v>1</v>
      </c>
      <c r="AC45" s="1505">
        <f t="shared" si="5"/>
        <v>1</v>
      </c>
    </row>
    <row r="46" spans="1:29" ht="15">
      <c r="A46" s="437" t="s">
        <v>2480</v>
      </c>
      <c r="B46" s="2136" t="s">
        <v>2516</v>
      </c>
      <c r="C46" s="637" t="s">
        <v>1</v>
      </c>
      <c r="D46" s="439"/>
      <c r="E46" s="440"/>
      <c r="F46" s="441"/>
      <c r="G46" s="442"/>
      <c r="H46" s="443"/>
      <c r="I46" s="440"/>
      <c r="J46" s="443"/>
      <c r="K46" s="722"/>
      <c r="L46" s="2921"/>
      <c r="M46" s="2922"/>
      <c r="N46" s="2913"/>
      <c r="O46" s="2922"/>
      <c r="P46" s="3463" t="str">
        <f>A46</f>
        <v>成交单价</v>
      </c>
      <c r="Q46" s="3463"/>
      <c r="R46" s="3458">
        <f>E46</f>
        <v>0</v>
      </c>
      <c r="S46" s="3458"/>
      <c r="T46" s="3458">
        <f>G46</f>
        <v>0</v>
      </c>
      <c r="U46" s="3458"/>
      <c r="V46" s="3458">
        <f>I46</f>
        <v>0</v>
      </c>
      <c r="W46" s="3458"/>
      <c r="X46" s="698"/>
      <c r="Y46" s="720"/>
      <c r="Z46" s="698"/>
      <c r="AA46" s="698"/>
      <c r="AB46" s="698"/>
      <c r="AC46" s="698"/>
    </row>
    <row r="47" spans="1:29" ht="15.75" thickBot="1">
      <c r="A47" s="444" t="s">
        <v>2429</v>
      </c>
      <c r="B47" s="638"/>
      <c r="C47" s="447" t="e">
        <f>R48</f>
        <v>#DIV/0!</v>
      </c>
      <c r="D47" s="2506" t="s">
        <v>2820</v>
      </c>
      <c r="E47" s="447" t="e">
        <f>R47</f>
        <v>#DIV/0!</v>
      </c>
      <c r="F47" s="2507"/>
      <c r="G47" s="446" t="e">
        <f>T47</f>
        <v>#DIV/0!</v>
      </c>
      <c r="H47" s="2507"/>
      <c r="I47" s="447" t="e">
        <f>V47</f>
        <v>#DIV/0!</v>
      </c>
      <c r="J47" s="2507"/>
      <c r="K47" s="2509">
        <f>F47+H47+J47</f>
        <v>0</v>
      </c>
      <c r="L47" s="2921"/>
      <c r="M47" s="2922"/>
      <c r="N47" s="2922"/>
      <c r="O47" s="2922"/>
      <c r="P47" s="3463" t="str">
        <f>A47</f>
        <v>比较价值（元/平方米）</v>
      </c>
      <c r="Q47" s="3463"/>
      <c r="R47" s="3491" t="e">
        <f>ROUND(PRODUCT(R46,AA7:AA45),0)</f>
        <v>#DIV/0!</v>
      </c>
      <c r="S47" s="3491"/>
      <c r="T47" s="3491" t="e">
        <f>ROUND(PRODUCT(T46,AB7:AB45),0)</f>
        <v>#DIV/0!</v>
      </c>
      <c r="U47" s="3491"/>
      <c r="V47" s="3491" t="e">
        <f>ROUND(PRODUCT(V46,AC7:AC45),0)</f>
        <v>#DIV/0!</v>
      </c>
      <c r="W47" s="3491"/>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1"/>
      <c r="M48" s="2922"/>
      <c r="N48" s="2922"/>
      <c r="O48" s="2922"/>
      <c r="P48" s="3460" t="str">
        <f>A48</f>
        <v>估价对象XX用房的比较价值（楼面单价，元/平方米）</v>
      </c>
      <c r="Q48" s="3461"/>
      <c r="R48" s="3492" t="e">
        <f>ROUND(IF(D47="简单平均",AVERAGE(R47:W47),R47*F47+T47*H47+V47*J47),0)</f>
        <v>#DIV/0!</v>
      </c>
      <c r="S48" s="3492"/>
      <c r="T48" s="3492"/>
      <c r="U48" s="3492"/>
      <c r="V48" s="3492"/>
      <c r="W48" s="3492"/>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2518</v>
      </c>
      <c r="B55" s="640" t="s">
        <v>2519</v>
      </c>
      <c r="C55" s="2137" t="s">
        <v>2520</v>
      </c>
      <c r="D55" s="2138" t="s">
        <v>2521</v>
      </c>
      <c r="E55" s="641" t="s">
        <v>2522</v>
      </c>
      <c r="F55" s="1020" t="s">
        <v>2523</v>
      </c>
      <c r="G55" s="3446" t="s">
        <v>2524</v>
      </c>
      <c r="H55" s="3493"/>
      <c r="I55" s="139" t="s">
        <v>2525</v>
      </c>
      <c r="J55" s="2139">
        <f>项目基本情况!F35</f>
        <v>0</v>
      </c>
      <c r="K55" s="2140" t="s">
        <v>2526</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2527</v>
      </c>
      <c r="B56" s="644" t="e">
        <f>C48</f>
        <v>#DIV/0!</v>
      </c>
      <c r="C56" s="645">
        <v>1</v>
      </c>
      <c r="D56" s="1074">
        <v>1</v>
      </c>
      <c r="E56" s="645">
        <f>'数据-汇总表'!E8+'数据-汇总表'!E9</f>
        <v>19966.57</v>
      </c>
      <c r="F56" s="1016" t="e">
        <f t="shared" ref="F56:F65" si="15">ROUND(B56*E56/10000,0)</f>
        <v>#DIV/0!</v>
      </c>
      <c r="G56" s="3445"/>
      <c r="H56" s="3463"/>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2528</v>
      </c>
      <c r="B57" s="223" t="e">
        <f>ROUND($C$48*C57*D57,0)</f>
        <v>#DIV/0!</v>
      </c>
      <c r="C57" s="175">
        <f t="shared" ref="C57:C65" si="16">IF($C$55="北京市系数",I57,J57)</f>
        <v>0</v>
      </c>
      <c r="D57" s="1075">
        <v>0.25</v>
      </c>
      <c r="E57" s="649"/>
      <c r="F57" s="1016" t="e">
        <f t="shared" si="15"/>
        <v>#DIV/0!</v>
      </c>
      <c r="G57" s="3494" t="s">
        <v>2529</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2530</v>
      </c>
      <c r="B58" s="223" t="e">
        <f t="shared" ref="B58:B65" si="17">ROUND($C$48*C58*D58,0)</f>
        <v>#DIV/0!</v>
      </c>
      <c r="C58" s="175">
        <f t="shared" si="16"/>
        <v>0</v>
      </c>
      <c r="D58" s="1075">
        <v>0.25</v>
      </c>
      <c r="E58" s="649"/>
      <c r="F58" s="1016" t="e">
        <f t="shared" si="15"/>
        <v>#DIV/0!</v>
      </c>
      <c r="G58" s="3494"/>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2531</v>
      </c>
      <c r="B59" s="223" t="e">
        <f t="shared" si="17"/>
        <v>#DIV/0!</v>
      </c>
      <c r="C59" s="175">
        <f t="shared" si="16"/>
        <v>0</v>
      </c>
      <c r="D59" s="1075">
        <v>0.25</v>
      </c>
      <c r="E59" s="649"/>
      <c r="F59" s="1016" t="e">
        <f t="shared" si="15"/>
        <v>#DIV/0!</v>
      </c>
      <c r="G59" s="3494"/>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2532</v>
      </c>
      <c r="B60" s="223" t="e">
        <f t="shared" si="17"/>
        <v>#DIV/0!</v>
      </c>
      <c r="C60" s="175">
        <f t="shared" si="16"/>
        <v>0</v>
      </c>
      <c r="D60" s="1075">
        <v>0.25</v>
      </c>
      <c r="E60" s="649"/>
      <c r="F60" s="1016" t="e">
        <f t="shared" si="15"/>
        <v>#DIV/0!</v>
      </c>
      <c r="G60" s="3494"/>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2533</v>
      </c>
      <c r="B61" s="223" t="e">
        <f t="shared" si="17"/>
        <v>#DIV/0!</v>
      </c>
      <c r="C61" s="175">
        <f t="shared" si="16"/>
        <v>0</v>
      </c>
      <c r="D61" s="1075">
        <v>0.25</v>
      </c>
      <c r="E61" s="222">
        <f>'数据-汇总表'!E11</f>
        <v>0</v>
      </c>
      <c r="F61" s="1016" t="e">
        <f t="shared" si="15"/>
        <v>#DIV/0!</v>
      </c>
      <c r="G61" s="2141" t="s">
        <v>2534</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2535</v>
      </c>
      <c r="B62" s="223" t="e">
        <f t="shared" si="17"/>
        <v>#DIV/0!</v>
      </c>
      <c r="C62" s="175">
        <f t="shared" si="16"/>
        <v>0</v>
      </c>
      <c r="D62" s="1075">
        <v>0.25</v>
      </c>
      <c r="E62" s="222">
        <f>'数据-汇总表'!E12</f>
        <v>0</v>
      </c>
      <c r="F62" s="1016" t="e">
        <f t="shared" si="15"/>
        <v>#DIV/0!</v>
      </c>
      <c r="G62" s="1022" t="s">
        <v>2536</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2537</v>
      </c>
      <c r="B63" s="223" t="e">
        <f t="shared" si="17"/>
        <v>#DIV/0!</v>
      </c>
      <c r="C63" s="175">
        <f t="shared" si="16"/>
        <v>0</v>
      </c>
      <c r="D63" s="1075">
        <v>0.25</v>
      </c>
      <c r="E63" s="222">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2539</v>
      </c>
      <c r="B64" s="223" t="e">
        <f t="shared" si="17"/>
        <v>#DIV/0!</v>
      </c>
      <c r="C64" s="175">
        <f t="shared" si="16"/>
        <v>0</v>
      </c>
      <c r="D64" s="1075">
        <v>0.25</v>
      </c>
      <c r="E64" s="222">
        <f>'数据-汇总表'!E14</f>
        <v>0</v>
      </c>
      <c r="F64" s="1016" t="e">
        <f t="shared" si="15"/>
        <v>#DIV/0!</v>
      </c>
      <c r="G64" s="2141" t="s">
        <v>2529</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2540</v>
      </c>
      <c r="B65" s="223" t="e">
        <f t="shared" si="17"/>
        <v>#DIV/0!</v>
      </c>
      <c r="C65" s="175">
        <f t="shared" si="16"/>
        <v>0</v>
      </c>
      <c r="D65" s="1075">
        <v>0.25</v>
      </c>
      <c r="E65" s="222">
        <f>'数据-汇总表'!E15</f>
        <v>0</v>
      </c>
      <c r="F65" s="1016" t="e">
        <f t="shared" si="15"/>
        <v>#DIV/0!</v>
      </c>
      <c r="G65" s="2142" t="s">
        <v>2534</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2541</v>
      </c>
      <c r="B66" s="651" t="s">
        <v>28</v>
      </c>
      <c r="C66" s="651" t="s">
        <v>29</v>
      </c>
      <c r="D66" s="651" t="s">
        <v>997</v>
      </c>
      <c r="E66" s="651">
        <f>IF(B46="楼面地价",SUM(E56:E65),'数据-汇总表'!D3)</f>
        <v>19966.57</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2"/>
      <c r="Q68" s="2922"/>
      <c r="R68" s="2922"/>
      <c r="S68" s="2922"/>
      <c r="T68" s="2922"/>
      <c r="U68" s="2922"/>
      <c r="V68" s="2922"/>
      <c r="W68" s="2922"/>
      <c r="X68" s="2922"/>
      <c r="Y68" s="2922"/>
      <c r="Z68" s="2922"/>
      <c r="AA68" s="2922"/>
      <c r="AB68" s="2922"/>
      <c r="AC68" s="2922"/>
    </row>
    <row r="69" spans="1:29" ht="21.75" thickBot="1">
      <c r="A69" s="702" t="s">
        <v>2434</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2542</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4"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0"/>
      <c r="N71" s="551"/>
      <c r="O71" s="1311"/>
      <c r="P71" s="2936"/>
      <c r="Q71" s="2856"/>
      <c r="R71" s="2856"/>
      <c r="S71" s="2856"/>
      <c r="T71" s="2856"/>
      <c r="U71" s="2856"/>
      <c r="V71" s="2856"/>
      <c r="W71" s="2856"/>
      <c r="X71" s="2856"/>
      <c r="Y71" s="2856"/>
      <c r="Z71" s="2856"/>
      <c r="AA71" s="2856"/>
      <c r="AB71" s="2856"/>
      <c r="AC71" s="2856"/>
    </row>
    <row r="72" spans="1:29" s="113" customFormat="1" ht="15.75" thickBot="1">
      <c r="A72" s="471" t="s">
        <v>2345</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3" customFormat="1" ht="15">
      <c r="A73" s="477" t="s">
        <v>2310</v>
      </c>
      <c r="B73" s="466"/>
      <c r="C73" s="478" t="s">
        <v>2412</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3"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2348</v>
      </c>
      <c r="B75" s="484" t="s">
        <v>2314</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2317</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2319</v>
      </c>
      <c r="B88" s="484" t="s">
        <v>2356</v>
      </c>
      <c r="C88" s="529" t="s">
        <v>2357</v>
      </c>
      <c r="D88" s="529" t="s">
        <v>2358</v>
      </c>
      <c r="E88" s="529" t="s">
        <v>2359</v>
      </c>
      <c r="F88" s="529" t="s">
        <v>2360</v>
      </c>
      <c r="G88" s="529" t="s">
        <v>2361</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2544</v>
      </c>
      <c r="C90" s="534" t="s">
        <v>2357</v>
      </c>
      <c r="D90" s="534" t="s">
        <v>2358</v>
      </c>
      <c r="E90" s="534" t="s">
        <v>2359</v>
      </c>
      <c r="F90" s="534" t="s">
        <v>2360</v>
      </c>
      <c r="G90" s="534" t="s">
        <v>2361</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2457</v>
      </c>
      <c r="C92" s="534" t="s">
        <v>2357</v>
      </c>
      <c r="D92" s="534" t="s">
        <v>2358</v>
      </c>
      <c r="E92" s="534" t="s">
        <v>2359</v>
      </c>
      <c r="F92" s="534" t="s">
        <v>2360</v>
      </c>
      <c r="G92" s="534" t="s">
        <v>2361</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2362</v>
      </c>
      <c r="C94" s="534" t="s">
        <v>2357</v>
      </c>
      <c r="D94" s="534" t="s">
        <v>2358</v>
      </c>
      <c r="E94" s="534" t="s">
        <v>2359</v>
      </c>
      <c r="F94" s="534" t="s">
        <v>2360</v>
      </c>
      <c r="G94" s="534" t="s">
        <v>2361</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3" customFormat="1" ht="15.75" thickTop="1">
      <c r="A96" s="535"/>
      <c r="B96" s="494" t="s">
        <v>2545</v>
      </c>
      <c r="C96" s="534" t="s">
        <v>2357</v>
      </c>
      <c r="D96" s="534" t="s">
        <v>2358</v>
      </c>
      <c r="E96" s="534" t="s">
        <v>2359</v>
      </c>
      <c r="F96" s="534" t="s">
        <v>2360</v>
      </c>
      <c r="G96" s="534" t="s">
        <v>2361</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3" customFormat="1" ht="27.75" thickTop="1">
      <c r="A98" s="535"/>
      <c r="B98" s="494" t="s">
        <v>2546</v>
      </c>
      <c r="C98" s="529" t="s">
        <v>2357</v>
      </c>
      <c r="D98" s="529" t="s">
        <v>2358</v>
      </c>
      <c r="E98" s="529" t="s">
        <v>2359</v>
      </c>
      <c r="F98" s="529" t="s">
        <v>2360</v>
      </c>
      <c r="G98" s="529" t="s">
        <v>2361</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2414</v>
      </c>
      <c r="C100" s="529" t="s">
        <v>2357</v>
      </c>
      <c r="D100" s="529" t="s">
        <v>2358</v>
      </c>
      <c r="E100" s="529" t="s">
        <v>2359</v>
      </c>
      <c r="F100" s="529" t="s">
        <v>2360</v>
      </c>
      <c r="G100" s="529" t="s">
        <v>2361</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2415</v>
      </c>
      <c r="C102" s="615" t="s">
        <v>2435</v>
      </c>
      <c r="D102" s="615" t="s">
        <v>2436</v>
      </c>
      <c r="E102" s="615" t="s">
        <v>2437</v>
      </c>
      <c r="F102" s="615" t="s">
        <v>2438</v>
      </c>
      <c r="G102" s="615" t="s">
        <v>2439</v>
      </c>
      <c r="H102" s="556"/>
      <c r="I102" s="556"/>
      <c r="J102" s="556"/>
      <c r="K102" s="556"/>
      <c r="L102" s="556"/>
      <c r="M102" s="1264"/>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4"/>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2451</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2510</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2323</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2552</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2553</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2554</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2555</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2087</v>
      </c>
      <c r="B2" s="626" t="e">
        <f>F61</f>
        <v>#DIV/0!</v>
      </c>
      <c r="C2" s="1038"/>
      <c r="D2" s="1038"/>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2089</v>
      </c>
      <c r="B3" s="565" t="e">
        <f>ROUND(IF(D3="",B2*10000/'数据-汇总表'!E3,B2*10000/D3),0)</f>
        <v>#DIV/0!</v>
      </c>
      <c r="C3" s="208" t="s">
        <v>2506</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2405</v>
      </c>
      <c r="B4" s="361"/>
      <c r="C4" s="3446" t="s">
        <v>2406</v>
      </c>
      <c r="D4" s="3447"/>
      <c r="E4" s="3448" t="s">
        <v>2407</v>
      </c>
      <c r="F4" s="3449"/>
      <c r="G4" s="3446" t="s">
        <v>2408</v>
      </c>
      <c r="H4" s="3447"/>
      <c r="I4" s="3446" t="s">
        <v>2409</v>
      </c>
      <c r="J4" s="3447"/>
      <c r="K4" s="566" t="s">
        <v>2410</v>
      </c>
      <c r="L4" s="2912"/>
      <c r="M4" s="2913"/>
      <c r="N4" s="2913"/>
      <c r="O4" s="2913"/>
      <c r="P4" s="3450" t="s">
        <v>2411</v>
      </c>
      <c r="Q4" s="3451"/>
      <c r="R4" s="3433" t="s">
        <v>2407</v>
      </c>
      <c r="S4" s="3434"/>
      <c r="T4" s="3433" t="s">
        <v>2408</v>
      </c>
      <c r="U4" s="3434"/>
      <c r="V4" s="3458" t="s">
        <v>2409</v>
      </c>
      <c r="W4" s="3458"/>
      <c r="X4" s="1507"/>
      <c r="Y4" s="3433" t="s">
        <v>2411</v>
      </c>
      <c r="Z4" s="3434"/>
      <c r="AA4" s="3428" t="s">
        <v>2407</v>
      </c>
      <c r="AB4" s="3429" t="s">
        <v>2408</v>
      </c>
      <c r="AC4" s="3428" t="s">
        <v>2409</v>
      </c>
    </row>
    <row r="5" spans="1:29" ht="15">
      <c r="A5" s="363"/>
      <c r="B5" s="364"/>
      <c r="C5" s="3439" t="s">
        <v>2302</v>
      </c>
      <c r="D5" s="3440"/>
      <c r="E5" s="3437" t="s">
        <v>2303</v>
      </c>
      <c r="F5" s="3438"/>
      <c r="G5" s="3439" t="s">
        <v>2304</v>
      </c>
      <c r="H5" s="3440"/>
      <c r="I5" s="3439" t="s">
        <v>2305</v>
      </c>
      <c r="J5" s="3440"/>
      <c r="K5" s="566"/>
      <c r="L5" s="2912"/>
      <c r="M5" s="2913"/>
      <c r="N5" s="2913"/>
      <c r="O5" s="2913"/>
      <c r="P5" s="3452"/>
      <c r="Q5" s="3453"/>
      <c r="R5" s="3435"/>
      <c r="S5" s="3436"/>
      <c r="T5" s="3435"/>
      <c r="U5" s="3436"/>
      <c r="V5" s="3458"/>
      <c r="W5" s="3458"/>
      <c r="X5" s="1507"/>
      <c r="Y5" s="3435"/>
      <c r="Z5" s="3436"/>
      <c r="AA5" s="3429"/>
      <c r="AB5" s="3429"/>
      <c r="AC5" s="3429"/>
    </row>
    <row r="6" spans="1:29" ht="15.75" thickBot="1">
      <c r="A6" s="365"/>
      <c r="B6" s="366"/>
      <c r="C6" s="3495" t="s">
        <v>2557</v>
      </c>
      <c r="D6" s="3496"/>
      <c r="E6" s="3497" t="s">
        <v>2557</v>
      </c>
      <c r="F6" s="3498"/>
      <c r="G6" s="3495" t="s">
        <v>2557</v>
      </c>
      <c r="H6" s="3496"/>
      <c r="I6" s="3495" t="s">
        <v>2557</v>
      </c>
      <c r="J6" s="3496"/>
      <c r="K6" s="566" t="s">
        <v>2307</v>
      </c>
      <c r="L6" s="2912"/>
      <c r="M6" s="2913"/>
      <c r="N6" s="2913"/>
      <c r="O6" s="2913"/>
      <c r="P6" s="3454"/>
      <c r="Q6" s="3455"/>
      <c r="R6" s="3435"/>
      <c r="S6" s="3436"/>
      <c r="T6" s="3456"/>
      <c r="U6" s="3457"/>
      <c r="V6" s="3458"/>
      <c r="W6" s="3458"/>
      <c r="X6" s="1507"/>
      <c r="Y6" s="3456"/>
      <c r="Z6" s="3457"/>
      <c r="AA6" s="3430"/>
      <c r="AB6" s="3430"/>
      <c r="AC6" s="3430"/>
    </row>
    <row r="7" spans="1:29" s="113" customFormat="1" ht="15.75" thickBot="1">
      <c r="A7" s="367" t="s">
        <v>2308</v>
      </c>
      <c r="B7" s="368"/>
      <c r="C7" s="369">
        <f>'数据-取费表'!B2</f>
        <v>44642</v>
      </c>
      <c r="D7" s="370">
        <v>100</v>
      </c>
      <c r="E7" s="371"/>
      <c r="F7" s="372">
        <f>SUMIF(65:65,YEAR(E7)&amp;"-"&amp;INT((MONTH(E7)+2)/3),66:66)</f>
        <v>0</v>
      </c>
      <c r="G7" s="2128"/>
      <c r="H7" s="370">
        <f>SUMIF(65:65,YEAR(G7)&amp;"-"&amp;INT((MONTH(G7)+2)/3),66:66)</f>
        <v>0</v>
      </c>
      <c r="I7" s="2128"/>
      <c r="J7" s="370">
        <f>SUMIF(65:65,YEAR(I7)&amp;"-"&amp;INT((MONTH(I7)+2)/3),66:66)</f>
        <v>0</v>
      </c>
      <c r="K7" s="567"/>
      <c r="L7" s="2914"/>
      <c r="M7" s="2915"/>
      <c r="N7" s="2915"/>
      <c r="O7" s="2915"/>
      <c r="P7" s="3431" t="s">
        <v>2309</v>
      </c>
      <c r="Q7" s="3459"/>
      <c r="R7" s="709" t="s">
        <v>17</v>
      </c>
      <c r="S7" s="710">
        <f t="shared" ref="S7:S15" si="0">F7</f>
        <v>0</v>
      </c>
      <c r="T7" s="709" t="s">
        <v>17</v>
      </c>
      <c r="U7" s="710">
        <f t="shared" ref="U7:U15" si="1">H7</f>
        <v>0</v>
      </c>
      <c r="V7" s="709" t="s">
        <v>17</v>
      </c>
      <c r="W7" s="710">
        <f t="shared" ref="W7:W15" si="2">J7</f>
        <v>0</v>
      </c>
      <c r="X7" s="711"/>
      <c r="Y7" s="3431" t="s">
        <v>2309</v>
      </c>
      <c r="Z7" s="3432"/>
      <c r="AA7" s="712" t="e">
        <f>D7/F7</f>
        <v>#DIV/0!</v>
      </c>
      <c r="AB7" s="712" t="e">
        <f>D7/H7</f>
        <v>#DIV/0!</v>
      </c>
      <c r="AC7" s="712" t="e">
        <f>D7/J7</f>
        <v>#DIV/0!</v>
      </c>
    </row>
    <row r="8" spans="1:29" s="113" customFormat="1" ht="15.75" thickBot="1">
      <c r="A8" s="367" t="s">
        <v>2310</v>
      </c>
      <c r="B8" s="368"/>
      <c r="C8" s="373" t="s">
        <v>2311</v>
      </c>
      <c r="D8" s="370">
        <v>100</v>
      </c>
      <c r="E8" s="373"/>
      <c r="F8" s="372">
        <f>SUMIF(68:68,E8,69:69)-SUMIF(68:68,C8,69:69)+100</f>
        <v>0</v>
      </c>
      <c r="G8" s="373"/>
      <c r="H8" s="370">
        <f>SUMIF(68:68,G8,69:69)-SUMIF(68:68,C8,69:69)+100</f>
        <v>0</v>
      </c>
      <c r="I8" s="373"/>
      <c r="J8" s="370">
        <f>SUMIF(68:68,I8,69:69)-SUMIF(68:68,C8,69:69)+100</f>
        <v>0</v>
      </c>
      <c r="K8" s="567"/>
      <c r="L8" s="2914"/>
      <c r="M8" s="2915"/>
      <c r="N8" s="2915"/>
      <c r="O8" s="2915"/>
      <c r="P8" s="3431" t="s">
        <v>2312</v>
      </c>
      <c r="Q8" s="3432"/>
      <c r="R8" s="709" t="s">
        <v>17</v>
      </c>
      <c r="S8" s="710">
        <f t="shared" si="0"/>
        <v>0</v>
      </c>
      <c r="T8" s="709" t="s">
        <v>17</v>
      </c>
      <c r="U8" s="710">
        <f t="shared" si="1"/>
        <v>0</v>
      </c>
      <c r="V8" s="709" t="s">
        <v>17</v>
      </c>
      <c r="W8" s="710">
        <f t="shared" si="2"/>
        <v>0</v>
      </c>
      <c r="X8" s="711"/>
      <c r="Y8" s="3431" t="s">
        <v>2312</v>
      </c>
      <c r="Z8" s="3432"/>
      <c r="AA8" s="712" t="e">
        <f t="shared" ref="AA8:AA40" si="3">D8/F8</f>
        <v>#DIV/0!</v>
      </c>
      <c r="AB8" s="712" t="e">
        <f t="shared" ref="AB8:AB40" si="4">D8/H8</f>
        <v>#DIV/0!</v>
      </c>
      <c r="AC8" s="712" t="e">
        <f t="shared" ref="AC8:AC40" si="5">D8/J8</f>
        <v>#DIV/0!</v>
      </c>
    </row>
    <row r="9" spans="1:29" s="113" customFormat="1">
      <c r="A9" s="374" t="s">
        <v>2313</v>
      </c>
      <c r="B9" s="67" t="s">
        <v>2314</v>
      </c>
      <c r="C9" s="2131"/>
      <c r="D9" s="130">
        <v>100</v>
      </c>
      <c r="E9" s="2131"/>
      <c r="F9" s="130">
        <f>SUMIF(70:70,E9,71:71)-SUMIF(70:70,C9,71:71)+100</f>
        <v>100</v>
      </c>
      <c r="G9" s="2131"/>
      <c r="H9" s="130">
        <f>SUMIF(70:70,G9,71:71)-SUMIF(70:70,C9,71:71)+100</f>
        <v>100</v>
      </c>
      <c r="I9" s="2131"/>
      <c r="J9" s="130">
        <f>SUMIF(70:70,I9,71:71)-SUMIF(70:70,C9,71:71)+100</f>
        <v>100</v>
      </c>
      <c r="K9" s="567"/>
      <c r="L9" s="2914"/>
      <c r="M9" s="2915"/>
      <c r="N9" s="2915"/>
      <c r="O9" s="2969"/>
      <c r="P9" s="3463" t="s">
        <v>2315</v>
      </c>
      <c r="Q9" s="1495" t="str">
        <f t="shared" ref="Q9:Q15" si="6">B9</f>
        <v>用途</v>
      </c>
      <c r="R9" s="709" t="s">
        <v>17</v>
      </c>
      <c r="S9" s="710">
        <f t="shared" si="0"/>
        <v>100</v>
      </c>
      <c r="T9" s="709" t="s">
        <v>17</v>
      </c>
      <c r="U9" s="710">
        <f t="shared" si="1"/>
        <v>100</v>
      </c>
      <c r="V9" s="709" t="s">
        <v>17</v>
      </c>
      <c r="W9" s="710">
        <f t="shared" si="2"/>
        <v>100</v>
      </c>
      <c r="X9" s="711"/>
      <c r="Y9" s="3375" t="s">
        <v>2316</v>
      </c>
      <c r="Z9" s="55" t="str">
        <f t="shared" ref="Z9:Z15" si="7">Q9</f>
        <v>用途</v>
      </c>
      <c r="AA9" s="712">
        <f t="shared" si="3"/>
        <v>1</v>
      </c>
      <c r="AB9" s="712">
        <f t="shared" si="4"/>
        <v>1</v>
      </c>
      <c r="AC9" s="712">
        <f t="shared" si="5"/>
        <v>1</v>
      </c>
    </row>
    <row r="10" spans="1:29" s="385" customFormat="1" ht="27">
      <c r="A10" s="379"/>
      <c r="B10" s="380" t="s">
        <v>2317</v>
      </c>
      <c r="C10" s="390"/>
      <c r="D10" s="131">
        <v>100</v>
      </c>
      <c r="E10" s="390"/>
      <c r="F10" s="131">
        <f>ROUND(100/'数据-取费表'!G16,0)</f>
        <v>106</v>
      </c>
      <c r="G10" s="390"/>
      <c r="H10" s="131">
        <f>ROUND(100/'数据-取费表'!G16,0)</f>
        <v>106</v>
      </c>
      <c r="I10" s="390"/>
      <c r="J10" s="131">
        <f>ROUND(100/'数据-取费表'!G16,0)</f>
        <v>106</v>
      </c>
      <c r="K10" s="627"/>
      <c r="L10" s="2916"/>
      <c r="M10" s="2917"/>
      <c r="N10" s="2917"/>
      <c r="O10" s="2970"/>
      <c r="P10" s="3463"/>
      <c r="Q10" s="1495" t="str">
        <f t="shared" si="6"/>
        <v>土地使用年限（年）</v>
      </c>
      <c r="R10" s="709" t="s">
        <v>17</v>
      </c>
      <c r="S10" s="710">
        <f t="shared" si="0"/>
        <v>106</v>
      </c>
      <c r="T10" s="709" t="s">
        <v>17</v>
      </c>
      <c r="U10" s="710">
        <f t="shared" si="1"/>
        <v>106</v>
      </c>
      <c r="V10" s="709" t="s">
        <v>17</v>
      </c>
      <c r="W10" s="710">
        <f t="shared" si="2"/>
        <v>106</v>
      </c>
      <c r="X10" s="711"/>
      <c r="Y10" s="3375"/>
      <c r="Z10" s="55" t="str">
        <f t="shared" si="7"/>
        <v>土地使用年限（年）</v>
      </c>
      <c r="AA10" s="712">
        <f t="shared" si="3"/>
        <v>0.94339622641509435</v>
      </c>
      <c r="AB10" s="712">
        <f t="shared" si="4"/>
        <v>0.94339622641509435</v>
      </c>
      <c r="AC10" s="712">
        <f t="shared" si="5"/>
        <v>0.94339622641509435</v>
      </c>
    </row>
    <row r="11" spans="1:29" ht="15">
      <c r="A11" s="386"/>
      <c r="B11" s="380" t="s">
        <v>2318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8"/>
      <c r="M11" s="2913"/>
      <c r="N11" s="2913"/>
      <c r="O11" s="2971"/>
      <c r="P11" s="3463"/>
      <c r="Q11" s="1495" t="str">
        <f t="shared" si="6"/>
        <v>容积率</v>
      </c>
      <c r="R11" s="709" t="s">
        <v>17</v>
      </c>
      <c r="S11" s="710" t="e">
        <f t="shared" si="0"/>
        <v>#N/A</v>
      </c>
      <c r="T11" s="709" t="s">
        <v>17</v>
      </c>
      <c r="U11" s="710" t="e">
        <f t="shared" si="1"/>
        <v>#N/A</v>
      </c>
      <c r="V11" s="709" t="s">
        <v>17</v>
      </c>
      <c r="W11" s="710" t="e">
        <f t="shared" si="2"/>
        <v>#N/A</v>
      </c>
      <c r="X11" s="711"/>
      <c r="Y11" s="3375"/>
      <c r="Z11" s="55" t="str">
        <f t="shared" si="7"/>
        <v>容积率</v>
      </c>
      <c r="AA11" s="712" t="e">
        <f t="shared" si="3"/>
        <v>#N/A</v>
      </c>
      <c r="AB11" s="712" t="e">
        <f t="shared" si="4"/>
        <v>#N/A</v>
      </c>
      <c r="AC11" s="712" t="e">
        <f t="shared" si="5"/>
        <v>#N/A</v>
      </c>
    </row>
    <row r="12" spans="1:29" s="113"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63"/>
      <c r="Q12" s="1495">
        <f t="shared" si="6"/>
        <v>111</v>
      </c>
      <c r="R12" s="709" t="s">
        <v>17</v>
      </c>
      <c r="S12" s="710">
        <f t="shared" si="0"/>
        <v>100</v>
      </c>
      <c r="T12" s="709" t="s">
        <v>17</v>
      </c>
      <c r="U12" s="710">
        <f t="shared" si="1"/>
        <v>100</v>
      </c>
      <c r="V12" s="709" t="s">
        <v>17</v>
      </c>
      <c r="W12" s="710">
        <f t="shared" si="2"/>
        <v>100</v>
      </c>
      <c r="X12" s="711"/>
      <c r="Y12" s="3375"/>
      <c r="Z12" s="55">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63"/>
      <c r="Q13" s="1495">
        <f t="shared" si="6"/>
        <v>111</v>
      </c>
      <c r="R13" s="709" t="s">
        <v>17</v>
      </c>
      <c r="S13" s="710">
        <f t="shared" si="0"/>
        <v>100</v>
      </c>
      <c r="T13" s="709" t="s">
        <v>17</v>
      </c>
      <c r="U13" s="710">
        <f t="shared" si="1"/>
        <v>100</v>
      </c>
      <c r="V13" s="709" t="s">
        <v>17</v>
      </c>
      <c r="W13" s="710">
        <f t="shared" si="2"/>
        <v>100</v>
      </c>
      <c r="X13" s="711"/>
      <c r="Y13" s="3375"/>
      <c r="Z13" s="55">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63"/>
      <c r="Q14" s="1495">
        <f t="shared" si="6"/>
        <v>111</v>
      </c>
      <c r="R14" s="709" t="s">
        <v>17</v>
      </c>
      <c r="S14" s="710">
        <f t="shared" si="0"/>
        <v>100</v>
      </c>
      <c r="T14" s="709" t="s">
        <v>17</v>
      </c>
      <c r="U14" s="710">
        <f t="shared" si="1"/>
        <v>100</v>
      </c>
      <c r="V14" s="709" t="s">
        <v>17</v>
      </c>
      <c r="W14" s="710">
        <f t="shared" si="2"/>
        <v>100</v>
      </c>
      <c r="X14" s="711"/>
      <c r="Y14" s="3375"/>
      <c r="Z14" s="55">
        <f t="shared" si="7"/>
        <v>111</v>
      </c>
      <c r="AA14" s="712">
        <f t="shared" si="3"/>
        <v>1</v>
      </c>
      <c r="AB14" s="712">
        <f t="shared" si="4"/>
        <v>1</v>
      </c>
      <c r="AC14" s="712">
        <f t="shared" si="5"/>
        <v>1</v>
      </c>
    </row>
    <row r="15" spans="1:29" ht="57">
      <c r="A15" s="398" t="s">
        <v>2319</v>
      </c>
      <c r="B15" s="584" t="s">
        <v>2558</v>
      </c>
      <c r="C15" s="212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9"/>
      <c r="M15" s="2913"/>
      <c r="N15" s="2913"/>
      <c r="O15" s="2971"/>
      <c r="P15" s="3465" t="s">
        <v>2320</v>
      </c>
      <c r="Q15" s="1504" t="str">
        <f t="shared" si="6"/>
        <v>产业集聚程度</v>
      </c>
      <c r="R15" s="713" t="s">
        <v>17</v>
      </c>
      <c r="S15" s="714">
        <f t="shared" si="0"/>
        <v>100</v>
      </c>
      <c r="T15" s="713" t="s">
        <v>17</v>
      </c>
      <c r="U15" s="714">
        <f t="shared" si="1"/>
        <v>100</v>
      </c>
      <c r="V15" s="713" t="s">
        <v>17</v>
      </c>
      <c r="W15" s="714">
        <f t="shared" si="2"/>
        <v>100</v>
      </c>
      <c r="X15" s="1507"/>
      <c r="Y15" s="3465" t="s">
        <v>2320</v>
      </c>
      <c r="Z15" s="1508" t="str">
        <f t="shared" si="7"/>
        <v>产业集聚程度</v>
      </c>
      <c r="AA15" s="1505">
        <f t="shared" si="3"/>
        <v>1</v>
      </c>
      <c r="AB15" s="1505">
        <f t="shared" si="4"/>
        <v>1</v>
      </c>
      <c r="AC15" s="1505">
        <f t="shared" si="5"/>
        <v>1</v>
      </c>
    </row>
    <row r="16" spans="1:29" ht="15">
      <c r="A16" s="386"/>
      <c r="B16" s="585"/>
      <c r="C16" s="405"/>
      <c r="D16" s="406"/>
      <c r="E16" s="2058"/>
      <c r="F16" s="406"/>
      <c r="G16" s="2058"/>
      <c r="H16" s="408"/>
      <c r="I16" s="2058"/>
      <c r="J16" s="406"/>
      <c r="K16" s="627"/>
      <c r="L16" s="2919"/>
      <c r="M16" s="2913"/>
      <c r="N16" s="2913"/>
      <c r="O16" s="2971"/>
      <c r="P16" s="3466"/>
      <c r="Q16" s="1504"/>
      <c r="R16" s="713"/>
      <c r="S16" s="714"/>
      <c r="T16" s="713"/>
      <c r="U16" s="714"/>
      <c r="V16" s="713"/>
      <c r="W16" s="714"/>
      <c r="X16" s="1507"/>
      <c r="Y16" s="3466"/>
      <c r="Z16" s="1508"/>
      <c r="AA16" s="1505">
        <v>1</v>
      </c>
      <c r="AB16" s="1505">
        <v>1</v>
      </c>
      <c r="AC16" s="1505">
        <v>1</v>
      </c>
    </row>
    <row r="17" spans="1:29" ht="85.5">
      <c r="A17" s="386"/>
      <c r="B17" s="586" t="s">
        <v>2469</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9"/>
      <c r="M17" s="2913"/>
      <c r="N17" s="2913"/>
      <c r="O17" s="2971"/>
      <c r="P17" s="3466"/>
      <c r="Q17" s="1504" t="str">
        <f>B17</f>
        <v>交通便捷度</v>
      </c>
      <c r="R17" s="713" t="s">
        <v>17</v>
      </c>
      <c r="S17" s="714">
        <f>F17</f>
        <v>100</v>
      </c>
      <c r="T17" s="713" t="s">
        <v>17</v>
      </c>
      <c r="U17" s="714">
        <f>H17</f>
        <v>100</v>
      </c>
      <c r="V17" s="713" t="s">
        <v>17</v>
      </c>
      <c r="W17" s="714">
        <f>J17</f>
        <v>100</v>
      </c>
      <c r="X17" s="1507"/>
      <c r="Y17" s="3466"/>
      <c r="Z17" s="1508" t="str">
        <f>Q17</f>
        <v>交通便捷度</v>
      </c>
      <c r="AA17" s="1505">
        <f t="shared" si="3"/>
        <v>1</v>
      </c>
      <c r="AB17" s="1505">
        <f t="shared" si="4"/>
        <v>1</v>
      </c>
      <c r="AC17" s="1505">
        <f t="shared" si="5"/>
        <v>1</v>
      </c>
    </row>
    <row r="18" spans="1:29" ht="15">
      <c r="A18" s="386"/>
      <c r="B18" s="587"/>
      <c r="C18" s="405"/>
      <c r="D18" s="406"/>
      <c r="E18" s="2052"/>
      <c r="F18" s="406"/>
      <c r="G18" s="2052"/>
      <c r="H18" s="406"/>
      <c r="I18" s="2051"/>
      <c r="J18" s="406"/>
      <c r="K18" s="627"/>
      <c r="L18" s="2919"/>
      <c r="M18" s="2913"/>
      <c r="N18" s="2913"/>
      <c r="O18" s="2971"/>
      <c r="P18" s="3466"/>
      <c r="Q18" s="1504"/>
      <c r="R18" s="713"/>
      <c r="S18" s="714"/>
      <c r="T18" s="713"/>
      <c r="U18" s="714"/>
      <c r="V18" s="713"/>
      <c r="W18" s="714"/>
      <c r="X18" s="1507"/>
      <c r="Y18" s="3466"/>
      <c r="Z18" s="1508"/>
      <c r="AA18" s="1505">
        <v>1</v>
      </c>
      <c r="AB18" s="1505">
        <v>1</v>
      </c>
      <c r="AC18" s="1505">
        <v>1</v>
      </c>
    </row>
    <row r="19" spans="1:29" ht="15">
      <c r="A19" s="386"/>
      <c r="B19" s="586" t="s">
        <v>2508</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466"/>
      <c r="Q19" s="1504" t="str">
        <f t="shared" ref="Q19:Q33" si="8">B19</f>
        <v>区域土地利用方向</v>
      </c>
      <c r="R19" s="713" t="s">
        <v>17</v>
      </c>
      <c r="S19" s="714">
        <f>F19</f>
        <v>100</v>
      </c>
      <c r="T19" s="713" t="s">
        <v>17</v>
      </c>
      <c r="U19" s="714">
        <f>H19</f>
        <v>100</v>
      </c>
      <c r="V19" s="713" t="s">
        <v>17</v>
      </c>
      <c r="W19" s="714">
        <f>J19</f>
        <v>100</v>
      </c>
      <c r="X19" s="1507"/>
      <c r="Y19" s="3466"/>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466"/>
      <c r="Q20" s="1504"/>
      <c r="R20" s="713"/>
      <c r="S20" s="714"/>
      <c r="T20" s="713"/>
      <c r="U20" s="714"/>
      <c r="V20" s="713"/>
      <c r="W20" s="714"/>
      <c r="X20" s="1507"/>
      <c r="Y20" s="3466"/>
      <c r="Z20" s="1508"/>
      <c r="AA20" s="1505"/>
      <c r="AB20" s="1505"/>
      <c r="AC20" s="1505"/>
    </row>
    <row r="21" spans="1:29" ht="71.25">
      <c r="A21" s="363"/>
      <c r="B21" s="586" t="s">
        <v>2559</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9"/>
      <c r="M21" s="2913"/>
      <c r="N21" s="2913"/>
      <c r="O21" s="2971"/>
      <c r="P21" s="3466"/>
      <c r="Q21" s="1504" t="str">
        <f t="shared" si="8"/>
        <v>环境状况</v>
      </c>
      <c r="R21" s="713" t="s">
        <v>17</v>
      </c>
      <c r="S21" s="714">
        <f>F21</f>
        <v>100</v>
      </c>
      <c r="T21" s="713" t="s">
        <v>17</v>
      </c>
      <c r="U21" s="714">
        <f>H21</f>
        <v>100</v>
      </c>
      <c r="V21" s="713" t="s">
        <v>17</v>
      </c>
      <c r="W21" s="714">
        <f>J21</f>
        <v>100</v>
      </c>
      <c r="X21" s="1507"/>
      <c r="Y21" s="3466"/>
      <c r="Z21" s="1508" t="str">
        <f>Q21</f>
        <v>环境状况</v>
      </c>
      <c r="AA21" s="1505">
        <f t="shared" si="3"/>
        <v>1</v>
      </c>
      <c r="AB21" s="1505">
        <f t="shared" si="4"/>
        <v>1</v>
      </c>
      <c r="AC21" s="1505">
        <f t="shared" si="5"/>
        <v>1</v>
      </c>
    </row>
    <row r="22" spans="1:29" ht="15">
      <c r="A22" s="363"/>
      <c r="B22" s="587"/>
      <c r="C22" s="405"/>
      <c r="D22" s="406"/>
      <c r="E22" s="2058"/>
      <c r="F22" s="406"/>
      <c r="G22" s="2058"/>
      <c r="H22" s="406"/>
      <c r="I22" s="405"/>
      <c r="J22" s="406"/>
      <c r="K22" s="627"/>
      <c r="L22" s="2919"/>
      <c r="M22" s="2913"/>
      <c r="N22" s="2913"/>
      <c r="O22" s="2971"/>
      <c r="P22" s="3466"/>
      <c r="Q22" s="1504"/>
      <c r="R22" s="713"/>
      <c r="S22" s="714"/>
      <c r="T22" s="713"/>
      <c r="U22" s="714"/>
      <c r="V22" s="713"/>
      <c r="W22" s="714"/>
      <c r="X22" s="1507"/>
      <c r="Y22" s="3466"/>
      <c r="Z22" s="1508"/>
      <c r="AA22" s="1505">
        <v>1</v>
      </c>
      <c r="AB22" s="1505">
        <v>1</v>
      </c>
      <c r="AC22" s="1505">
        <v>1</v>
      </c>
    </row>
    <row r="23" spans="1:29" s="113" customFormat="1" ht="42.75">
      <c r="A23" s="604"/>
      <c r="B23" s="588" t="s">
        <v>2414</v>
      </c>
      <c r="C23" s="205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4"/>
      <c r="M23" s="2915"/>
      <c r="N23" s="2915"/>
      <c r="O23" s="2969"/>
      <c r="P23" s="3466"/>
      <c r="Q23" s="1495" t="str">
        <f t="shared" si="8"/>
        <v>公共配套设施</v>
      </c>
      <c r="R23" s="709" t="s">
        <v>17</v>
      </c>
      <c r="S23" s="710">
        <f>F23</f>
        <v>100</v>
      </c>
      <c r="T23" s="709" t="s">
        <v>17</v>
      </c>
      <c r="U23" s="710">
        <f>H23</f>
        <v>100</v>
      </c>
      <c r="V23" s="709" t="s">
        <v>17</v>
      </c>
      <c r="W23" s="710">
        <f>J23</f>
        <v>100</v>
      </c>
      <c r="X23" s="711"/>
      <c r="Y23" s="3466"/>
      <c r="Z23" s="55" t="str">
        <f>Q23</f>
        <v>公共配套设施</v>
      </c>
      <c r="AA23" s="1505">
        <f>D23/F23</f>
        <v>1</v>
      </c>
      <c r="AB23" s="1505">
        <f>D23/H23</f>
        <v>1</v>
      </c>
      <c r="AC23" s="1505">
        <f>D23/J23</f>
        <v>1</v>
      </c>
    </row>
    <row r="24" spans="1:29" s="113" customFormat="1" ht="15">
      <c r="A24" s="604"/>
      <c r="B24" s="587"/>
      <c r="C24" s="2132"/>
      <c r="D24" s="406"/>
      <c r="E24" s="2058"/>
      <c r="F24" s="406"/>
      <c r="G24" s="2058"/>
      <c r="H24" s="406"/>
      <c r="I24" s="405"/>
      <c r="J24" s="406"/>
      <c r="K24" s="627"/>
      <c r="L24" s="2914"/>
      <c r="M24" s="2915"/>
      <c r="N24" s="2915"/>
      <c r="O24" s="2969"/>
      <c r="P24" s="3466"/>
      <c r="Q24" s="1495"/>
      <c r="R24" s="709"/>
      <c r="S24" s="710"/>
      <c r="T24" s="709"/>
      <c r="U24" s="710"/>
      <c r="V24" s="709"/>
      <c r="W24" s="710"/>
      <c r="X24" s="711"/>
      <c r="Y24" s="3466"/>
      <c r="Z24" s="55"/>
      <c r="AA24" s="712">
        <v>1</v>
      </c>
      <c r="AB24" s="712">
        <v>1</v>
      </c>
      <c r="AC24" s="712">
        <v>1</v>
      </c>
    </row>
    <row r="25" spans="1:29" s="113" customFormat="1" ht="28.5">
      <c r="A25" s="604"/>
      <c r="B25" s="588" t="s">
        <v>2415</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4"/>
      <c r="M25" s="2915"/>
      <c r="N25" s="2915"/>
      <c r="O25" s="2969"/>
      <c r="P25" s="3466"/>
      <c r="Q25" s="1495" t="str">
        <f t="shared" ref="Q25" si="9">B25</f>
        <v>基础设施水平</v>
      </c>
      <c r="R25" s="709" t="s">
        <v>17</v>
      </c>
      <c r="S25" s="710">
        <f>F25</f>
        <v>100</v>
      </c>
      <c r="T25" s="709" t="s">
        <v>17</v>
      </c>
      <c r="U25" s="710">
        <f>H25</f>
        <v>100</v>
      </c>
      <c r="V25" s="709" t="s">
        <v>17</v>
      </c>
      <c r="W25" s="710">
        <f>J25</f>
        <v>100</v>
      </c>
      <c r="X25" s="711"/>
      <c r="Y25" s="3466"/>
      <c r="Z25" s="55" t="str">
        <f>Q25</f>
        <v>基础设施水平</v>
      </c>
      <c r="AA25" s="1505">
        <f>D25/F25</f>
        <v>1</v>
      </c>
      <c r="AB25" s="1505">
        <f>D25/H25</f>
        <v>1</v>
      </c>
      <c r="AC25" s="1505">
        <f>D25/J25</f>
        <v>1</v>
      </c>
    </row>
    <row r="26" spans="1:29" s="113" customFormat="1" ht="15">
      <c r="A26" s="604"/>
      <c r="B26" s="587"/>
      <c r="C26" s="2132"/>
      <c r="D26" s="406"/>
      <c r="E26" s="2133"/>
      <c r="F26" s="406"/>
      <c r="G26" s="2133"/>
      <c r="H26" s="406"/>
      <c r="I26" s="2133"/>
      <c r="J26" s="406"/>
      <c r="K26" s="627"/>
      <c r="L26" s="2914"/>
      <c r="M26" s="2915"/>
      <c r="N26" s="2915"/>
      <c r="O26" s="2969"/>
      <c r="P26" s="3466"/>
      <c r="Q26" s="1495"/>
      <c r="R26" s="709"/>
      <c r="S26" s="710"/>
      <c r="T26" s="709"/>
      <c r="U26" s="710"/>
      <c r="V26" s="709"/>
      <c r="W26" s="710"/>
      <c r="X26" s="711"/>
      <c r="Y26" s="3466"/>
      <c r="Z26" s="55"/>
      <c r="AA26" s="712">
        <v>1</v>
      </c>
      <c r="AB26" s="712">
        <v>1</v>
      </c>
      <c r="AC26" s="712">
        <v>1</v>
      </c>
    </row>
    <row r="27" spans="1:29" ht="15">
      <c r="A27" s="386"/>
      <c r="B27" s="587" t="s">
        <v>2416</v>
      </c>
      <c r="C27" s="572"/>
      <c r="D27" s="393">
        <v>100</v>
      </c>
      <c r="E27" s="589"/>
      <c r="F27" s="393">
        <f>SUMIF(95:95,E27,96:96)-SUMIF(95:95,C27,96:96)+100</f>
        <v>100</v>
      </c>
      <c r="G27" s="589"/>
      <c r="H27" s="393">
        <f>SUMIF(95:95,G27,96:96)-SUMIF(95:95,C27,96:96)+100</f>
        <v>100</v>
      </c>
      <c r="I27" s="589"/>
      <c r="J27" s="393">
        <f>SUMIF(95:95,I27,96:96)-SUMIF(95:95,C27,96:96)+100</f>
        <v>100</v>
      </c>
      <c r="K27" s="628"/>
      <c r="L27" s="2919"/>
      <c r="M27" s="2913"/>
      <c r="N27" s="2913"/>
      <c r="O27" s="2971"/>
      <c r="P27" s="3466"/>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66"/>
      <c r="Z27" s="1508" t="str">
        <f t="shared" ref="Z27:Z40" si="13">Q27</f>
        <v>临街状况</v>
      </c>
      <c r="AA27" s="1505">
        <f t="shared" si="3"/>
        <v>1</v>
      </c>
      <c r="AB27" s="1505">
        <f t="shared" si="4"/>
        <v>1</v>
      </c>
      <c r="AC27" s="1505">
        <f t="shared" si="5"/>
        <v>1</v>
      </c>
    </row>
    <row r="28" spans="1:29" ht="27">
      <c r="A28" s="386"/>
      <c r="B28" s="588" t="s">
        <v>2451</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66"/>
      <c r="Q28" s="1504" t="str">
        <f t="shared" si="8"/>
        <v>毗邻道路的类型与等级</v>
      </c>
      <c r="R28" s="713" t="s">
        <v>17</v>
      </c>
      <c r="S28" s="714">
        <f t="shared" si="10"/>
        <v>100</v>
      </c>
      <c r="T28" s="713" t="s">
        <v>17</v>
      </c>
      <c r="U28" s="714">
        <f t="shared" si="11"/>
        <v>100</v>
      </c>
      <c r="V28" s="713" t="s">
        <v>17</v>
      </c>
      <c r="W28" s="714">
        <f t="shared" si="12"/>
        <v>100</v>
      </c>
      <c r="X28" s="1507"/>
      <c r="Y28" s="3466"/>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466"/>
      <c r="Q29" s="1504"/>
      <c r="R29" s="713"/>
      <c r="S29" s="714"/>
      <c r="T29" s="713"/>
      <c r="U29" s="714"/>
      <c r="V29" s="713"/>
      <c r="W29" s="714"/>
      <c r="X29" s="1507"/>
      <c r="Y29" s="3466"/>
      <c r="Z29" s="1508"/>
      <c r="AA29" s="1505">
        <v>1</v>
      </c>
      <c r="AB29" s="1505">
        <v>1</v>
      </c>
      <c r="AC29" s="1505">
        <v>1</v>
      </c>
    </row>
    <row r="30" spans="1:29" ht="15">
      <c r="A30" s="386"/>
      <c r="B30" s="609" t="s">
        <v>2510</v>
      </c>
      <c r="C30" s="126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66"/>
      <c r="Q30" s="1504" t="str">
        <f t="shared" si="8"/>
        <v>土地级别</v>
      </c>
      <c r="R30" s="713" t="s">
        <v>17</v>
      </c>
      <c r="S30" s="714">
        <f t="shared" si="10"/>
        <v>100</v>
      </c>
      <c r="T30" s="713" t="s">
        <v>17</v>
      </c>
      <c r="U30" s="714">
        <f t="shared" si="11"/>
        <v>100</v>
      </c>
      <c r="V30" s="713" t="s">
        <v>17</v>
      </c>
      <c r="W30" s="714">
        <f t="shared" si="12"/>
        <v>100</v>
      </c>
      <c r="X30" s="1507"/>
      <c r="Y30" s="3466"/>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66"/>
      <c r="Q31" s="1504">
        <f t="shared" si="8"/>
        <v>111</v>
      </c>
      <c r="R31" s="713" t="s">
        <v>17</v>
      </c>
      <c r="S31" s="714">
        <f t="shared" si="10"/>
        <v>100</v>
      </c>
      <c r="T31" s="713" t="s">
        <v>17</v>
      </c>
      <c r="U31" s="714">
        <f t="shared" si="11"/>
        <v>100</v>
      </c>
      <c r="V31" s="713" t="s">
        <v>17</v>
      </c>
      <c r="W31" s="714">
        <f t="shared" si="12"/>
        <v>100</v>
      </c>
      <c r="X31" s="1507"/>
      <c r="Y31" s="3466"/>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489" t="s">
        <v>2325</v>
      </c>
      <c r="Q32" s="1504">
        <f t="shared" si="8"/>
        <v>111</v>
      </c>
      <c r="R32" s="713" t="s">
        <v>17</v>
      </c>
      <c r="S32" s="714">
        <f t="shared" si="10"/>
        <v>100</v>
      </c>
      <c r="T32" s="713" t="s">
        <v>17</v>
      </c>
      <c r="U32" s="714">
        <f t="shared" si="11"/>
        <v>100</v>
      </c>
      <c r="V32" s="713" t="s">
        <v>17</v>
      </c>
      <c r="W32" s="714">
        <f t="shared" si="12"/>
        <v>100</v>
      </c>
      <c r="X32" s="1507"/>
      <c r="Y32" s="3470" t="s">
        <v>2325</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70"/>
      <c r="Q33" s="1504">
        <f t="shared" si="8"/>
        <v>111</v>
      </c>
      <c r="R33" s="716" t="s">
        <v>17</v>
      </c>
      <c r="S33" s="717">
        <f t="shared" si="10"/>
        <v>100</v>
      </c>
      <c r="T33" s="716" t="s">
        <v>17</v>
      </c>
      <c r="U33" s="717">
        <f t="shared" si="11"/>
        <v>100</v>
      </c>
      <c r="V33" s="716" t="s">
        <v>17</v>
      </c>
      <c r="W33" s="717">
        <f t="shared" si="12"/>
        <v>100</v>
      </c>
      <c r="X33" s="718"/>
      <c r="Y33" s="3470"/>
      <c r="Z33" s="719">
        <f t="shared" si="13"/>
        <v>111</v>
      </c>
      <c r="AA33" s="1505">
        <f t="shared" si="3"/>
        <v>1</v>
      </c>
      <c r="AB33" s="1505">
        <f t="shared" si="4"/>
        <v>1</v>
      </c>
      <c r="AC33" s="1505">
        <f t="shared" si="5"/>
        <v>1</v>
      </c>
    </row>
    <row r="34" spans="1:31" ht="15">
      <c r="A34" s="398" t="s">
        <v>2323</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9"/>
      <c r="M34" s="2913"/>
      <c r="N34" s="2913"/>
      <c r="O34" s="2971"/>
      <c r="P34" s="3470"/>
      <c r="Q34" s="1504" t="str">
        <f>B34</f>
        <v>宗地面积</v>
      </c>
      <c r="R34" s="713" t="s">
        <v>17</v>
      </c>
      <c r="S34" s="714" t="e">
        <f t="shared" si="10"/>
        <v>#N/A</v>
      </c>
      <c r="T34" s="713" t="s">
        <v>17</v>
      </c>
      <c r="U34" s="714" t="e">
        <f t="shared" si="11"/>
        <v>#N/A</v>
      </c>
      <c r="V34" s="713" t="s">
        <v>17</v>
      </c>
      <c r="W34" s="714" t="e">
        <f t="shared" si="12"/>
        <v>#N/A</v>
      </c>
      <c r="X34" s="1507"/>
      <c r="Y34" s="3470"/>
      <c r="Z34" s="1508" t="str">
        <f t="shared" si="13"/>
        <v>宗地面积</v>
      </c>
      <c r="AA34" s="1505" t="e">
        <f t="shared" si="3"/>
        <v>#N/A</v>
      </c>
      <c r="AB34" s="1505" t="e">
        <f t="shared" si="4"/>
        <v>#N/A</v>
      </c>
      <c r="AC34" s="1505" t="e">
        <f t="shared" si="5"/>
        <v>#N/A</v>
      </c>
    </row>
    <row r="35" spans="1:31" ht="15">
      <c r="A35" s="430"/>
      <c r="B35" s="380" t="s">
        <v>2512</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c r="L35" s="2919"/>
      <c r="M35" s="2913"/>
      <c r="N35" s="2913"/>
      <c r="O35" s="2971"/>
      <c r="P35" s="3470"/>
      <c r="Q35" s="1504" t="str">
        <f t="shared" ref="Q35:Q40" si="14">B35</f>
        <v>宗地形状</v>
      </c>
      <c r="R35" s="713" t="s">
        <v>17</v>
      </c>
      <c r="S35" s="714">
        <f t="shared" si="10"/>
        <v>100</v>
      </c>
      <c r="T35" s="713" t="s">
        <v>17</v>
      </c>
      <c r="U35" s="714">
        <f t="shared" si="11"/>
        <v>100</v>
      </c>
      <c r="V35" s="713" t="s">
        <v>17</v>
      </c>
      <c r="W35" s="714">
        <f t="shared" si="12"/>
        <v>100</v>
      </c>
      <c r="X35" s="1507"/>
      <c r="Y35" s="3470"/>
      <c r="Z35" s="1508" t="str">
        <f t="shared" si="13"/>
        <v>宗地形状</v>
      </c>
      <c r="AA35" s="1505">
        <f t="shared" si="3"/>
        <v>1</v>
      </c>
      <c r="AB35" s="1505">
        <f t="shared" si="4"/>
        <v>1</v>
      </c>
      <c r="AC35" s="1505">
        <f t="shared" si="5"/>
        <v>1</v>
      </c>
    </row>
    <row r="36" spans="1:31" s="113" customFormat="1" ht="15">
      <c r="A36" s="431"/>
      <c r="B36" s="380" t="s">
        <v>2514</v>
      </c>
      <c r="C36" s="2134"/>
      <c r="D36" s="131">
        <v>100</v>
      </c>
      <c r="E36" s="2134"/>
      <c r="F36" s="393">
        <f>SUMIF(112:112,E36,113:113)-SUMIF(112:112,C36,113:113)+100</f>
        <v>100</v>
      </c>
      <c r="G36" s="2134"/>
      <c r="H36" s="393">
        <f>SUMIF(112:112,G36,113:113)-SUMIF(112:112,C36,113:113)+100</f>
        <v>100</v>
      </c>
      <c r="I36" s="2134"/>
      <c r="J36" s="393">
        <f>SUMIF(112:112,I36,113:113)-SUMIF(112:112,C36,113:113)+100</f>
        <v>100</v>
      </c>
      <c r="K36" s="568"/>
      <c r="L36" s="2914"/>
      <c r="M36" s="2915"/>
      <c r="N36" s="2915"/>
      <c r="O36" s="2969"/>
      <c r="P36" s="3470"/>
      <c r="Q36" s="1504" t="str">
        <f t="shared" si="14"/>
        <v>宗地开发程度</v>
      </c>
      <c r="R36" s="709" t="s">
        <v>17</v>
      </c>
      <c r="S36" s="710">
        <f t="shared" si="10"/>
        <v>100</v>
      </c>
      <c r="T36" s="709" t="s">
        <v>17</v>
      </c>
      <c r="U36" s="710">
        <f t="shared" si="11"/>
        <v>100</v>
      </c>
      <c r="V36" s="709" t="s">
        <v>17</v>
      </c>
      <c r="W36" s="710">
        <f t="shared" si="12"/>
        <v>100</v>
      </c>
      <c r="X36" s="711"/>
      <c r="Y36" s="3470"/>
      <c r="Z36" s="55" t="str">
        <f t="shared" si="13"/>
        <v>宗地开发程度</v>
      </c>
      <c r="AA36" s="712">
        <f t="shared" si="3"/>
        <v>1</v>
      </c>
      <c r="AB36" s="712">
        <f t="shared" si="4"/>
        <v>1</v>
      </c>
      <c r="AC36" s="712">
        <f t="shared" si="5"/>
        <v>1</v>
      </c>
    </row>
    <row r="37" spans="1:31" ht="15">
      <c r="A37" s="430"/>
      <c r="B37" s="380" t="s">
        <v>2515</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c r="L37" s="2919"/>
      <c r="M37" s="2913"/>
      <c r="N37" s="2913"/>
      <c r="O37" s="2971"/>
      <c r="P37" s="3470" t="s">
        <v>2325</v>
      </c>
      <c r="Q37" s="1504" t="str">
        <f t="shared" si="14"/>
        <v>工程地质条件</v>
      </c>
      <c r="R37" s="713" t="s">
        <v>17</v>
      </c>
      <c r="S37" s="714">
        <f t="shared" si="10"/>
        <v>100</v>
      </c>
      <c r="T37" s="713" t="s">
        <v>17</v>
      </c>
      <c r="U37" s="714">
        <f t="shared" si="11"/>
        <v>100</v>
      </c>
      <c r="V37" s="713" t="s">
        <v>17</v>
      </c>
      <c r="W37" s="714">
        <f t="shared" si="12"/>
        <v>100</v>
      </c>
      <c r="X37" s="1507"/>
      <c r="Y37" s="3470" t="s">
        <v>2325</v>
      </c>
      <c r="Z37" s="1508" t="str">
        <f t="shared" si="13"/>
        <v>工程地质条件</v>
      </c>
      <c r="AA37" s="1505">
        <f t="shared" si="3"/>
        <v>1</v>
      </c>
      <c r="AB37" s="1505">
        <f t="shared" si="4"/>
        <v>1</v>
      </c>
      <c r="AC37" s="1505">
        <f t="shared" si="5"/>
        <v>1</v>
      </c>
    </row>
    <row r="38" spans="1:31" ht="15">
      <c r="A38" s="430"/>
      <c r="B38" s="1266">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70"/>
      <c r="Q38" s="1504">
        <f t="shared" si="14"/>
        <v>111</v>
      </c>
      <c r="R38" s="713" t="s">
        <v>17</v>
      </c>
      <c r="S38" s="714">
        <f t="shared" si="10"/>
        <v>100</v>
      </c>
      <c r="T38" s="713" t="s">
        <v>17</v>
      </c>
      <c r="U38" s="714">
        <f t="shared" si="11"/>
        <v>100</v>
      </c>
      <c r="V38" s="713" t="s">
        <v>17</v>
      </c>
      <c r="W38" s="714">
        <f t="shared" si="12"/>
        <v>100</v>
      </c>
      <c r="X38" s="1507"/>
      <c r="Y38" s="3470"/>
      <c r="Z38" s="1508">
        <f t="shared" si="13"/>
        <v>111</v>
      </c>
      <c r="AA38" s="1505">
        <f t="shared" si="3"/>
        <v>1</v>
      </c>
      <c r="AB38" s="1505">
        <f t="shared" si="4"/>
        <v>1</v>
      </c>
      <c r="AC38" s="1505">
        <f t="shared" si="5"/>
        <v>1</v>
      </c>
    </row>
    <row r="39" spans="1:31" ht="15">
      <c r="A39" s="430"/>
      <c r="B39" s="1266">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70"/>
      <c r="Q39" s="1504">
        <f t="shared" si="14"/>
        <v>111</v>
      </c>
      <c r="R39" s="713" t="s">
        <v>17</v>
      </c>
      <c r="S39" s="714">
        <f t="shared" si="10"/>
        <v>100</v>
      </c>
      <c r="T39" s="713" t="s">
        <v>17</v>
      </c>
      <c r="U39" s="714">
        <f t="shared" si="11"/>
        <v>100</v>
      </c>
      <c r="V39" s="713" t="s">
        <v>17</v>
      </c>
      <c r="W39" s="714">
        <f t="shared" si="12"/>
        <v>100</v>
      </c>
      <c r="X39" s="1507"/>
      <c r="Y39" s="3470"/>
      <c r="Z39" s="1508">
        <f t="shared" si="13"/>
        <v>111</v>
      </c>
      <c r="AA39" s="1505">
        <f t="shared" si="3"/>
        <v>1</v>
      </c>
      <c r="AB39" s="1505">
        <f t="shared" si="4"/>
        <v>1</v>
      </c>
      <c r="AC39" s="1505">
        <f t="shared" si="5"/>
        <v>1</v>
      </c>
    </row>
    <row r="40" spans="1:31" s="429" customFormat="1" ht="15.75" thickBot="1">
      <c r="A40" s="426"/>
      <c r="B40" s="1266">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70"/>
      <c r="Q40" s="1504">
        <f t="shared" si="14"/>
        <v>111</v>
      </c>
      <c r="R40" s="716" t="s">
        <v>17</v>
      </c>
      <c r="S40" s="717">
        <f t="shared" si="10"/>
        <v>100</v>
      </c>
      <c r="T40" s="716" t="s">
        <v>17</v>
      </c>
      <c r="U40" s="717">
        <f t="shared" si="11"/>
        <v>100</v>
      </c>
      <c r="V40" s="716" t="s">
        <v>17</v>
      </c>
      <c r="W40" s="717">
        <f t="shared" si="12"/>
        <v>100</v>
      </c>
      <c r="X40" s="718"/>
      <c r="Y40" s="3470"/>
      <c r="Z40" s="719">
        <f t="shared" si="13"/>
        <v>111</v>
      </c>
      <c r="AA40" s="1505">
        <f t="shared" si="3"/>
        <v>1</v>
      </c>
      <c r="AB40" s="1505">
        <f t="shared" si="4"/>
        <v>1</v>
      </c>
      <c r="AC40" s="1505">
        <f t="shared" si="5"/>
        <v>1</v>
      </c>
    </row>
    <row r="41" spans="1:31" ht="15">
      <c r="A41" s="437" t="s">
        <v>2480</v>
      </c>
      <c r="B41" s="2136" t="s">
        <v>2560</v>
      </c>
      <c r="C41" s="637" t="s">
        <v>1</v>
      </c>
      <c r="D41" s="439"/>
      <c r="E41" s="440"/>
      <c r="F41" s="441"/>
      <c r="G41" s="442"/>
      <c r="H41" s="443"/>
      <c r="I41" s="440"/>
      <c r="J41" s="443"/>
      <c r="K41" s="722"/>
      <c r="L41" s="2921"/>
      <c r="M41" s="2913"/>
      <c r="N41" s="2913"/>
      <c r="O41" s="2922"/>
      <c r="P41" s="3463" t="str">
        <f>A41</f>
        <v>成交单价</v>
      </c>
      <c r="Q41" s="3463"/>
      <c r="R41" s="3458">
        <f>E41</f>
        <v>0</v>
      </c>
      <c r="S41" s="3458"/>
      <c r="T41" s="3458">
        <f>G41</f>
        <v>0</v>
      </c>
      <c r="U41" s="3458"/>
      <c r="V41" s="3458">
        <f>I41</f>
        <v>0</v>
      </c>
      <c r="W41" s="3458"/>
      <c r="X41" s="698"/>
      <c r="Y41" s="720"/>
      <c r="Z41" s="698"/>
      <c r="AA41" s="698"/>
      <c r="AB41" s="698"/>
      <c r="AC41" s="698"/>
    </row>
    <row r="42" spans="1:31" ht="15.75" thickBot="1">
      <c r="A42" s="444" t="s">
        <v>2429</v>
      </c>
      <c r="B42" s="638"/>
      <c r="C42" s="447" t="e">
        <f>R43</f>
        <v>#DIV/0!</v>
      </c>
      <c r="D42" s="2506" t="s">
        <v>2820</v>
      </c>
      <c r="E42" s="447" t="e">
        <f>R42</f>
        <v>#DIV/0!</v>
      </c>
      <c r="F42" s="2507"/>
      <c r="G42" s="446" t="e">
        <f>T42</f>
        <v>#DIV/0!</v>
      </c>
      <c r="H42" s="2507"/>
      <c r="I42" s="447" t="e">
        <f>V42</f>
        <v>#DIV/0!</v>
      </c>
      <c r="J42" s="2507"/>
      <c r="K42" s="2509">
        <f>F42+H42+J42</f>
        <v>0</v>
      </c>
      <c r="L42" s="2921"/>
      <c r="M42" s="2913"/>
      <c r="N42" s="2913"/>
      <c r="O42" s="2922"/>
      <c r="P42" s="3463" t="str">
        <f>A42</f>
        <v>比较价值（元/平方米）</v>
      </c>
      <c r="Q42" s="3463"/>
      <c r="R42" s="3491" t="e">
        <f>ROUND(PRODUCT(R41,AA7:AA40),0)</f>
        <v>#DIV/0!</v>
      </c>
      <c r="S42" s="3491"/>
      <c r="T42" s="3491" t="e">
        <f>ROUND(PRODUCT(T41,AB7:AB40),0)</f>
        <v>#DIV/0!</v>
      </c>
      <c r="U42" s="3491"/>
      <c r="V42" s="3491" t="e">
        <f>ROUND(PRODUCT(V41,AC7:AC40),0)</f>
        <v>#DIV/0!</v>
      </c>
      <c r="W42" s="3491"/>
      <c r="X42" s="698"/>
      <c r="Y42" s="698"/>
      <c r="Z42" s="698"/>
      <c r="AA42" s="698"/>
      <c r="AB42" s="698"/>
      <c r="AC42" s="698"/>
    </row>
    <row r="43" spans="1:31" ht="15.75" thickBot="1">
      <c r="A43" s="448" t="s">
        <v>2430</v>
      </c>
      <c r="B43" s="449"/>
      <c r="C43" s="450" t="e">
        <f>R43</f>
        <v>#DIV/0!</v>
      </c>
      <c r="D43" s="450"/>
      <c r="E43" s="450"/>
      <c r="F43" s="450"/>
      <c r="G43" s="450"/>
      <c r="H43" s="450"/>
      <c r="I43" s="450"/>
      <c r="J43" s="450"/>
      <c r="K43" s="723"/>
      <c r="L43" s="2921"/>
      <c r="M43" s="2913"/>
      <c r="N43" s="2913"/>
      <c r="O43" s="2922"/>
      <c r="P43" s="3460" t="str">
        <f>A43</f>
        <v>估价对象XX用房的比较价值（楼面单价，元/平方米）</v>
      </c>
      <c r="Q43" s="3461"/>
      <c r="R43" s="3492" t="e">
        <f>ROUND(IF(D42="简单平均",AVERAGE(R42:W42),R42*F42+T42*H42+V42*J42),0)</f>
        <v>#DIV/0!</v>
      </c>
      <c r="S43" s="3492"/>
      <c r="T43" s="3492"/>
      <c r="U43" s="3492"/>
      <c r="V43" s="3492"/>
      <c r="W43" s="3492"/>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2518</v>
      </c>
      <c r="B50" s="640" t="s">
        <v>2519</v>
      </c>
      <c r="C50" s="2137" t="s">
        <v>2520</v>
      </c>
      <c r="D50" s="2138" t="s">
        <v>2521</v>
      </c>
      <c r="E50" s="641" t="s">
        <v>2522</v>
      </c>
      <c r="F50" s="642" t="s">
        <v>2523</v>
      </c>
      <c r="G50" s="3446" t="s">
        <v>2524</v>
      </c>
      <c r="H50" s="3493"/>
      <c r="I50" s="1508" t="s">
        <v>2561</v>
      </c>
      <c r="J50" s="1508">
        <f>项目基本情况!F35</f>
        <v>0</v>
      </c>
      <c r="K50" s="2140"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2527</v>
      </c>
      <c r="B51" s="644" t="e">
        <f>C43</f>
        <v>#DIV/0!</v>
      </c>
      <c r="C51" s="645">
        <v>1</v>
      </c>
      <c r="D51" s="1074">
        <v>1</v>
      </c>
      <c r="E51" s="645">
        <f>'数据-汇总表'!E8+'数据-汇总表'!E9</f>
        <v>19966.57</v>
      </c>
      <c r="F51" s="646" t="e">
        <f t="shared" ref="F51:F60" si="15">ROUND(B51*E51/10000,0)</f>
        <v>#DIV/0!</v>
      </c>
      <c r="G51" s="3445"/>
      <c r="H51" s="3463"/>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2528</v>
      </c>
      <c r="B52" s="223" t="e">
        <f>ROUND($C$43*C52*D52,0)</f>
        <v>#DIV/0!</v>
      </c>
      <c r="C52" s="175">
        <f t="shared" ref="C52:C60" si="16">IF($C$50="北京市系数",I52,J52)</f>
        <v>0</v>
      </c>
      <c r="D52" s="1075">
        <v>0.25</v>
      </c>
      <c r="E52" s="649"/>
      <c r="F52" s="646" t="e">
        <f t="shared" si="15"/>
        <v>#DIV/0!</v>
      </c>
      <c r="G52" s="3494" t="s">
        <v>2529</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2530</v>
      </c>
      <c r="B53" s="223" t="e">
        <f t="shared" ref="B53:B60" si="17">ROUND($C$43*C53*D53,0)</f>
        <v>#DIV/0!</v>
      </c>
      <c r="C53" s="175">
        <f t="shared" si="16"/>
        <v>0</v>
      </c>
      <c r="D53" s="1075">
        <v>0.25</v>
      </c>
      <c r="E53" s="649"/>
      <c r="F53" s="646" t="e">
        <f t="shared" si="15"/>
        <v>#DIV/0!</v>
      </c>
      <c r="G53" s="3494"/>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2531</v>
      </c>
      <c r="B54" s="223" t="e">
        <f t="shared" si="17"/>
        <v>#DIV/0!</v>
      </c>
      <c r="C54" s="175">
        <f t="shared" si="16"/>
        <v>0</v>
      </c>
      <c r="D54" s="1075">
        <v>0.25</v>
      </c>
      <c r="E54" s="649"/>
      <c r="F54" s="646" t="e">
        <f t="shared" si="15"/>
        <v>#DIV/0!</v>
      </c>
      <c r="G54" s="3494"/>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2532</v>
      </c>
      <c r="B55" s="223" t="e">
        <f t="shared" si="17"/>
        <v>#DIV/0!</v>
      </c>
      <c r="C55" s="175">
        <f t="shared" si="16"/>
        <v>0</v>
      </c>
      <c r="D55" s="1075">
        <v>0.25</v>
      </c>
      <c r="E55" s="649"/>
      <c r="F55" s="646" t="e">
        <f t="shared" si="15"/>
        <v>#DIV/0!</v>
      </c>
      <c r="G55" s="3494"/>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2533</v>
      </c>
      <c r="B56" s="223" t="e">
        <f t="shared" si="17"/>
        <v>#DIV/0!</v>
      </c>
      <c r="C56" s="175">
        <f t="shared" si="16"/>
        <v>0</v>
      </c>
      <c r="D56" s="1075">
        <v>0.25</v>
      </c>
      <c r="E56" s="222">
        <f>'数据-汇总表'!E11</f>
        <v>0</v>
      </c>
      <c r="F56" s="646" t="e">
        <f t="shared" si="15"/>
        <v>#DIV/0!</v>
      </c>
      <c r="G56" s="2141" t="s">
        <v>2534</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2535</v>
      </c>
      <c r="B57" s="223" t="e">
        <f t="shared" si="17"/>
        <v>#DIV/0!</v>
      </c>
      <c r="C57" s="175">
        <f t="shared" si="16"/>
        <v>0</v>
      </c>
      <c r="D57" s="1075">
        <v>0.25</v>
      </c>
      <c r="E57" s="222">
        <f>'数据-汇总表'!E12</f>
        <v>0</v>
      </c>
      <c r="F57" s="646" t="e">
        <f t="shared" si="15"/>
        <v>#DIV/0!</v>
      </c>
      <c r="G57" s="1022" t="s">
        <v>2536</v>
      </c>
      <c r="H57" s="1017">
        <f>IF(G57="商业",项目基本情况!B37,IF(G57="办公",项目基本情况!C37,IF(G57="住宅",项目基本情况!D37,项目基本情况!E37)))</f>
        <v>0</v>
      </c>
      <c r="I57" s="878">
        <f>SUMIF(修正!A45:A56,H57,修正!G45:G56)</f>
        <v>0</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2537</v>
      </c>
      <c r="B58" s="223" t="e">
        <f t="shared" si="17"/>
        <v>#DIV/0!</v>
      </c>
      <c r="C58" s="175">
        <f t="shared" si="16"/>
        <v>0</v>
      </c>
      <c r="D58" s="1075">
        <v>0.25</v>
      </c>
      <c r="E58" s="222">
        <f>'数据-汇总表'!E13</f>
        <v>0</v>
      </c>
      <c r="F58" s="646" t="e">
        <f t="shared" si="15"/>
        <v>#DIV/0!</v>
      </c>
      <c r="G58" s="1022" t="s">
        <v>2538</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2539</v>
      </c>
      <c r="B59" s="223" t="e">
        <f t="shared" si="17"/>
        <v>#DIV/0!</v>
      </c>
      <c r="C59" s="175">
        <f t="shared" si="16"/>
        <v>0</v>
      </c>
      <c r="D59" s="1075">
        <v>0.25</v>
      </c>
      <c r="E59" s="222">
        <f>'数据-汇总表'!E14</f>
        <v>0</v>
      </c>
      <c r="F59" s="646" t="e">
        <f t="shared" si="15"/>
        <v>#DIV/0!</v>
      </c>
      <c r="G59" s="2141" t="s">
        <v>2529</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2540</v>
      </c>
      <c r="B60" s="223" t="e">
        <f t="shared" si="17"/>
        <v>#DIV/0!</v>
      </c>
      <c r="C60" s="175">
        <f t="shared" si="16"/>
        <v>0</v>
      </c>
      <c r="D60" s="1075">
        <v>0.25</v>
      </c>
      <c r="E60" s="222">
        <f>'数据-汇总表'!E15</f>
        <v>0</v>
      </c>
      <c r="F60" s="646" t="e">
        <f t="shared" si="15"/>
        <v>#DIV/0!</v>
      </c>
      <c r="G60" s="2142" t="s">
        <v>2534</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2541</v>
      </c>
      <c r="B61" s="651" t="s">
        <v>28</v>
      </c>
      <c r="C61" s="651" t="s">
        <v>29</v>
      </c>
      <c r="D61" s="651" t="s">
        <v>997</v>
      </c>
      <c r="E61" s="651">
        <f>IF(B41="楼面地价",SUM(E51:E60),'数据-汇总表'!D3)</f>
        <v>13382.272999999997</v>
      </c>
      <c r="F61" s="652" t="e">
        <f>IF(B41="楼面地价",SUM(F51:F60),ROUND(C43*E61/10000,0))</f>
        <v>#DIV/0!</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2" t="s">
        <v>2434</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2542</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8" t="s">
        <v>2562</v>
      </c>
      <c r="B66" s="293" t="str">
        <f>"北京市平均增长率"&amp;TEXT(基准地价修正!P24,"0.00%")</f>
        <v>北京市平均增长率1.20%</v>
      </c>
      <c r="C66" s="559">
        <v>100</v>
      </c>
      <c r="D66" s="551"/>
      <c r="E66" s="551"/>
      <c r="F66" s="551"/>
      <c r="G66" s="551"/>
      <c r="H66" s="551"/>
      <c r="I66" s="551"/>
      <c r="J66" s="551"/>
      <c r="K66" s="551"/>
      <c r="L66" s="551"/>
      <c r="M66" s="1310"/>
      <c r="N66" s="1310"/>
      <c r="O66" s="1312"/>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1" t="s">
        <v>2345</v>
      </c>
      <c r="B67" s="472"/>
      <c r="C67" s="473"/>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3" customFormat="1" ht="15">
      <c r="A68" s="477" t="s">
        <v>2310</v>
      </c>
      <c r="B68" s="466"/>
      <c r="C68" s="478" t="s">
        <v>2412</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2348</v>
      </c>
      <c r="B70" s="484" t="s">
        <v>2314</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2317</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c r="D75" s="505"/>
      <c r="E75" s="505"/>
      <c r="F75" s="505"/>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2319</v>
      </c>
      <c r="B83" s="484" t="s">
        <v>2465</v>
      </c>
      <c r="C83" s="529" t="s">
        <v>2357</v>
      </c>
      <c r="D83" s="529" t="s">
        <v>2358</v>
      </c>
      <c r="E83" s="529" t="s">
        <v>2359</v>
      </c>
      <c r="F83" s="529" t="s">
        <v>2360</v>
      </c>
      <c r="G83" s="529" t="s">
        <v>2361</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2362</v>
      </c>
      <c r="C85" s="534" t="s">
        <v>2357</v>
      </c>
      <c r="D85" s="534" t="s">
        <v>2358</v>
      </c>
      <c r="E85" s="534" t="s">
        <v>2359</v>
      </c>
      <c r="F85" s="534" t="s">
        <v>2360</v>
      </c>
      <c r="G85" s="534" t="s">
        <v>2361</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5"/>
      <c r="B87" s="494" t="s">
        <v>2545</v>
      </c>
      <c r="C87" s="529" t="s">
        <v>2357</v>
      </c>
      <c r="D87" s="529" t="s">
        <v>2358</v>
      </c>
      <c r="E87" s="529" t="s">
        <v>2359</v>
      </c>
      <c r="F87" s="529" t="s">
        <v>2360</v>
      </c>
      <c r="G87" s="529" t="s">
        <v>2361</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5"/>
      <c r="B89" s="494" t="s">
        <v>2546</v>
      </c>
      <c r="C89" s="529" t="s">
        <v>2357</v>
      </c>
      <c r="D89" s="529" t="s">
        <v>2358</v>
      </c>
      <c r="E89" s="529" t="s">
        <v>2359</v>
      </c>
      <c r="F89" s="529" t="s">
        <v>2360</v>
      </c>
      <c r="G89" s="529" t="s">
        <v>2361</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2414</v>
      </c>
      <c r="C91" s="529" t="s">
        <v>2357</v>
      </c>
      <c r="D91" s="529" t="s">
        <v>2358</v>
      </c>
      <c r="E91" s="529" t="s">
        <v>2359</v>
      </c>
      <c r="F91" s="529" t="s">
        <v>2360</v>
      </c>
      <c r="G91" s="529" t="s">
        <v>2361</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2563</v>
      </c>
      <c r="C93" s="615" t="s">
        <v>2435</v>
      </c>
      <c r="D93" s="615" t="s">
        <v>2436</v>
      </c>
      <c r="E93" s="615" t="s">
        <v>2437</v>
      </c>
      <c r="F93" s="615" t="s">
        <v>2438</v>
      </c>
      <c r="G93" s="615" t="s">
        <v>2439</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4"/>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2451</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2510</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3" t="s">
        <v>2323</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c r="D108" s="551"/>
      <c r="E108" s="551"/>
      <c r="F108" s="551"/>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c r="D109" s="547"/>
      <c r="E109" s="547"/>
      <c r="F109" s="547"/>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2552</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2554</v>
      </c>
      <c r="C112" s="510"/>
      <c r="D112" s="510"/>
      <c r="E112" s="510"/>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2555</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2" customWidth="1"/>
    <col min="33" max="36" width="9.375" style="2218" customWidth="1"/>
    <col min="37" max="38" width="9.375" style="2152" customWidth="1"/>
    <col min="39" max="16384" width="12" style="2152"/>
  </cols>
  <sheetData>
    <row r="1" spans="1:36" ht="28.5">
      <c r="A1" s="201" t="s">
        <v>2564</v>
      </c>
      <c r="B1" s="202"/>
      <c r="C1" s="206" t="s">
        <v>2565</v>
      </c>
      <c r="D1" s="347">
        <f>SUM(D29:D30,D33:D39)</f>
        <v>0</v>
      </c>
      <c r="E1" s="2149"/>
      <c r="F1" s="2149"/>
      <c r="G1" s="2149"/>
      <c r="H1" s="2149"/>
      <c r="I1" s="2149"/>
      <c r="J1" s="2149"/>
      <c r="K1" s="1250"/>
      <c r="L1" s="2150" t="s">
        <v>2566</v>
      </c>
      <c r="M1" s="993">
        <f>SUMPRODUCT((区片价!B5:B9=I2)*(区片价!C3:F3=E2)*(区片价!C5:F9))</f>
        <v>0</v>
      </c>
      <c r="N1" s="996">
        <f>SUMPRODUCT((因素修正幅度!B5:B9=I2)*(因素修正幅度!C3:F3=E2)*(因素修正幅度!C5:F9))</f>
        <v>0</v>
      </c>
      <c r="O1" s="2151"/>
      <c r="P1" s="2151"/>
      <c r="Q1" s="1250"/>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5.75">
      <c r="A2" s="206" t="s">
        <v>2572</v>
      </c>
      <c r="B2" s="209" t="e">
        <f>C26</f>
        <v>#DIV/0!</v>
      </c>
      <c r="C2" s="2153" t="s">
        <v>2573</v>
      </c>
      <c r="D2" s="2154" t="s">
        <v>2574</v>
      </c>
      <c r="E2" s="2155"/>
      <c r="F2" s="2154" t="s">
        <v>2575</v>
      </c>
      <c r="G2" s="2156" t="str">
        <f>IF(E2="商业",项目基本情况!B37,IF(E2="办公",项目基本情况!C37,IF(E2="住宅",项目基本情况!D37,项目基本情况!E37)))</f>
        <v>六级</v>
      </c>
      <c r="H2" s="2154" t="s">
        <v>2576</v>
      </c>
      <c r="I2" s="2156" t="str">
        <f>IF(E2="商业",项目基本情况!B38,IF(E2="办公",项目基本情况!C38,IF(E2="住宅",项目基本情况!D38,项目基本情况!E38)))</f>
        <v>Ⅵ-BDA核心</v>
      </c>
      <c r="J2" s="2157"/>
      <c r="K2" s="1250"/>
      <c r="L2" s="2158" t="s">
        <v>2577</v>
      </c>
      <c r="M2" s="994">
        <f>SUMPRODUCT((区片价!B10:B28=I2)*(区片价!C3:F3=E2)*(区片价!C10:F28))</f>
        <v>0</v>
      </c>
      <c r="N2" s="996">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t="e">
        <f>ROUND($C$5*$C$18*$C$19*$C$20*S2*$C$24,0)</f>
        <v>#DIV/0!</v>
      </c>
      <c r="U2" s="1345"/>
      <c r="V2" s="1344" t="e">
        <f>ROUND(T2*U2/10000,0)</f>
        <v>#DIV/0!</v>
      </c>
      <c r="W2" s="1348"/>
      <c r="X2" s="1348"/>
      <c r="Y2" s="1348"/>
      <c r="Z2" s="1348"/>
      <c r="AA2" s="1348"/>
      <c r="AB2" s="1348"/>
      <c r="AC2" s="1349"/>
      <c r="AD2" s="1350"/>
      <c r="AE2" s="1350"/>
      <c r="AF2" s="1350"/>
      <c r="AG2" s="1350"/>
      <c r="AH2" s="1350"/>
      <c r="AI2" s="1350"/>
      <c r="AJ2" s="1351"/>
    </row>
    <row r="3" spans="1:36" ht="15.75">
      <c r="A3" s="208" t="s">
        <v>2578</v>
      </c>
      <c r="B3" s="209" t="e">
        <f>ROUND(B2*10000/D1,0)</f>
        <v>#DIV/0!</v>
      </c>
      <c r="C3" s="2153" t="s">
        <v>2579</v>
      </c>
      <c r="D3" s="2154" t="s">
        <v>2580</v>
      </c>
      <c r="E3" s="2159"/>
      <c r="F3" s="2160" t="s">
        <v>2581</v>
      </c>
      <c r="G3" s="854">
        <f>IF(F3="宗地容积率",'数据-汇总表'!I4,IF(F3="估价对象容积率",'数据-汇总表'!I6,'数据-汇总表'!I7))</f>
        <v>1.47</v>
      </c>
      <c r="H3" s="174" t="s">
        <v>2582</v>
      </c>
      <c r="I3" s="880"/>
      <c r="J3" s="2157" t="s">
        <v>2583</v>
      </c>
      <c r="K3" s="1250"/>
      <c r="L3" s="2158" t="s">
        <v>2584</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t="e">
        <f t="shared" ref="T3:T16" si="0">ROUND($C$5*$C$18*$C$19*$C$20*S3*$C$24,0)</f>
        <v>#DIV/0!</v>
      </c>
      <c r="U3" s="1345"/>
      <c r="V3" s="1344" t="e">
        <f t="shared" ref="V3:V16" si="1">ROUND(T3*U3/10000,0)</f>
        <v>#DIV/0!</v>
      </c>
      <c r="W3" s="1348"/>
      <c r="X3" s="1348"/>
      <c r="Y3" s="1348"/>
      <c r="Z3" s="1348"/>
      <c r="AA3" s="1348"/>
      <c r="AB3" s="1348"/>
      <c r="AC3" s="1349"/>
      <c r="AD3" s="1350"/>
      <c r="AE3" s="1350"/>
      <c r="AF3" s="1350"/>
      <c r="AG3" s="1350"/>
      <c r="AH3" s="1350"/>
      <c r="AI3" s="1350"/>
      <c r="AJ3" s="1351"/>
    </row>
    <row r="4" spans="1:36" ht="15.75">
      <c r="A4" s="3518"/>
      <c r="B4" s="3519"/>
      <c r="C4" s="3519"/>
      <c r="D4" s="3520"/>
      <c r="E4" s="3520"/>
      <c r="F4" s="3520"/>
      <c r="G4" s="3520"/>
      <c r="H4" s="3520"/>
      <c r="I4" s="3520"/>
      <c r="J4" s="3521"/>
      <c r="K4" s="1250"/>
      <c r="L4" s="2158" t="s">
        <v>2585</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t="e">
        <f t="shared" si="0"/>
        <v>#DIV/0!</v>
      </c>
      <c r="U4" s="1345"/>
      <c r="V4" s="1344" t="e">
        <f t="shared" si="1"/>
        <v>#DIV/0!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2586</v>
      </c>
      <c r="C5" s="855" t="e">
        <f>ROUND(IF(E2="商业",C6*C7+C16,(IF(E2="住宅",C6*C12+C16,C6+C16))),0)</f>
        <v>#DIV/0!</v>
      </c>
      <c r="D5" s="1491" t="e">
        <f>ROUND(C6+C16,0)</f>
        <v>#DIV/0!</v>
      </c>
      <c r="E5" s="1491"/>
      <c r="F5" s="2163"/>
      <c r="G5" s="2164"/>
      <c r="H5" s="2164"/>
      <c r="I5" s="2164"/>
      <c r="J5" s="2165"/>
      <c r="K5" s="2166"/>
      <c r="L5" s="2158" t="s">
        <v>2587</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0.86560000000000004</v>
      </c>
      <c r="T5" s="1344" t="e">
        <f t="shared" si="0"/>
        <v>#DIV/0!</v>
      </c>
      <c r="U5" s="1345"/>
      <c r="V5" s="1344" t="e">
        <f t="shared" si="1"/>
        <v>#DIV/0!</v>
      </c>
      <c r="W5" s="1348"/>
      <c r="X5" s="1348"/>
      <c r="Y5" s="1348"/>
      <c r="Z5" s="1348"/>
      <c r="AA5" s="1348"/>
      <c r="AB5" s="1348"/>
      <c r="AC5" s="2167"/>
      <c r="AD5" s="2168"/>
      <c r="AE5" s="2168"/>
      <c r="AF5" s="2168"/>
      <c r="AG5" s="2168"/>
      <c r="AH5" s="2168"/>
      <c r="AI5" s="2168"/>
      <c r="AJ5" s="2169"/>
    </row>
    <row r="6" spans="1:36" ht="15.75" thickBot="1">
      <c r="A6" s="2171" t="s">
        <v>2588</v>
      </c>
      <c r="B6" s="2172" t="s">
        <v>2589</v>
      </c>
      <c r="C6" s="856">
        <f>SUMIF(L1:L12,G2,M1:M12)</f>
        <v>0</v>
      </c>
      <c r="D6" s="2173" t="s">
        <v>2590</v>
      </c>
      <c r="E6" s="2174"/>
      <c r="F6" s="2174"/>
      <c r="G6" s="2175"/>
      <c r="H6" s="2175"/>
      <c r="I6" s="2175"/>
      <c r="J6" s="2176"/>
      <c r="K6" s="1536"/>
      <c r="L6" s="2158" t="s">
        <v>2591</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0.73709999999999998</v>
      </c>
      <c r="T6" s="1344" t="e">
        <f t="shared" si="0"/>
        <v>#DIV/0!</v>
      </c>
      <c r="U6" s="1345"/>
      <c r="V6" s="1344" t="e">
        <f t="shared" si="1"/>
        <v>#DIV/0!</v>
      </c>
      <c r="W6" s="1348"/>
      <c r="X6" s="1348"/>
      <c r="Y6" s="1348"/>
      <c r="Z6" s="1348"/>
      <c r="AA6" s="1348"/>
      <c r="AB6" s="1348"/>
      <c r="AC6" s="2167"/>
      <c r="AD6" s="2168"/>
      <c r="AE6" s="2168"/>
      <c r="AF6" s="2168"/>
      <c r="AG6" s="2168"/>
      <c r="AH6" s="2168"/>
      <c r="AI6" s="2168"/>
      <c r="AJ6" s="2169"/>
    </row>
    <row r="7" spans="1:36" ht="24">
      <c r="A7" s="3499" t="str">
        <f>IF(E2="商业",IF(C8="不临58条商业街","",2),"")</f>
        <v/>
      </c>
      <c r="B7" s="2177" t="s">
        <v>2592</v>
      </c>
      <c r="C7" s="857" t="e">
        <f>IF(C8="不临58条商业街",1,ROUND(1+(1.6*E8+1.2*E9+0.8*E10+0.4*E11)*C9,4))</f>
        <v>#DIV/0!</v>
      </c>
      <c r="D7" s="2178" t="s">
        <v>2593</v>
      </c>
      <c r="E7" s="881"/>
      <c r="F7" s="2179"/>
      <c r="G7" s="2180"/>
      <c r="H7" s="2180"/>
      <c r="I7" s="2180"/>
      <c r="J7" s="2181"/>
      <c r="K7" s="1536"/>
      <c r="L7" s="2158" t="s">
        <v>2594</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0.6482</v>
      </c>
      <c r="T7" s="1344" t="e">
        <f t="shared" si="0"/>
        <v>#DIV/0!</v>
      </c>
      <c r="U7" s="1345"/>
      <c r="V7" s="1344" t="e">
        <f t="shared" si="1"/>
        <v>#DIV/0!</v>
      </c>
      <c r="W7" s="1510" t="s">
        <v>2595</v>
      </c>
      <c r="X7" s="1346" t="str">
        <f>G2</f>
        <v>六级</v>
      </c>
      <c r="Y7" s="1346" t="s">
        <v>2596</v>
      </c>
      <c r="Z7" s="1347">
        <f>G3</f>
        <v>1.47</v>
      </c>
      <c r="AA7" s="1348"/>
      <c r="AB7" s="1348"/>
      <c r="AC7" s="1349"/>
      <c r="AD7" s="1350"/>
      <c r="AE7" s="1350"/>
      <c r="AF7" s="1350"/>
      <c r="AG7" s="1350"/>
      <c r="AH7" s="1350"/>
      <c r="AI7" s="1350"/>
      <c r="AJ7" s="1351"/>
    </row>
    <row r="8" spans="1:36" ht="15">
      <c r="A8" s="3522"/>
      <c r="B8" s="174" t="s">
        <v>2597</v>
      </c>
      <c r="C8" s="2182"/>
      <c r="D8" s="858" t="s">
        <v>139</v>
      </c>
      <c r="E8" s="859" t="e">
        <f>ROUND(C11/E7,4)</f>
        <v>#DIV/0!</v>
      </c>
      <c r="F8" s="2183" t="s">
        <v>2598</v>
      </c>
      <c r="G8" s="2184"/>
      <c r="H8" s="2184"/>
      <c r="I8" s="2184"/>
      <c r="J8" s="2185"/>
      <c r="K8" s="1250"/>
      <c r="L8" s="2158" t="s">
        <v>2599</v>
      </c>
      <c r="M8" s="994">
        <f>SUMPRODUCT((区片价!B206:B244=I2)*(区片价!C3:F3=E2)*(区片价!C206:F244))</f>
        <v>0</v>
      </c>
      <c r="N8" s="996">
        <f>SUMPRODUCT((因素修正幅度!B206:B244=I2)*(因素修正幅度!C3:F3=E2)*(因素修正幅度!C206:F244))</f>
        <v>0</v>
      </c>
      <c r="O8" s="1250"/>
      <c r="P8" s="1250"/>
      <c r="Q8" s="1250"/>
      <c r="R8" s="1344">
        <v>7</v>
      </c>
      <c r="S8" s="1345"/>
      <c r="T8" s="1344" t="e">
        <f t="shared" si="0"/>
        <v>#DIV/0!</v>
      </c>
      <c r="U8" s="1345"/>
      <c r="V8" s="1344" t="e">
        <f t="shared" si="1"/>
        <v>#DIV/0!</v>
      </c>
      <c r="W8" s="3515" t="s">
        <v>2600</v>
      </c>
      <c r="X8" s="3516"/>
      <c r="Y8" s="1352" t="s">
        <v>2601</v>
      </c>
      <c r="Z8" s="1352" t="s">
        <v>2602</v>
      </c>
      <c r="AA8" s="1352" t="s">
        <v>2603</v>
      </c>
      <c r="AB8" s="1352" t="s">
        <v>2604</v>
      </c>
      <c r="AC8" s="1352" t="s">
        <v>2605</v>
      </c>
      <c r="AD8" s="1352" t="s">
        <v>2606</v>
      </c>
      <c r="AE8" s="1352" t="s">
        <v>2607</v>
      </c>
      <c r="AF8" s="1352" t="s">
        <v>2608</v>
      </c>
      <c r="AG8" s="1352" t="s">
        <v>2609</v>
      </c>
      <c r="AH8" s="1352" t="s">
        <v>2610</v>
      </c>
      <c r="AI8" s="1352" t="s">
        <v>2611</v>
      </c>
      <c r="AJ8" s="1352" t="s">
        <v>2612</v>
      </c>
    </row>
    <row r="9" spans="1:36" ht="15">
      <c r="A9" s="3522"/>
      <c r="B9" s="174" t="s">
        <v>2613</v>
      </c>
      <c r="C9" s="860">
        <f>SUMIF(修正!C59:C119,C8,修正!E59:E119)</f>
        <v>0</v>
      </c>
      <c r="D9" s="175" t="s">
        <v>140</v>
      </c>
      <c r="E9" s="175" t="e">
        <f>ROUND(C11/E7,4)</f>
        <v>#DIV/0!</v>
      </c>
      <c r="F9" s="2183" t="s">
        <v>2614</v>
      </c>
      <c r="G9" s="2184"/>
      <c r="H9" s="2184"/>
      <c r="I9" s="2184"/>
      <c r="J9" s="2185"/>
      <c r="K9" s="1250"/>
      <c r="L9" s="2158" t="s">
        <v>2615</v>
      </c>
      <c r="M9" s="994">
        <f>SUMPRODUCT((区片价!B245:B289=I2)*(区片价!C3:F3=E2)*(区片价!C245:F289))</f>
        <v>0</v>
      </c>
      <c r="N9" s="996">
        <f>SUMPRODUCT((因素修正幅度!B245:B289=I2)*(因素修正幅度!C3:F3=E2)*(因素修正幅度!C245:F289))</f>
        <v>0</v>
      </c>
      <c r="O9" s="1250"/>
      <c r="P9" s="1250"/>
      <c r="Q9" s="1250"/>
      <c r="R9" s="1344">
        <v>8</v>
      </c>
      <c r="S9" s="1345"/>
      <c r="T9" s="1344" t="e">
        <f t="shared" si="0"/>
        <v>#DIV/0!</v>
      </c>
      <c r="U9" s="1345"/>
      <c r="V9" s="1344" t="e">
        <f t="shared" si="1"/>
        <v>#DIV/0!</v>
      </c>
      <c r="W9" s="3517" t="s">
        <v>2616</v>
      </c>
      <c r="X9" s="1353" t="s">
        <v>2617</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522"/>
      <c r="B10" s="174" t="s">
        <v>2618</v>
      </c>
      <c r="C10" s="175">
        <f>SUMIF(修正!C59:C119,C8,修正!F59:F119)</f>
        <v>0</v>
      </c>
      <c r="D10" s="175" t="s">
        <v>141</v>
      </c>
      <c r="E10" s="175" t="e">
        <f>ROUND(C11/E7,4)</f>
        <v>#DIV/0!</v>
      </c>
      <c r="F10" s="2183" t="s">
        <v>2619</v>
      </c>
      <c r="G10" s="2184"/>
      <c r="H10" s="2184"/>
      <c r="I10" s="2184"/>
      <c r="J10" s="2185"/>
      <c r="K10" s="1250"/>
      <c r="L10" s="2158" t="s">
        <v>2620</v>
      </c>
      <c r="M10" s="994">
        <f>SUMPRODUCT((区片价!B290:B316=I2)*(区片价!C3:F3=E2)*(区片价!C290:F316))</f>
        <v>0</v>
      </c>
      <c r="N10" s="996">
        <f>SUMPRODUCT((因素修正幅度!B290:B316=I2)*(因素修正幅度!C3:F3=E2)*(因素修正幅度!C290:F316))</f>
        <v>0</v>
      </c>
      <c r="O10" s="1250"/>
      <c r="P10" s="1250"/>
      <c r="Q10" s="1250"/>
      <c r="R10" s="1344">
        <v>9</v>
      </c>
      <c r="S10" s="1345"/>
      <c r="T10" s="1344" t="e">
        <f t="shared" si="0"/>
        <v>#DIV/0!</v>
      </c>
      <c r="U10" s="1345"/>
      <c r="V10" s="1344" t="e">
        <f t="shared" si="1"/>
        <v>#DIV/0!</v>
      </c>
      <c r="W10" s="351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522"/>
      <c r="B11" s="2186" t="s">
        <v>2621</v>
      </c>
      <c r="C11" s="861">
        <f>C10/4</f>
        <v>0</v>
      </c>
      <c r="D11" s="861" t="s">
        <v>142</v>
      </c>
      <c r="E11" s="861" t="e">
        <f>ROUND(C11/E7,4)</f>
        <v>#DIV/0!</v>
      </c>
      <c r="F11" s="2187" t="s">
        <v>2622</v>
      </c>
      <c r="G11" s="2188"/>
      <c r="H11" s="2188"/>
      <c r="I11" s="2188"/>
      <c r="J11" s="2189"/>
      <c r="K11" s="1250"/>
      <c r="L11" s="2158" t="s">
        <v>2623</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t="e">
        <f t="shared" si="0"/>
        <v>#DIV/0!</v>
      </c>
      <c r="U11" s="1345"/>
      <c r="V11" s="1344" t="e">
        <f t="shared" si="1"/>
        <v>#DIV/0!</v>
      </c>
      <c r="W11" s="3517" t="s">
        <v>2624</v>
      </c>
      <c r="X11" s="1356" t="s">
        <v>2625</v>
      </c>
      <c r="Y11" s="1357">
        <f>$G$3</f>
        <v>1.47</v>
      </c>
      <c r="Z11" s="1357">
        <f t="shared" ref="Z11:AJ11" si="3">$G$3</f>
        <v>1.47</v>
      </c>
      <c r="AA11" s="1357">
        <f t="shared" si="3"/>
        <v>1.47</v>
      </c>
      <c r="AB11" s="1357">
        <f t="shared" si="3"/>
        <v>1.47</v>
      </c>
      <c r="AC11" s="1357">
        <f t="shared" si="3"/>
        <v>1.47</v>
      </c>
      <c r="AD11" s="1357">
        <f t="shared" si="3"/>
        <v>1.47</v>
      </c>
      <c r="AE11" s="1357">
        <f t="shared" si="3"/>
        <v>1.47</v>
      </c>
      <c r="AF11" s="1357">
        <f t="shared" si="3"/>
        <v>1.47</v>
      </c>
      <c r="AG11" s="1357">
        <f t="shared" si="3"/>
        <v>1.47</v>
      </c>
      <c r="AH11" s="1357">
        <f t="shared" si="3"/>
        <v>1.47</v>
      </c>
      <c r="AI11" s="1357">
        <f t="shared" si="3"/>
        <v>1.47</v>
      </c>
      <c r="AJ11" s="1357">
        <f t="shared" si="3"/>
        <v>1.47</v>
      </c>
    </row>
    <row r="12" spans="1:36" ht="25.5" thickBot="1">
      <c r="A12" s="3499" t="s">
        <v>2626</v>
      </c>
      <c r="B12" s="2190" t="s">
        <v>2627</v>
      </c>
      <c r="C12" s="857">
        <f>ROUND(C15*D15*E15*F15*G15*H15*I15*J15,4)</f>
        <v>1</v>
      </c>
      <c r="D12" s="2191" t="s">
        <v>2628</v>
      </c>
      <c r="E12" s="2192"/>
      <c r="F12" s="2192"/>
      <c r="G12" s="2193"/>
      <c r="H12" s="2193"/>
      <c r="I12" s="2193"/>
      <c r="J12" s="2194"/>
      <c r="K12" s="1250"/>
      <c r="L12" s="2195" t="s">
        <v>2629</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t="e">
        <f t="shared" si="0"/>
        <v>#DIV/0!</v>
      </c>
      <c r="U12" s="1345"/>
      <c r="V12" s="1344" t="e">
        <f t="shared" si="1"/>
        <v>#DIV/0!</v>
      </c>
      <c r="W12" s="3517"/>
      <c r="X12" s="1358" t="s">
        <v>2630</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523"/>
      <c r="B13" s="2196" t="s">
        <v>2631</v>
      </c>
      <c r="C13" s="2197" t="s">
        <v>2632</v>
      </c>
      <c r="D13" s="1502" t="s">
        <v>2633</v>
      </c>
      <c r="E13" s="1502" t="s">
        <v>2634</v>
      </c>
      <c r="F13" s="30" t="s">
        <v>2635</v>
      </c>
      <c r="G13" s="2198" t="s">
        <v>2636</v>
      </c>
      <c r="H13" s="2198" t="s">
        <v>2636</v>
      </c>
      <c r="I13" s="2198" t="s">
        <v>2636</v>
      </c>
      <c r="J13" s="2199" t="s">
        <v>2636</v>
      </c>
      <c r="K13" s="1250"/>
      <c r="L13" s="1250"/>
      <c r="M13" s="1250"/>
      <c r="N13" s="1250"/>
      <c r="O13" s="1250"/>
      <c r="P13" s="1250"/>
      <c r="Q13" s="1250"/>
      <c r="R13" s="1344">
        <v>12</v>
      </c>
      <c r="S13" s="1345"/>
      <c r="T13" s="1344" t="e">
        <f t="shared" si="0"/>
        <v>#DIV/0!</v>
      </c>
      <c r="U13" s="1345"/>
      <c r="V13" s="1344" t="e">
        <f t="shared" si="1"/>
        <v>#DIV/0!</v>
      </c>
      <c r="W13" s="3517"/>
      <c r="X13" s="1358"/>
      <c r="Y13" s="1355">
        <f>(-0.163*(Y12^2)-0.59*Y12+7617)*(10^(-4))/Y11</f>
        <v>0.51816326530612244</v>
      </c>
      <c r="Z13" s="1355">
        <f t="shared" ref="Z13:AJ13" si="5">(-0.163*(Z12^2)-0.59*Z12+7617)*(10^(-4))/Z11</f>
        <v>0.51816326530612244</v>
      </c>
      <c r="AA13" s="1355">
        <f t="shared" si="5"/>
        <v>0.51816326530612244</v>
      </c>
      <c r="AB13" s="1355">
        <f t="shared" si="5"/>
        <v>0.51816326530612244</v>
      </c>
      <c r="AC13" s="1355">
        <f t="shared" si="5"/>
        <v>0.51816326530612244</v>
      </c>
      <c r="AD13" s="1355">
        <f t="shared" si="5"/>
        <v>0.51816326530612244</v>
      </c>
      <c r="AE13" s="1355">
        <f t="shared" si="5"/>
        <v>0.51816326530612244</v>
      </c>
      <c r="AF13" s="1355">
        <f t="shared" si="5"/>
        <v>0.51816326530612244</v>
      </c>
      <c r="AG13" s="1355">
        <f t="shared" si="5"/>
        <v>0.51816326530612244</v>
      </c>
      <c r="AH13" s="1355">
        <f t="shared" si="5"/>
        <v>0.51816326530612244</v>
      </c>
      <c r="AI13" s="1355">
        <f t="shared" si="5"/>
        <v>0.51816326530612244</v>
      </c>
      <c r="AJ13" s="1355">
        <f t="shared" si="5"/>
        <v>0.51816326530612244</v>
      </c>
    </row>
    <row r="14" spans="1:36" ht="15">
      <c r="A14" s="3523"/>
      <c r="B14" s="2200"/>
      <c r="C14" s="2201"/>
      <c r="D14" s="2202"/>
      <c r="E14" s="2202"/>
      <c r="F14" s="2203"/>
      <c r="G14" s="2204" t="s">
        <v>2637</v>
      </c>
      <c r="H14" s="2205"/>
      <c r="I14" s="2206"/>
      <c r="J14" s="2207"/>
      <c r="K14" s="1250"/>
      <c r="L14" s="1250"/>
      <c r="M14" s="1250"/>
      <c r="N14" s="1250"/>
      <c r="O14" s="1250"/>
      <c r="P14" s="1250"/>
      <c r="Q14" s="1250"/>
      <c r="R14" s="1344">
        <v>13</v>
      </c>
      <c r="S14" s="1345"/>
      <c r="T14" s="1344" t="e">
        <f t="shared" si="0"/>
        <v>#DIV/0!</v>
      </c>
      <c r="U14" s="1345"/>
      <c r="V14" s="1344" t="e">
        <f t="shared" si="1"/>
        <v>#DIV/0!</v>
      </c>
      <c r="W14" s="1348"/>
      <c r="X14" s="1348"/>
      <c r="Y14" s="1348"/>
      <c r="Z14" s="1348"/>
      <c r="AA14" s="1348"/>
      <c r="AB14" s="1348"/>
      <c r="AC14" s="1349"/>
      <c r="AD14" s="2988"/>
      <c r="AE14" s="2988"/>
      <c r="AF14" s="2988"/>
      <c r="AG14" s="2988"/>
      <c r="AH14" s="2988"/>
      <c r="AI14" s="2988"/>
      <c r="AJ14" s="2989"/>
    </row>
    <row r="15" spans="1:36" ht="15.75" thickBot="1">
      <c r="A15" s="3524"/>
      <c r="B15" s="2208" t="s">
        <v>2638</v>
      </c>
      <c r="C15" s="192">
        <f>IF(C14="有",1.1,1)</f>
        <v>1</v>
      </c>
      <c r="D15" s="192">
        <f>IF(D14="有",1.1,1)</f>
        <v>1</v>
      </c>
      <c r="E15" s="192">
        <f>IF(E14="有",1.1,1)</f>
        <v>1</v>
      </c>
      <c r="F15" s="192">
        <f>IF(F14="500米范围内",1.2,IF(F14="500-1000米",1.1,1))</f>
        <v>1</v>
      </c>
      <c r="G15" s="882">
        <v>1</v>
      </c>
      <c r="H15" s="882">
        <v>1</v>
      </c>
      <c r="I15" s="882">
        <v>1</v>
      </c>
      <c r="J15" s="883">
        <v>1</v>
      </c>
      <c r="K15" s="1250"/>
      <c r="L15" s="2151"/>
      <c r="M15" s="2151"/>
      <c r="N15" s="2151"/>
      <c r="O15" s="2151"/>
      <c r="P15" s="2151"/>
      <c r="Q15" s="1250"/>
      <c r="R15" s="1344">
        <v>14</v>
      </c>
      <c r="S15" s="1345"/>
      <c r="T15" s="1344" t="e">
        <f t="shared" si="0"/>
        <v>#DIV/0!</v>
      </c>
      <c r="U15" s="1345"/>
      <c r="V15" s="1344" t="e">
        <f t="shared" si="1"/>
        <v>#DIV/0!</v>
      </c>
      <c r="W15" s="1348"/>
      <c r="X15" s="1348"/>
      <c r="Y15" s="1348"/>
      <c r="Z15" s="1348"/>
      <c r="AA15" s="1348"/>
      <c r="AB15" s="1348"/>
      <c r="AC15" s="1349"/>
      <c r="AD15" s="2988"/>
      <c r="AE15" s="2988"/>
      <c r="AF15" s="2988"/>
      <c r="AG15" s="2988"/>
      <c r="AH15" s="2988"/>
      <c r="AI15" s="2988"/>
      <c r="AJ15" s="2989"/>
    </row>
    <row r="16" spans="1:36" ht="24.6" customHeight="1">
      <c r="A16" s="3499" t="s">
        <v>2643</v>
      </c>
      <c r="B16" s="2177" t="s">
        <v>2644</v>
      </c>
      <c r="C16" s="2339" t="e">
        <f>ROUND(IF(F17="与级别开发程度一致",0,(G17-E17)/C17),0)</f>
        <v>#DIV/0!</v>
      </c>
      <c r="D16" s="3512" t="s">
        <v>2648</v>
      </c>
      <c r="E16" s="3513"/>
      <c r="F16" s="3512" t="s">
        <v>2645</v>
      </c>
      <c r="G16" s="3513"/>
      <c r="H16" s="2209"/>
      <c r="I16" s="2209"/>
      <c r="J16" s="2343"/>
      <c r="K16" s="2209"/>
      <c r="L16" s="2209"/>
      <c r="M16" s="2209"/>
      <c r="N16" s="2209"/>
      <c r="O16" s="2210"/>
      <c r="P16" s="2151"/>
      <c r="Q16" s="1250"/>
      <c r="R16" s="1344">
        <v>15</v>
      </c>
      <c r="S16" s="1345"/>
      <c r="T16" s="1344" t="e">
        <f t="shared" si="0"/>
        <v>#DIV/0!</v>
      </c>
      <c r="U16" s="1345"/>
      <c r="V16" s="1344" t="e">
        <f t="shared" si="1"/>
        <v>#DIV/0!</v>
      </c>
      <c r="W16" s="1348"/>
      <c r="X16" s="1348"/>
      <c r="Y16" s="1348"/>
      <c r="Z16" s="1348"/>
      <c r="AA16" s="1348"/>
      <c r="AB16" s="1348"/>
      <c r="AC16" s="1349"/>
      <c r="AD16" s="2988"/>
      <c r="AE16" s="2988"/>
      <c r="AF16" s="2988"/>
      <c r="AG16" s="2988"/>
      <c r="AH16" s="2988"/>
      <c r="AI16" s="2988"/>
      <c r="AJ16" s="2989"/>
    </row>
    <row r="17" spans="1:37" ht="13.5" thickBot="1">
      <c r="A17" s="3500"/>
      <c r="B17" s="2350" t="s">
        <v>2647</v>
      </c>
      <c r="C17" s="2351">
        <f>SUMPRODUCT((修正!A2:A5=E2)*(修正!B1:M1=G2)*(修正!B2:M5))</f>
        <v>0</v>
      </c>
      <c r="D17" s="192" t="str">
        <f>IF(OR(G2="八级",G2="九级",G2="十级",G2="十一级",G2="十二级"),"五通一平","七通一平")</f>
        <v>七通一平</v>
      </c>
      <c r="E17" s="2340">
        <f>SUMPRODUCT((修正!B1:M1=G2)*(修正!B15:M15))</f>
        <v>300</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50"/>
      <c r="R17" s="1250"/>
      <c r="S17" s="1250"/>
      <c r="T17" s="1250"/>
      <c r="U17" s="1250"/>
      <c r="V17" s="1250"/>
      <c r="W17" s="1250"/>
      <c r="X17" s="1250"/>
      <c r="Y17" s="1250"/>
      <c r="Z17" s="1251"/>
      <c r="AA17" s="1251"/>
      <c r="AB17" s="1251"/>
      <c r="AC17" s="1251"/>
      <c r="AD17" s="1251"/>
      <c r="AE17" s="1250"/>
      <c r="AF17" s="1250"/>
      <c r="AG17" s="2151"/>
      <c r="AH17" s="2151"/>
      <c r="AI17" s="2151"/>
      <c r="AJ17" s="2151"/>
    </row>
    <row r="18" spans="1:37" s="2170" customFormat="1" ht="15.75" thickBot="1">
      <c r="A18" s="2344" t="s">
        <v>808</v>
      </c>
      <c r="B18" s="2345" t="s">
        <v>2650</v>
      </c>
      <c r="C18" s="2346">
        <f>SUMIF(修正!C18:C39,E3,修正!E18:E39)</f>
        <v>0</v>
      </c>
      <c r="D18" s="2347"/>
      <c r="E18" s="2348"/>
      <c r="F18" s="2348"/>
      <c r="G18" s="2348"/>
      <c r="H18" s="2348"/>
      <c r="I18" s="2348"/>
      <c r="J18" s="2349"/>
      <c r="K18" s="1257"/>
      <c r="L18" s="2987"/>
      <c r="M18" s="2987"/>
      <c r="N18" s="2987"/>
      <c r="O18" s="1255"/>
      <c r="P18" s="1255"/>
      <c r="Q18" s="1256"/>
      <c r="R18" s="1256"/>
      <c r="S18" s="1256"/>
      <c r="T18" s="1251"/>
      <c r="U18" s="1251"/>
      <c r="V18" s="1251"/>
      <c r="W18" s="1250"/>
      <c r="X18" s="1250"/>
      <c r="Y18" s="1250"/>
      <c r="Z18" s="1257"/>
      <c r="AA18" s="1257"/>
      <c r="AB18" s="1257"/>
      <c r="AC18" s="1257"/>
      <c r="AD18" s="1257"/>
      <c r="AE18" s="1251"/>
      <c r="AF18" s="1251"/>
      <c r="AG18" s="2308"/>
      <c r="AH18" s="2308"/>
      <c r="AI18" s="2308"/>
      <c r="AJ18" s="2987"/>
    </row>
    <row r="19" spans="1:37" s="2170" customFormat="1" ht="27.75" thickBot="1">
      <c r="A19" s="2214" t="s">
        <v>809</v>
      </c>
      <c r="B19" s="2215" t="s">
        <v>2651</v>
      </c>
      <c r="C19" s="862" t="e">
        <f>ROUND(IF(H19="按公示增长率计算",SUMPRODUCT((地价!A3:A37=YEAR(G19)&amp;"-"&amp;ROUNDUP(MONTH(G19)/3,0))*(地价!X2:AB2=E2)*(地价!X3:AB37)),IF(H19="地价指数",M20/M19,(1+I19)^O19)),4)</f>
        <v>#VALUE!</v>
      </c>
      <c r="D19" s="2219" t="s">
        <v>2652</v>
      </c>
      <c r="E19" s="863">
        <v>41640</v>
      </c>
      <c r="F19" s="2219" t="s">
        <v>2653</v>
      </c>
      <c r="G19" s="864">
        <f>'数据-取费表'!B2</f>
        <v>44642</v>
      </c>
      <c r="H19" s="2220"/>
      <c r="I19" s="865" t="str">
        <f>IF(H19="季度增幅（自定义）",SUMIF(N21:N24,E2,O21:O24),"")</f>
        <v/>
      </c>
      <c r="J19" s="2217"/>
      <c r="K19" s="1257"/>
      <c r="L19" s="2221" t="s">
        <v>2654</v>
      </c>
      <c r="M19" s="1466">
        <f>ROUND(SUMIF(地价!B2:F2,E2,地价!B37:F37),0)</f>
        <v>0</v>
      </c>
      <c r="N19" s="2222" t="s">
        <v>2655</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90"/>
      <c r="AH19" s="2308"/>
      <c r="AI19" s="2991"/>
      <c r="AJ19" s="2991"/>
      <c r="AK19" s="2223"/>
    </row>
    <row r="20" spans="1:37" s="2170" customFormat="1" ht="27.75" thickBot="1">
      <c r="A20" s="2224" t="s">
        <v>810</v>
      </c>
      <c r="B20" s="2225" t="s">
        <v>2656</v>
      </c>
      <c r="C20" s="867" t="e">
        <f>ROUND(POWER(1+G20,J20-I20)*(POWER(1+G20,I20)-1)/(POWER(1+G20,J20)-1),4)</f>
        <v>#DIV/0!</v>
      </c>
      <c r="D20" s="2226" t="s">
        <v>2657</v>
      </c>
      <c r="E20" s="1473">
        <f>存贷款利率!E20/100</f>
        <v>4.3499999999999997E-2</v>
      </c>
      <c r="F20" s="2226" t="s">
        <v>2649</v>
      </c>
      <c r="G20" s="872">
        <f>SUMIF(M26:P26,E2,M28:P28)</f>
        <v>0</v>
      </c>
      <c r="H20" s="2226" t="s">
        <v>2658</v>
      </c>
      <c r="I20" s="873" t="e">
        <f>SUMIF('数据-取费表'!C6:C15,E2,'数据-取费表'!F6:F15)/COUNTIF('数据-取费表'!C6:C15,E2)</f>
        <v>#DIV/0!</v>
      </c>
      <c r="J20" s="874">
        <f>IF(E2="住宅",70,IF(E2="商业",40,50))</f>
        <v>50</v>
      </c>
      <c r="K20" s="1257"/>
      <c r="L20" s="2227" t="s">
        <v>2659</v>
      </c>
      <c r="M20" s="1467">
        <f>ROUND(SUMPRODUCT((地价!A4:A37=YEAR(G19)&amp;"-"&amp;ROUNDUP(MONTH(G19)/3,0))*(地价!B2:F2=E2)*(地价!B4:F37)),0)</f>
        <v>0</v>
      </c>
      <c r="N20" s="2228" t="s">
        <v>2660</v>
      </c>
      <c r="O20" s="2229" t="s">
        <v>2661</v>
      </c>
      <c r="P20" s="2230" t="s">
        <v>2662</v>
      </c>
      <c r="Q20" s="2987"/>
      <c r="R20" s="1256"/>
      <c r="S20" s="1256"/>
      <c r="T20" s="1251"/>
      <c r="U20" s="1251"/>
      <c r="V20" s="1251"/>
      <c r="W20" s="1250"/>
      <c r="X20" s="1250"/>
      <c r="Y20" s="1250"/>
      <c r="Z20" s="1257"/>
      <c r="AA20" s="1257"/>
      <c r="AB20" s="1257"/>
      <c r="AC20" s="1257"/>
      <c r="AD20" s="1257"/>
      <c r="AE20" s="1257"/>
      <c r="AF20" s="1257"/>
      <c r="AG20" s="2987"/>
      <c r="AH20" s="2987"/>
      <c r="AI20" s="2987"/>
      <c r="AJ20" s="2987"/>
    </row>
    <row r="21" spans="1:37" s="2170" customFormat="1" ht="15">
      <c r="A21" s="2231" t="s">
        <v>811</v>
      </c>
      <c r="B21" s="2232" t="s">
        <v>2663</v>
      </c>
      <c r="C21" s="875">
        <f>IF(B21="容积率修正",IF(G3&lt;=10,D22,J22),C23)</f>
        <v>0</v>
      </c>
      <c r="D21" s="2233"/>
      <c r="E21" s="2233"/>
      <c r="F21" s="2233"/>
      <c r="G21" s="2233"/>
      <c r="H21" s="2233"/>
      <c r="I21" s="2233"/>
      <c r="J21" s="2234"/>
      <c r="K21" s="1257"/>
      <c r="L21" s="2987"/>
      <c r="M21" s="2987"/>
      <c r="N21" s="2235" t="s">
        <v>2664</v>
      </c>
      <c r="O21" s="1305"/>
      <c r="P21" s="1306">
        <f>SUMPRODUCT((地价!A3:A37=YEAR(G19)&amp;"-"&amp;ROUNDUP(MONTH(G19)/3,0))*(地价!AD2:AH2=N21)*(地价!AD3:AH37))</f>
        <v>1.03E-2</v>
      </c>
      <c r="Q21" s="2987"/>
      <c r="R21" s="1256"/>
      <c r="S21" s="1256"/>
      <c r="T21" s="1251"/>
      <c r="U21" s="1251"/>
      <c r="V21" s="1251"/>
      <c r="W21" s="1250"/>
      <c r="X21" s="1250"/>
      <c r="Y21" s="1250"/>
      <c r="Z21" s="1257"/>
      <c r="AA21" s="1257"/>
      <c r="AB21" s="1257"/>
      <c r="AC21" s="1257"/>
      <c r="AD21" s="1257"/>
      <c r="AE21" s="1257"/>
      <c r="AF21" s="1257"/>
      <c r="AG21" s="2987"/>
      <c r="AH21" s="2987"/>
      <c r="AI21" s="2987"/>
      <c r="AJ21" s="2987"/>
    </row>
    <row r="22" spans="1:37" s="2170" customFormat="1" ht="14.25">
      <c r="A22" s="2109" t="s">
        <v>2665</v>
      </c>
      <c r="B22" s="2236" t="s">
        <v>2666</v>
      </c>
      <c r="C22" s="1504" t="s">
        <v>2667</v>
      </c>
      <c r="D22" s="1504">
        <f>IF(E22=G22,F22,IF(G3&lt;=10,ROUND(F22+(H22-F22)*(G3-E22)/(G22-E22),4),"——"))</f>
        <v>0.63390000000000002</v>
      </c>
      <c r="E22" s="854">
        <f>ROUNDDOWN(G3,1)</f>
        <v>1.4</v>
      </c>
      <c r="F22" s="15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4">
        <f>ROUNDUP(G3,1)</f>
        <v>1.5</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504" t="s">
        <v>155</v>
      </c>
      <c r="J22" s="876" t="str">
        <f>IF(G3&gt;10,D113,"——")</f>
        <v>——</v>
      </c>
      <c r="K22" s="1257"/>
      <c r="L22" s="2987"/>
      <c r="M22" s="2987"/>
      <c r="N22" s="2235" t="s">
        <v>2668</v>
      </c>
      <c r="O22" s="1305"/>
      <c r="P22" s="1306">
        <f>SUMPRODUCT((地价!A3:A37=YEAR(G19)&amp;"-"&amp;ROUNDUP(MONTH(G19)/3,0))*(地价!AD2:AH2=N22)*(地价!AD3:AH37))</f>
        <v>1.03E-2</v>
      </c>
      <c r="Q22" s="2987"/>
      <c r="R22" s="1256"/>
      <c r="S22" s="1256"/>
      <c r="T22" s="1251"/>
      <c r="U22" s="1251"/>
      <c r="V22" s="1251"/>
      <c r="W22" s="1250"/>
      <c r="X22" s="1250"/>
      <c r="Y22" s="1250"/>
      <c r="Z22" s="1257"/>
      <c r="AA22" s="1257"/>
      <c r="AB22" s="1257"/>
      <c r="AC22" s="1257"/>
      <c r="AD22" s="1257"/>
      <c r="AE22" s="1257"/>
      <c r="AF22" s="1257"/>
      <c r="AG22" s="2987"/>
      <c r="AH22" s="2987"/>
      <c r="AI22" s="2987"/>
      <c r="AJ22" s="2987"/>
    </row>
    <row r="23" spans="1:37" ht="27.75" thickBot="1">
      <c r="A23" s="2109" t="s">
        <v>2669</v>
      </c>
      <c r="B23" s="2237" t="s">
        <v>2670</v>
      </c>
      <c r="C23" s="949">
        <f>ROUND(IF(G3&gt;1,IF(I3&lt;7,SUMPRODUCT((B93:B98=I3)*(C92:N92=G2)*(C93:N98)),SUMIF(C92:N92,G2,C100:N100)),IF(I3&lt;7,SUMPRODUCT((B102:B107=I3)*(C92:N92=G2)*(C102:N107)),SUMIF(C92:N92,G2,C109:N109))),4)</f>
        <v>0</v>
      </c>
      <c r="D23" s="2205"/>
      <c r="E23" s="2205"/>
      <c r="F23" s="2238"/>
      <c r="G23" s="2239"/>
      <c r="H23" s="2240"/>
      <c r="I23" s="2241"/>
      <c r="J23" s="2242"/>
      <c r="K23" s="1250"/>
      <c r="L23" s="2151"/>
      <c r="M23" s="2151"/>
      <c r="N23" s="2235" t="s">
        <v>2671</v>
      </c>
      <c r="O23" s="1305"/>
      <c r="P23" s="1306">
        <f>SUMPRODUCT((地价!A3:A37=YEAR(G19)&amp;"-"&amp;ROUNDUP(MONTH(G19)/3,0))*(地价!AD2:AH2=N23)*(地价!AD3:AH37))</f>
        <v>1.8100000000000002E-2</v>
      </c>
      <c r="Q23" s="2151"/>
      <c r="R23" s="1256"/>
      <c r="S23" s="1256"/>
      <c r="T23" s="1251"/>
      <c r="U23" s="1251"/>
      <c r="V23" s="1251"/>
      <c r="W23" s="1250"/>
      <c r="X23" s="1250"/>
      <c r="Y23" s="1250"/>
      <c r="Z23" s="1257"/>
      <c r="AA23" s="1257"/>
      <c r="AB23" s="1257"/>
      <c r="AC23" s="1257"/>
      <c r="AD23" s="1257"/>
      <c r="AE23" s="1251"/>
      <c r="AF23" s="1251"/>
      <c r="AG23" s="2308"/>
      <c r="AH23" s="2308"/>
      <c r="AI23" s="2308"/>
      <c r="AJ23" s="2308"/>
      <c r="AK23" s="2218"/>
    </row>
    <row r="24" spans="1:37" s="2170" customFormat="1" ht="15.75" thickBot="1">
      <c r="A24" s="2224" t="s">
        <v>812</v>
      </c>
      <c r="B24" s="2215" t="s">
        <v>2672</v>
      </c>
      <c r="C24" s="862">
        <f>SUMIF(A45:A88,E2,B45:B88)</f>
        <v>0</v>
      </c>
      <c r="D24" s="2216"/>
      <c r="E24" s="2243"/>
      <c r="F24" s="2243"/>
      <c r="G24" s="2243"/>
      <c r="H24" s="2243"/>
      <c r="I24" s="2243"/>
      <c r="J24" s="2244"/>
      <c r="K24" s="1257"/>
      <c r="L24" s="2987"/>
      <c r="M24" s="2987"/>
      <c r="N24" s="2245" t="s">
        <v>2673</v>
      </c>
      <c r="O24" s="1307"/>
      <c r="P24" s="1308">
        <f>SUMPRODUCT((地价!A3:A37=YEAR(G19)&amp;"-"&amp;ROUNDUP(MONTH(G19)/3,0))*(地价!AD2:AH2=N24)*(地价!AD3:AH37))</f>
        <v>1.2E-2</v>
      </c>
      <c r="Q24" s="2987"/>
      <c r="R24" s="1256"/>
      <c r="S24" s="1256"/>
      <c r="T24" s="1251"/>
      <c r="U24" s="1251"/>
      <c r="V24" s="1251"/>
      <c r="W24" s="1250"/>
      <c r="X24" s="1250"/>
      <c r="Y24" s="1250"/>
      <c r="Z24" s="1257"/>
      <c r="AA24" s="1257"/>
      <c r="AB24" s="1257"/>
      <c r="AC24" s="1257"/>
      <c r="AD24" s="1257"/>
      <c r="AE24" s="1257"/>
      <c r="AF24" s="1257"/>
      <c r="AG24" s="2987"/>
      <c r="AH24" s="2987"/>
      <c r="AI24" s="2987"/>
      <c r="AJ24" s="2987"/>
    </row>
    <row r="25" spans="1:37" ht="15.75" thickBot="1">
      <c r="A25" s="2224" t="s">
        <v>813</v>
      </c>
      <c r="B25" s="2246" t="s">
        <v>2674</v>
      </c>
      <c r="C25" s="868"/>
      <c r="D25" s="2180"/>
      <c r="E25" s="2180"/>
      <c r="F25" s="2247"/>
      <c r="G25" s="2180"/>
      <c r="H25" s="2180"/>
      <c r="I25" s="2180"/>
      <c r="J25" s="2181"/>
      <c r="K25" s="1250"/>
      <c r="L25" s="2151"/>
      <c r="M25" s="2151"/>
      <c r="N25" s="2982" t="s">
        <v>2675</v>
      </c>
      <c r="O25" s="2983"/>
      <c r="P25" s="2984">
        <f>SUMPRODUCT((地价!A3:A37=YEAR(G19)&amp;"-"&amp;ROUNDUP(MONTH(G19)/3,0))*(地价!AD2:AH2=N25)*(地价!AD3:AH37))</f>
        <v>1.6400000000000001E-2</v>
      </c>
      <c r="Q25" s="2151"/>
      <c r="R25" s="1256"/>
      <c r="S25" s="1256"/>
      <c r="T25" s="1251"/>
      <c r="U25" s="1251"/>
      <c r="V25" s="1251"/>
      <c r="W25" s="1250"/>
      <c r="X25" s="1250"/>
      <c r="Y25" s="1250"/>
      <c r="Z25" s="1257"/>
      <c r="AA25" s="1257"/>
      <c r="AB25" s="1257"/>
      <c r="AC25" s="1257"/>
      <c r="AD25" s="1257"/>
      <c r="AE25" s="1251"/>
      <c r="AF25" s="1251"/>
      <c r="AG25" s="2308"/>
      <c r="AH25" s="2308"/>
      <c r="AI25" s="2308"/>
      <c r="AJ25" s="2308"/>
    </row>
    <row r="26" spans="1:37" ht="15">
      <c r="A26" s="2248"/>
      <c r="B26" s="2236" t="s">
        <v>2676</v>
      </c>
      <c r="C26" s="2510" t="e">
        <f>IF(B21="容积率修正",E29+SUM(E33:E39),SUM(V2:V16)+SUM(E33:E39))</f>
        <v>#DIV/0!</v>
      </c>
      <c r="D26" s="2249"/>
      <c r="E26" s="2205"/>
      <c r="F26" s="2250"/>
      <c r="G26" s="2205"/>
      <c r="H26" s="2205"/>
      <c r="I26" s="2205"/>
      <c r="J26" s="2251"/>
      <c r="K26" s="1250"/>
      <c r="L26" s="2985" t="s">
        <v>2574</v>
      </c>
      <c r="M26" s="2178" t="s">
        <v>2639</v>
      </c>
      <c r="N26" s="2178" t="s">
        <v>2640</v>
      </c>
      <c r="O26" s="2178" t="s">
        <v>2641</v>
      </c>
      <c r="P26" s="2986" t="s">
        <v>2642</v>
      </c>
      <c r="Q26" s="2151"/>
      <c r="R26" s="1256"/>
      <c r="S26" s="1256"/>
      <c r="T26" s="1251"/>
      <c r="U26" s="1251"/>
      <c r="V26" s="1251"/>
      <c r="W26" s="1250"/>
      <c r="X26" s="1250"/>
      <c r="Y26" s="1250"/>
      <c r="Z26" s="1257"/>
      <c r="AA26" s="1257"/>
      <c r="AB26" s="1257"/>
      <c r="AC26" s="1257"/>
      <c r="AD26" s="1257"/>
      <c r="AE26" s="1251"/>
      <c r="AF26" s="1251"/>
      <c r="AG26" s="2308"/>
      <c r="AH26" s="2308"/>
      <c r="AI26" s="2308"/>
      <c r="AJ26" s="2308"/>
    </row>
    <row r="27" spans="1:37" ht="15.75" thickBot="1">
      <c r="A27" s="2248"/>
      <c r="B27" s="2252" t="s">
        <v>2677</v>
      </c>
      <c r="C27" s="869" t="e">
        <f>E30+SUM(I33:I39)</f>
        <v>#DIV/0!</v>
      </c>
      <c r="D27" s="2253"/>
      <c r="E27" s="2254"/>
      <c r="F27" s="2255"/>
      <c r="G27" s="2254"/>
      <c r="H27" s="2254"/>
      <c r="I27" s="2254"/>
      <c r="J27" s="2256"/>
      <c r="K27" s="1250"/>
      <c r="L27" s="2211" t="s">
        <v>2646</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8"/>
      <c r="AH27" s="2308"/>
      <c r="AI27" s="2308"/>
      <c r="AJ27" s="2308"/>
    </row>
    <row r="28" spans="1:37" ht="15.75" thickBot="1">
      <c r="A28" s="2257"/>
      <c r="B28" s="2258" t="s">
        <v>2678</v>
      </c>
      <c r="C28" s="2259" t="s">
        <v>2679</v>
      </c>
      <c r="D28" s="2259" t="s">
        <v>2680</v>
      </c>
      <c r="E28" s="2260" t="s">
        <v>2681</v>
      </c>
      <c r="F28" s="2261"/>
      <c r="G28" s="2193"/>
      <c r="H28" s="2193"/>
      <c r="I28" s="2193"/>
      <c r="J28" s="2194"/>
      <c r="K28" s="1250"/>
      <c r="L28" s="2212" t="s">
        <v>2649</v>
      </c>
      <c r="M28" s="182">
        <f>ROUND($E$20*(1+M27),3)</f>
        <v>5.3999999999999999E-2</v>
      </c>
      <c r="N28" s="182">
        <f>ROUND($E$20*(1+N27),3)</f>
        <v>5.1999999999999998E-2</v>
      </c>
      <c r="O28" s="182">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8"/>
      <c r="AH28" s="2308"/>
      <c r="AI28" s="2308"/>
      <c r="AJ28" s="2308"/>
    </row>
    <row r="29" spans="1:37" ht="22.5" customHeight="1">
      <c r="A29" s="2262"/>
      <c r="B29" s="2263" t="s">
        <v>2682</v>
      </c>
      <c r="C29" s="179" t="e">
        <f>ROUND(C5*C18*C19*C20*C21*C24,0)</f>
        <v>#DIV/0!</v>
      </c>
      <c r="D29" s="2264"/>
      <c r="E29" s="878" t="e">
        <f>ROUND(C29*D29/10000,0)</f>
        <v>#DIV/0!</v>
      </c>
      <c r="F29" s="2265" t="s">
        <v>2683</v>
      </c>
      <c r="G29" s="2266"/>
      <c r="H29" s="2266"/>
      <c r="I29" s="2266"/>
      <c r="J29" s="2267"/>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1"/>
      <c r="AH29" s="2151"/>
      <c r="AI29" s="2151"/>
      <c r="AJ29" s="2151"/>
    </row>
    <row r="30" spans="1:37" ht="25.5" thickBot="1">
      <c r="A30" s="2268"/>
      <c r="B30" s="2269" t="s">
        <v>2684</v>
      </c>
      <c r="C30" s="192" t="e">
        <f>ROUND(IF(E2="工业",C29*M39,C29*M38),0)</f>
        <v>#DIV/0!</v>
      </c>
      <c r="D30" s="2270"/>
      <c r="E30" s="878" t="e">
        <f>ROUND(C30*D30/10000,0)</f>
        <v>#DIV/0!</v>
      </c>
      <c r="F30" s="2271" t="s">
        <v>2685</v>
      </c>
      <c r="G30" s="2272"/>
      <c r="H30" s="2272"/>
      <c r="I30" s="2272"/>
      <c r="J30" s="2273"/>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1"/>
      <c r="AH30" s="2151"/>
      <c r="AI30" s="2151"/>
      <c r="AJ30" s="2151"/>
    </row>
    <row r="31" spans="1:37" ht="14.25">
      <c r="A31" s="2274"/>
      <c r="B31" s="2275" t="s">
        <v>2686</v>
      </c>
      <c r="C31" s="2276" t="s">
        <v>2687</v>
      </c>
      <c r="D31" s="2193"/>
      <c r="E31" s="2276"/>
      <c r="F31" s="2276"/>
      <c r="G31" s="2191" t="s">
        <v>2688</v>
      </c>
      <c r="H31" s="2193"/>
      <c r="I31" s="2277"/>
      <c r="J31" s="2194"/>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1"/>
      <c r="AH31" s="2151"/>
      <c r="AI31" s="2151"/>
      <c r="AJ31" s="2151"/>
    </row>
    <row r="32" spans="1:37" ht="24">
      <c r="A32" s="2262"/>
      <c r="B32" s="2278"/>
      <c r="C32" s="457" t="s">
        <v>2679</v>
      </c>
      <c r="D32" s="454" t="s">
        <v>2680</v>
      </c>
      <c r="E32" s="454" t="s">
        <v>2681</v>
      </c>
      <c r="F32" s="347" t="s">
        <v>2689</v>
      </c>
      <c r="G32" s="2279" t="s">
        <v>2679</v>
      </c>
      <c r="H32" s="2279" t="s">
        <v>2680</v>
      </c>
      <c r="I32" s="2279" t="s">
        <v>2681</v>
      </c>
      <c r="J32" s="248"/>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1"/>
      <c r="AH32" s="2151"/>
      <c r="AI32" s="2151"/>
      <c r="AJ32" s="2151"/>
    </row>
    <row r="33" spans="1:37" ht="36" customHeight="1">
      <c r="A33" s="3509"/>
      <c r="B33" s="2280" t="s">
        <v>2690</v>
      </c>
      <c r="C33" s="179" t="e">
        <f>ROUND(D5*C19*C20*C24*F33,0)</f>
        <v>#DIV/0!</v>
      </c>
      <c r="D33" s="2264"/>
      <c r="E33" s="175" t="e">
        <f>ROUND(C33*D33/10000,0)</f>
        <v>#DIV/0!</v>
      </c>
      <c r="F33" s="175">
        <f>SUMIF(修正!A45:A56,G2,修正!B45:B56)</f>
        <v>0.7</v>
      </c>
      <c r="G33" s="175" t="e">
        <f t="shared" ref="G33" si="6">ROUND(IF(E2="工业",C33*$M$39,C33*$M$38),0)</f>
        <v>#DIV/0!</v>
      </c>
      <c r="H33" s="175">
        <f>D33</f>
        <v>0</v>
      </c>
      <c r="I33" s="175" t="e">
        <f>ROUND(G33*H33/10000,0)</f>
        <v>#DIV/0!</v>
      </c>
      <c r="J33" s="3514" t="s">
        <v>2996</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8"/>
      <c r="AH33" s="2308"/>
      <c r="AI33" s="2308"/>
      <c r="AJ33" s="2308"/>
    </row>
    <row r="34" spans="1:37" ht="14.25">
      <c r="A34" s="3510"/>
      <c r="B34" s="2197" t="s">
        <v>2691</v>
      </c>
      <c r="C34" s="179" t="e">
        <f>ROUND(D5*C19*C20*C24*F34,0)</f>
        <v>#DIV/0!</v>
      </c>
      <c r="D34" s="2264"/>
      <c r="E34" s="175" t="e">
        <f t="shared" ref="E34:E39" si="7">ROUND(C34*D34/10000,0)</f>
        <v>#DIV/0!</v>
      </c>
      <c r="F34" s="175">
        <f>SUMIF(修正!A45:A56,G2,修正!C45:C56)</f>
        <v>0.4</v>
      </c>
      <c r="G34" s="175" t="e">
        <f>ROUND(IF(E2="工业",C34*$M$39,C34*$M$38),0)</f>
        <v>#DIV/0!</v>
      </c>
      <c r="H34" s="175">
        <f t="shared" ref="H34:H39" si="8">D34</f>
        <v>0</v>
      </c>
      <c r="I34" s="175" t="e">
        <f t="shared" ref="I34:I39" si="9">ROUND(G34*H34/10000,0)</f>
        <v>#DIV/0!</v>
      </c>
      <c r="J34" s="351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8"/>
      <c r="AH34" s="2308"/>
      <c r="AI34" s="2308"/>
      <c r="AJ34" s="2308"/>
    </row>
    <row r="35" spans="1:37">
      <c r="A35" s="3510"/>
      <c r="B35" s="2197" t="s">
        <v>2692</v>
      </c>
      <c r="C35" s="179" t="e">
        <f>ROUND(D5*C19*C20*C24*F35,0)</f>
        <v>#DIV/0!</v>
      </c>
      <c r="D35" s="2264"/>
      <c r="E35" s="175" t="e">
        <f t="shared" si="7"/>
        <v>#DIV/0!</v>
      </c>
      <c r="F35" s="175">
        <f>SUMIF(修正!A45:A56,G2,修正!D45:D56)</f>
        <v>0.28000000000000003</v>
      </c>
      <c r="G35" s="175" t="e">
        <f>ROUND(IF(E2="工业",C35*$M$39,C35*$M$38),0)</f>
        <v>#DIV/0!</v>
      </c>
      <c r="H35" s="175">
        <f t="shared" si="8"/>
        <v>0</v>
      </c>
      <c r="I35" s="175" t="e">
        <f t="shared" si="9"/>
        <v>#DIV/0!</v>
      </c>
      <c r="J35" s="351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8"/>
      <c r="AH35" s="2308"/>
      <c r="AI35" s="2308"/>
      <c r="AJ35" s="2308"/>
    </row>
    <row r="36" spans="1:37" ht="13.5" thickBot="1">
      <c r="A36" s="3511"/>
      <c r="B36" s="2197" t="s">
        <v>2693</v>
      </c>
      <c r="C36" s="179" t="e">
        <f>ROUND(D5*C19*C20*C24*F36,0)</f>
        <v>#DIV/0!</v>
      </c>
      <c r="D36" s="2264"/>
      <c r="E36" s="175" t="e">
        <f t="shared" si="7"/>
        <v>#DIV/0!</v>
      </c>
      <c r="F36" s="175">
        <f>SUMIF(修正!A45:A56,G2,修正!E45:E56)</f>
        <v>0.25</v>
      </c>
      <c r="G36" s="175" t="e">
        <f>ROUND(IF(E2="工业",C36*$M$39,C36*$M$38),0)</f>
        <v>#DIV/0!</v>
      </c>
      <c r="H36" s="175">
        <f t="shared" si="8"/>
        <v>0</v>
      </c>
      <c r="I36" s="175" t="e">
        <f t="shared" si="9"/>
        <v>#DIV/0!</v>
      </c>
      <c r="J36" s="3511"/>
      <c r="K36" s="1250"/>
      <c r="L36" s="2151"/>
      <c r="M36" s="2151"/>
      <c r="N36" s="1250"/>
      <c r="O36" s="1250"/>
      <c r="P36" s="1250"/>
      <c r="Q36" s="1250"/>
      <c r="R36" s="1250"/>
      <c r="S36" s="1250"/>
      <c r="T36" s="1250"/>
      <c r="U36" s="1250"/>
      <c r="V36" s="1250"/>
      <c r="W36" s="1250"/>
      <c r="X36" s="1250"/>
      <c r="Y36" s="1250"/>
      <c r="Z36" s="1251"/>
      <c r="AA36" s="1251"/>
      <c r="AB36" s="1251"/>
      <c r="AC36" s="1251"/>
      <c r="AD36" s="1251"/>
      <c r="AE36" s="1251"/>
      <c r="AF36" s="1251"/>
      <c r="AG36" s="2308"/>
      <c r="AH36" s="2308"/>
      <c r="AI36" s="2308"/>
      <c r="AJ36" s="2308"/>
    </row>
    <row r="37" spans="1:37">
      <c r="A37" s="2282"/>
      <c r="B37" s="2197" t="s">
        <v>2694</v>
      </c>
      <c r="C37" s="175" t="e">
        <f>ROUND(D5*C19*C20*C24*F37,0)</f>
        <v>#DIV/0!</v>
      </c>
      <c r="D37" s="2264"/>
      <c r="E37" s="175" t="e">
        <f t="shared" si="7"/>
        <v>#DIV/0!</v>
      </c>
      <c r="F37" s="179">
        <f>SUMIF(修正!A45:A56,G2,修正!F45:F56)</f>
        <v>0.25</v>
      </c>
      <c r="G37" s="175" t="e">
        <f>ROUND(IF(E2="工业",C37*$M$39,C37*$M$38),0)</f>
        <v>#DIV/0!</v>
      </c>
      <c r="H37" s="175">
        <f t="shared" si="8"/>
        <v>0</v>
      </c>
      <c r="I37" s="175" t="e">
        <f t="shared" si="9"/>
        <v>#DIV/0!</v>
      </c>
      <c r="J37" s="2281"/>
      <c r="K37" s="1250"/>
      <c r="L37" s="2283" t="s">
        <v>2695</v>
      </c>
      <c r="M37" s="2284"/>
      <c r="N37" s="1250"/>
      <c r="O37" s="1250"/>
      <c r="P37" s="1250"/>
      <c r="Q37" s="1250"/>
      <c r="R37" s="1250"/>
      <c r="S37" s="1250"/>
      <c r="T37" s="1250"/>
      <c r="U37" s="1250"/>
      <c r="V37" s="1250"/>
      <c r="W37" s="1250"/>
      <c r="X37" s="1250"/>
      <c r="Y37" s="1250"/>
      <c r="Z37" s="1251"/>
      <c r="AA37" s="1251"/>
      <c r="AB37" s="1251"/>
      <c r="AC37" s="1251"/>
      <c r="AD37" s="1251"/>
      <c r="AE37" s="1251"/>
      <c r="AF37" s="1251"/>
      <c r="AG37" s="2308"/>
      <c r="AH37" s="2308"/>
      <c r="AI37" s="2308"/>
      <c r="AJ37" s="2308"/>
    </row>
    <row r="38" spans="1:37">
      <c r="A38" s="2282"/>
      <c r="B38" s="2197" t="s">
        <v>2696</v>
      </c>
      <c r="C38" s="175" t="e">
        <f>ROUND(D5*C19*C41*C24*F38,0)</f>
        <v>#DIV/0!</v>
      </c>
      <c r="D38" s="2264"/>
      <c r="E38" s="175" t="e">
        <f t="shared" si="7"/>
        <v>#DIV/0!</v>
      </c>
      <c r="F38" s="179">
        <f>SUMIF(修正!A45:A56,G2,修正!G45:G56)</f>
        <v>0.25</v>
      </c>
      <c r="G38" s="175" t="e">
        <f>ROUND(IF(E2="工业",C38*$M$39,C38*$M$38),0)</f>
        <v>#DIV/0!</v>
      </c>
      <c r="H38" s="175">
        <f t="shared" si="8"/>
        <v>0</v>
      </c>
      <c r="I38" s="175" t="e">
        <f t="shared" si="9"/>
        <v>#DIV/0!</v>
      </c>
      <c r="J38" s="2281"/>
      <c r="K38" s="1250"/>
      <c r="L38" s="1573" t="s">
        <v>2697</v>
      </c>
      <c r="M38" s="2285">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8"/>
      <c r="B39" s="2286" t="s">
        <v>2698</v>
      </c>
      <c r="C39" s="192" t="e">
        <f>ROUND(D5*C19*C41*C24*F39,0)</f>
        <v>#DIV/0!</v>
      </c>
      <c r="D39" s="2270"/>
      <c r="E39" s="192" t="e">
        <f t="shared" si="7"/>
        <v>#DIV/0!</v>
      </c>
      <c r="F39" s="870">
        <f>SUMIF(修正!A45:A56,G2,修正!H45:H56)</f>
        <v>0.2</v>
      </c>
      <c r="G39" s="192" t="e">
        <f>ROUND(IF(E2="工业",C39*$M$39,C39*$M$38),0)</f>
        <v>#DIV/0!</v>
      </c>
      <c r="H39" s="192">
        <f t="shared" si="8"/>
        <v>0</v>
      </c>
      <c r="I39" s="192" t="e">
        <f t="shared" si="9"/>
        <v>#DIV/0!</v>
      </c>
      <c r="J39" s="2287"/>
      <c r="K39" s="1250"/>
      <c r="L39" s="2288" t="s">
        <v>2642</v>
      </c>
      <c r="M39" s="2289">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8" t="s">
        <v>2803</v>
      </c>
      <c r="C41" s="347" t="e">
        <f>ROUND(POWER(1+E41,H41-G41)*(POWER(1+E41,G41)-1)/(POWER(1+E41,H41)-1),4)</f>
        <v>#DIV/0!</v>
      </c>
      <c r="D41" s="175" t="s">
        <v>2649</v>
      </c>
      <c r="E41" s="2337">
        <f>G20</f>
        <v>0</v>
      </c>
      <c r="F41" s="175" t="s">
        <v>2658</v>
      </c>
      <c r="G41" s="188"/>
      <c r="H41" s="175">
        <v>50</v>
      </c>
      <c r="Z41" s="1251"/>
      <c r="AA41" s="1251"/>
      <c r="AB41" s="1251"/>
      <c r="AC41" s="1251"/>
      <c r="AD41" s="1251"/>
      <c r="AE41" s="1251"/>
      <c r="AF41" s="1251"/>
      <c r="AG41" s="1251"/>
      <c r="AH41" s="1251"/>
      <c r="AI41" s="1251"/>
      <c r="AJ41" s="1251"/>
    </row>
    <row r="42" spans="1:37" s="1250" customFormat="1">
      <c r="A42" s="1251"/>
      <c r="B42" s="2290"/>
      <c r="Z42" s="1251"/>
      <c r="AA42" s="1251"/>
      <c r="AB42" s="1251"/>
      <c r="AC42" s="1251"/>
      <c r="AD42" s="1251"/>
      <c r="AE42" s="1251"/>
      <c r="AF42" s="1251"/>
      <c r="AG42" s="1251"/>
      <c r="AH42" s="1251"/>
      <c r="AI42" s="1251"/>
      <c r="AJ42" s="1251"/>
    </row>
    <row r="43" spans="1:37" s="1250" customFormat="1">
      <c r="A43" s="1251"/>
      <c r="B43" s="2290"/>
      <c r="Z43" s="1251"/>
      <c r="AA43" s="1251"/>
      <c r="AB43" s="1251"/>
      <c r="AC43" s="1251"/>
      <c r="AD43" s="1251"/>
      <c r="AE43" s="1251"/>
      <c r="AF43" s="1251"/>
      <c r="AG43" s="1251"/>
      <c r="AH43" s="1251"/>
      <c r="AI43" s="1251"/>
      <c r="AJ43" s="1251"/>
    </row>
    <row r="44" spans="1:37" s="1250" customFormat="1">
      <c r="A44" s="1251"/>
      <c r="B44" s="2290"/>
      <c r="Z44" s="1251"/>
      <c r="AA44" s="1251"/>
      <c r="AB44" s="1251"/>
      <c r="AC44" s="1251"/>
      <c r="AD44" s="1251"/>
      <c r="AE44" s="1251"/>
      <c r="AF44" s="1251"/>
      <c r="AG44" s="1251"/>
      <c r="AH44" s="1251"/>
      <c r="AI44" s="1251"/>
      <c r="AJ44" s="1251"/>
    </row>
    <row r="45" spans="1:37" s="1250" customFormat="1" ht="15.75" thickBot="1">
      <c r="A45" s="2291" t="s">
        <v>2699</v>
      </c>
      <c r="B45" s="2292"/>
      <c r="C45" s="7"/>
      <c r="D45" s="7"/>
      <c r="E45" s="7"/>
      <c r="F45" s="6"/>
      <c r="G45" s="6"/>
      <c r="H45" s="6"/>
      <c r="I45" s="1975"/>
      <c r="J45" s="1975"/>
      <c r="K45" s="1975"/>
      <c r="L45" s="1975"/>
      <c r="M45" s="1975"/>
      <c r="Z45" s="1251"/>
      <c r="AA45" s="1251"/>
      <c r="AB45" s="1251"/>
      <c r="AC45" s="1251"/>
      <c r="AD45" s="1251"/>
      <c r="AE45" s="1251"/>
      <c r="AF45" s="1251"/>
      <c r="AG45" s="1251"/>
      <c r="AH45" s="1251"/>
      <c r="AI45" s="1251"/>
      <c r="AJ45" s="1251"/>
    </row>
    <row r="46" spans="1:37" s="1250" customFormat="1" ht="15">
      <c r="A46" s="2293" t="s">
        <v>2700</v>
      </c>
      <c r="B46" s="2294">
        <f>1+E48</f>
        <v>1</v>
      </c>
      <c r="C46" s="2295"/>
      <c r="D46" s="752"/>
      <c r="E46" s="753"/>
      <c r="F46" s="2296"/>
      <c r="G46" s="6"/>
      <c r="H46" s="7"/>
      <c r="I46" s="1975"/>
      <c r="J46" s="1975"/>
      <c r="K46" s="1975"/>
      <c r="L46" s="1975"/>
      <c r="M46" s="1975"/>
      <c r="Z46" s="1251"/>
      <c r="AA46" s="1251"/>
      <c r="AB46" s="1251"/>
      <c r="AC46" s="1251"/>
      <c r="AD46" s="1251"/>
      <c r="AE46" s="1251"/>
      <c r="AF46" s="1251"/>
      <c r="AG46" s="1251"/>
      <c r="AH46" s="1251"/>
      <c r="AI46" s="1251"/>
      <c r="AJ46" s="1251"/>
    </row>
    <row r="47" spans="1:37" s="1250" customFormat="1" ht="24.75">
      <c r="A47" s="2297" t="s">
        <v>2701</v>
      </c>
      <c r="B47" s="1503" t="s">
        <v>2702</v>
      </c>
      <c r="C47" s="1503" t="s">
        <v>2703</v>
      </c>
      <c r="D47" s="1503" t="s">
        <v>2704</v>
      </c>
      <c r="E47" s="757" t="s">
        <v>2705</v>
      </c>
      <c r="F47" s="2298" t="s">
        <v>2706</v>
      </c>
      <c r="G47" s="1503" t="s">
        <v>754</v>
      </c>
      <c r="H47" s="2299" t="s">
        <v>2707</v>
      </c>
      <c r="I47" s="1503" t="s">
        <v>2708</v>
      </c>
      <c r="J47" s="559" t="s">
        <v>2357</v>
      </c>
      <c r="K47" s="559" t="s">
        <v>2358</v>
      </c>
      <c r="L47" s="559" t="s">
        <v>2359</v>
      </c>
      <c r="M47" s="559" t="s">
        <v>2360</v>
      </c>
      <c r="N47" s="559" t="s">
        <v>2361</v>
      </c>
      <c r="AA47" s="1251"/>
      <c r="AB47" s="1251"/>
      <c r="AC47" s="1251"/>
      <c r="AD47" s="1251"/>
      <c r="AE47" s="1251"/>
      <c r="AF47" s="1251"/>
      <c r="AG47" s="1251"/>
      <c r="AH47" s="1251"/>
      <c r="AI47" s="1251"/>
      <c r="AJ47" s="1251"/>
      <c r="AK47" s="1251"/>
    </row>
    <row r="48" spans="1:37" s="1250" customFormat="1" ht="38.25">
      <c r="A48" s="2297" t="s">
        <v>2709</v>
      </c>
      <c r="B48" s="2300" t="str">
        <f>估价对象房地状况!C4</f>
        <v>估价对象位于XX商圈，周边商业氛围成熟，人流量大，商业繁华度好</v>
      </c>
      <c r="C48" s="2202"/>
      <c r="D48" s="1194">
        <f t="shared" ref="D48:D56" si="10">SUMIF($J$47:$N$47,C48,J48:N48)</f>
        <v>0</v>
      </c>
      <c r="E48" s="759">
        <f>ROUND(SUM(D48:D56),4)</f>
        <v>0</v>
      </c>
      <c r="F48" s="1968" t="str">
        <f>IF(E2="商业",SUMIF(L1:L12,G2,N1:N12),"——")</f>
        <v>——</v>
      </c>
      <c r="G48" s="1192"/>
      <c r="H48" s="1196" t="str">
        <f t="shared" ref="H48:H56" si="11">IFERROR(ROUNDDOWN($F$48*I48/2,4),"——")</f>
        <v>——</v>
      </c>
      <c r="I48" s="758">
        <v>0.33</v>
      </c>
      <c r="J48" s="1193">
        <f t="shared" ref="J48:J56" si="12">K48+$G48</f>
        <v>0</v>
      </c>
      <c r="K48" s="1193">
        <f t="shared" ref="K48:K56" si="13">$L48+$G48</f>
        <v>0</v>
      </c>
      <c r="L48" s="1193">
        <v>0</v>
      </c>
      <c r="M48" s="1193">
        <f t="shared" ref="M48:N56" si="14">L48-$G48</f>
        <v>0</v>
      </c>
      <c r="N48" s="1193">
        <f t="shared" si="14"/>
        <v>0</v>
      </c>
      <c r="AA48" s="1251"/>
      <c r="AB48" s="1251"/>
      <c r="AC48" s="1251"/>
      <c r="AD48" s="1251"/>
      <c r="AE48" s="1251"/>
      <c r="AF48" s="1251"/>
      <c r="AG48" s="1251"/>
      <c r="AH48" s="1251"/>
      <c r="AI48" s="1251"/>
      <c r="AJ48" s="1251"/>
      <c r="AK48" s="1251"/>
    </row>
    <row r="49" spans="1:37" s="1250" customFormat="1" ht="51">
      <c r="A49" s="2297" t="s">
        <v>2710</v>
      </c>
      <c r="B49" s="2301" t="str">
        <f>估价对象房地状况!C18</f>
        <v>估价对象周边道路状况、公共交通通达情况、停车便捷程度，综合评价交通便捷度较好</v>
      </c>
      <c r="C49" s="2202"/>
      <c r="D49" s="1194">
        <f t="shared" si="10"/>
        <v>0</v>
      </c>
      <c r="E49" s="760"/>
      <c r="F49" s="1968"/>
      <c r="G49" s="1192"/>
      <c r="H49" s="1196" t="str">
        <f t="shared" si="11"/>
        <v>——</v>
      </c>
      <c r="I49" s="758">
        <v>0.25</v>
      </c>
      <c r="J49" s="1193">
        <f t="shared" si="12"/>
        <v>0</v>
      </c>
      <c r="K49" s="1193">
        <f t="shared" si="13"/>
        <v>0</v>
      </c>
      <c r="L49" s="1193">
        <v>0</v>
      </c>
      <c r="M49" s="1193">
        <f t="shared" si="14"/>
        <v>0</v>
      </c>
      <c r="N49" s="1193">
        <f t="shared" si="14"/>
        <v>0</v>
      </c>
      <c r="AA49" s="1251"/>
      <c r="AB49" s="1251"/>
      <c r="AC49" s="1251"/>
      <c r="AD49" s="1251"/>
      <c r="AE49" s="1251"/>
      <c r="AF49" s="1251"/>
      <c r="AG49" s="1251"/>
      <c r="AH49" s="1251"/>
      <c r="AI49" s="1251"/>
      <c r="AJ49" s="1251"/>
      <c r="AK49" s="1251"/>
    </row>
    <row r="50" spans="1:37" s="1250" customFormat="1" ht="24">
      <c r="A50" s="2297" t="s">
        <v>2711</v>
      </c>
      <c r="B50" s="2301">
        <f>估价对象房地状况!C19</f>
        <v>0</v>
      </c>
      <c r="C50" s="2202"/>
      <c r="D50" s="1194">
        <f t="shared" si="10"/>
        <v>0</v>
      </c>
      <c r="E50" s="760"/>
      <c r="F50" s="1968"/>
      <c r="G50" s="1192"/>
      <c r="H50" s="1196" t="str">
        <f t="shared" si="11"/>
        <v>——</v>
      </c>
      <c r="I50" s="758">
        <v>0.05</v>
      </c>
      <c r="J50" s="1193">
        <f t="shared" si="12"/>
        <v>0</v>
      </c>
      <c r="K50" s="1193">
        <f t="shared" si="13"/>
        <v>0</v>
      </c>
      <c r="L50" s="1193">
        <v>0</v>
      </c>
      <c r="M50" s="1193">
        <f t="shared" si="14"/>
        <v>0</v>
      </c>
      <c r="N50" s="1193">
        <f t="shared" si="14"/>
        <v>0</v>
      </c>
      <c r="AA50" s="1251"/>
      <c r="AB50" s="1251"/>
      <c r="AC50" s="1251"/>
      <c r="AD50" s="1251"/>
      <c r="AE50" s="1251"/>
      <c r="AF50" s="1251"/>
      <c r="AG50" s="1251"/>
      <c r="AH50" s="1251"/>
      <c r="AI50" s="1251"/>
      <c r="AJ50" s="1251"/>
      <c r="AK50" s="1251"/>
    </row>
    <row r="51" spans="1:37" s="1250" customFormat="1" ht="36.75">
      <c r="A51" s="2297" t="s">
        <v>2712</v>
      </c>
      <c r="B51" s="2302" t="s">
        <v>2713</v>
      </c>
      <c r="C51" s="2202"/>
      <c r="D51" s="1194">
        <f t="shared" si="10"/>
        <v>0</v>
      </c>
      <c r="E51" s="760"/>
      <c r="F51" s="1968"/>
      <c r="G51" s="1192"/>
      <c r="H51" s="1196" t="str">
        <f t="shared" si="11"/>
        <v>——</v>
      </c>
      <c r="I51" s="758">
        <v>0.05</v>
      </c>
      <c r="J51" s="1193">
        <f t="shared" si="12"/>
        <v>0</v>
      </c>
      <c r="K51" s="1193">
        <f t="shared" si="13"/>
        <v>0</v>
      </c>
      <c r="L51" s="1193">
        <v>0</v>
      </c>
      <c r="M51" s="1193">
        <f t="shared" si="14"/>
        <v>0</v>
      </c>
      <c r="N51" s="1193">
        <f t="shared" si="14"/>
        <v>0</v>
      </c>
      <c r="AA51" s="1251"/>
      <c r="AB51" s="1251"/>
      <c r="AC51" s="1251"/>
      <c r="AD51" s="1251"/>
      <c r="AE51" s="1251"/>
      <c r="AF51" s="1251"/>
      <c r="AG51" s="1251"/>
      <c r="AH51" s="1251"/>
      <c r="AI51" s="1251"/>
      <c r="AJ51" s="1251"/>
      <c r="AK51" s="1251"/>
    </row>
    <row r="52" spans="1:37" s="1250" customFormat="1" ht="24">
      <c r="A52" s="2297" t="s">
        <v>2714</v>
      </c>
      <c r="B52" s="2301">
        <f>估价对象房地状况!C24</f>
        <v>0</v>
      </c>
      <c r="C52" s="2202"/>
      <c r="D52" s="1194">
        <f t="shared" si="10"/>
        <v>0</v>
      </c>
      <c r="E52" s="760"/>
      <c r="F52" s="1968"/>
      <c r="G52" s="1192"/>
      <c r="H52" s="1196" t="str">
        <f t="shared" si="11"/>
        <v>——</v>
      </c>
      <c r="I52" s="758">
        <v>0.08</v>
      </c>
      <c r="J52" s="1193">
        <f t="shared" si="12"/>
        <v>0</v>
      </c>
      <c r="K52" s="1193">
        <f t="shared" si="13"/>
        <v>0</v>
      </c>
      <c r="L52" s="1193">
        <v>0</v>
      </c>
      <c r="M52" s="1193">
        <f t="shared" si="14"/>
        <v>0</v>
      </c>
      <c r="N52" s="1193">
        <f t="shared" si="14"/>
        <v>0</v>
      </c>
      <c r="AA52" s="1251"/>
      <c r="AB52" s="1251"/>
      <c r="AC52" s="1251"/>
      <c r="AD52" s="1251"/>
      <c r="AE52" s="1251"/>
      <c r="AF52" s="1251"/>
      <c r="AG52" s="1251"/>
      <c r="AH52" s="1251"/>
      <c r="AI52" s="1251"/>
      <c r="AJ52" s="1251"/>
      <c r="AK52" s="1251"/>
    </row>
    <row r="53" spans="1:37" s="1250" customFormat="1" ht="24">
      <c r="A53" s="2297" t="s">
        <v>2715</v>
      </c>
      <c r="B53" s="2303" t="s">
        <v>2716</v>
      </c>
      <c r="C53" s="2202"/>
      <c r="D53" s="1194">
        <f t="shared" si="10"/>
        <v>0</v>
      </c>
      <c r="E53" s="760"/>
      <c r="F53" s="1968"/>
      <c r="G53" s="1192"/>
      <c r="H53" s="1196" t="str">
        <f t="shared" si="11"/>
        <v>——</v>
      </c>
      <c r="I53" s="758">
        <v>0.03</v>
      </c>
      <c r="J53" s="1193">
        <f t="shared" si="12"/>
        <v>0</v>
      </c>
      <c r="K53" s="1193">
        <f t="shared" si="13"/>
        <v>0</v>
      </c>
      <c r="L53" s="1193">
        <v>0</v>
      </c>
      <c r="M53" s="1193">
        <f t="shared" si="14"/>
        <v>0</v>
      </c>
      <c r="N53" s="1193">
        <f t="shared" si="14"/>
        <v>0</v>
      </c>
      <c r="AA53" s="1251"/>
      <c r="AB53" s="1251"/>
      <c r="AC53" s="1251"/>
      <c r="AD53" s="1251"/>
      <c r="AE53" s="1251"/>
      <c r="AF53" s="1251"/>
      <c r="AG53" s="1251"/>
      <c r="AH53" s="1251"/>
      <c r="AI53" s="1251"/>
      <c r="AJ53" s="1251"/>
      <c r="AK53" s="1251"/>
    </row>
    <row r="54" spans="1:37" s="1250" customFormat="1" ht="25.5">
      <c r="A54" s="2304" t="s">
        <v>2717</v>
      </c>
      <c r="B54" s="1464" t="str">
        <f>估价对象房地状况!C21</f>
        <v>估价对象所在区域公共配套设施齐备情况</v>
      </c>
      <c r="C54" s="2202"/>
      <c r="D54" s="1194">
        <f t="shared" si="10"/>
        <v>0</v>
      </c>
      <c r="E54" s="760"/>
      <c r="F54" s="1968"/>
      <c r="G54" s="1192"/>
      <c r="H54" s="1196" t="str">
        <f t="shared" si="11"/>
        <v>——</v>
      </c>
      <c r="I54" s="758">
        <v>0.05</v>
      </c>
      <c r="J54" s="1193">
        <f t="shared" si="12"/>
        <v>0</v>
      </c>
      <c r="K54" s="1193">
        <f t="shared" si="13"/>
        <v>0</v>
      </c>
      <c r="L54" s="1193">
        <v>0</v>
      </c>
      <c r="M54" s="1193">
        <f t="shared" si="14"/>
        <v>0</v>
      </c>
      <c r="N54" s="1193">
        <f t="shared" si="14"/>
        <v>0</v>
      </c>
      <c r="AA54" s="1251"/>
      <c r="AB54" s="1251"/>
      <c r="AC54" s="1251"/>
      <c r="AD54" s="1251"/>
      <c r="AE54" s="1251"/>
      <c r="AF54" s="1251"/>
      <c r="AG54" s="1251"/>
      <c r="AH54" s="1251"/>
      <c r="AI54" s="1251"/>
      <c r="AJ54" s="1251"/>
      <c r="AK54" s="1251"/>
    </row>
    <row r="55" spans="1:37" s="1250" customFormat="1" ht="25.5">
      <c r="A55" s="2304" t="s">
        <v>2718</v>
      </c>
      <c r="B55" s="2301" t="str">
        <f>估价对象房地状况!C22</f>
        <v>估价对象所在区域基础设施水平</v>
      </c>
      <c r="C55" s="2202"/>
      <c r="D55" s="1194">
        <f t="shared" si="10"/>
        <v>0</v>
      </c>
      <c r="E55" s="760"/>
      <c r="F55" s="1968"/>
      <c r="G55" s="1192"/>
      <c r="H55" s="1196" t="str">
        <f t="shared" si="11"/>
        <v>——</v>
      </c>
      <c r="I55" s="758">
        <v>0.1</v>
      </c>
      <c r="J55" s="1193">
        <f t="shared" si="12"/>
        <v>0</v>
      </c>
      <c r="K55" s="1193">
        <f t="shared" si="13"/>
        <v>0</v>
      </c>
      <c r="L55" s="1193">
        <v>0</v>
      </c>
      <c r="M55" s="1193">
        <f t="shared" si="14"/>
        <v>0</v>
      </c>
      <c r="N55" s="1193">
        <f t="shared" si="14"/>
        <v>0</v>
      </c>
      <c r="AA55" s="1251"/>
      <c r="AB55" s="1251"/>
      <c r="AC55" s="1251"/>
      <c r="AD55" s="1251"/>
      <c r="AE55" s="1251"/>
      <c r="AF55" s="1251"/>
      <c r="AG55" s="1251"/>
      <c r="AH55" s="1251"/>
      <c r="AI55" s="1251"/>
      <c r="AJ55" s="1251"/>
      <c r="AK55" s="1251"/>
    </row>
    <row r="56" spans="1:37" s="1250" customFormat="1" ht="39" thickBot="1">
      <c r="A56" s="2305" t="s">
        <v>2719</v>
      </c>
      <c r="B56" s="2306" t="str">
        <f>估价对象房地状况!C20</f>
        <v>区域自然环境：；人文环境；综合评价环境状况一般</v>
      </c>
      <c r="C56" s="2202"/>
      <c r="D56" s="1194">
        <f t="shared" si="10"/>
        <v>0</v>
      </c>
      <c r="E56" s="763"/>
      <c r="F56" s="1968"/>
      <c r="G56" s="1192"/>
      <c r="H56" s="1196" t="str">
        <f t="shared" si="11"/>
        <v>——</v>
      </c>
      <c r="I56" s="762">
        <v>0.06</v>
      </c>
      <c r="J56" s="1193">
        <f t="shared" si="12"/>
        <v>0</v>
      </c>
      <c r="K56" s="1193">
        <f t="shared" si="13"/>
        <v>0</v>
      </c>
      <c r="L56" s="1193">
        <v>0</v>
      </c>
      <c r="M56" s="1193">
        <f t="shared" si="14"/>
        <v>0</v>
      </c>
      <c r="N56" s="1193">
        <f t="shared" si="14"/>
        <v>0</v>
      </c>
      <c r="AA56" s="1251"/>
      <c r="AB56" s="1251"/>
      <c r="AC56" s="1251"/>
      <c r="AD56" s="1251"/>
      <c r="AE56" s="1251"/>
      <c r="AF56" s="1251"/>
      <c r="AG56" s="1251"/>
      <c r="AH56" s="1251"/>
      <c r="AI56" s="1251"/>
      <c r="AJ56" s="1251"/>
      <c r="AK56" s="1251"/>
    </row>
    <row r="57" spans="1:37" s="1250" customFormat="1" ht="15">
      <c r="A57" s="2293" t="s">
        <v>2720</v>
      </c>
      <c r="B57" s="2294">
        <f>1+E59</f>
        <v>1</v>
      </c>
      <c r="C57" s="752"/>
      <c r="D57" s="752"/>
      <c r="E57" s="753"/>
      <c r="F57" s="2296"/>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7" t="s">
        <v>2701</v>
      </c>
      <c r="B58" s="1503"/>
      <c r="C58" s="1503" t="s">
        <v>2703</v>
      </c>
      <c r="D58" s="1503" t="s">
        <v>2704</v>
      </c>
      <c r="E58" s="757" t="s">
        <v>2705</v>
      </c>
      <c r="F58" s="2298" t="s">
        <v>2721</v>
      </c>
      <c r="G58" s="1503" t="s">
        <v>754</v>
      </c>
      <c r="H58" s="2299" t="s">
        <v>2707</v>
      </c>
      <c r="I58" s="1503" t="s">
        <v>2708</v>
      </c>
      <c r="J58" s="559" t="s">
        <v>2357</v>
      </c>
      <c r="K58" s="559" t="s">
        <v>2358</v>
      </c>
      <c r="L58" s="559" t="s">
        <v>2359</v>
      </c>
      <c r="M58" s="559" t="s">
        <v>2360</v>
      </c>
      <c r="N58" s="559" t="s">
        <v>2361</v>
      </c>
      <c r="AA58" s="1251"/>
      <c r="AB58" s="1251"/>
      <c r="AC58" s="1251"/>
      <c r="AD58" s="1251"/>
      <c r="AE58" s="1251"/>
      <c r="AF58" s="1251"/>
      <c r="AG58" s="1251"/>
      <c r="AH58" s="1251"/>
      <c r="AI58" s="1251"/>
      <c r="AJ58" s="1251"/>
      <c r="AK58" s="1251"/>
    </row>
    <row r="59" spans="1:37" s="1250" customFormat="1" ht="38.25">
      <c r="A59" s="2297" t="s">
        <v>2722</v>
      </c>
      <c r="B59" s="2300" t="str">
        <f>估价对象房地状况!C17</f>
        <v>估价对象位于XX商圈，周边办公楼项目较多，入驻率高，办公集聚程度较好</v>
      </c>
      <c r="C59" s="2202"/>
      <c r="D59" s="1194">
        <f t="shared" ref="D59:D67" si="15">SUMIF($J$58:$N$58,C59,J59:N59)</f>
        <v>0</v>
      </c>
      <c r="E59" s="759">
        <f>ROUND(SUM(D59:D67),4)</f>
        <v>0</v>
      </c>
      <c r="F59" s="1968"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51">
      <c r="A60" s="2297" t="s">
        <v>2710</v>
      </c>
      <c r="B60" s="2301" t="str">
        <f>估价对象房地状况!C18</f>
        <v>估价对象周边道路状况、公共交通通达情况、停车便捷程度，综合评价交通便捷度较好</v>
      </c>
      <c r="C60" s="2202"/>
      <c r="D60" s="1194">
        <f t="shared" si="15"/>
        <v>0</v>
      </c>
      <c r="E60" s="760"/>
      <c r="F60" s="1968"/>
      <c r="G60" s="1192"/>
      <c r="H60" s="1196" t="str">
        <f t="shared" si="16"/>
        <v>——</v>
      </c>
      <c r="I60" s="758">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7" t="s">
        <v>2711</v>
      </c>
      <c r="B61" s="2301">
        <f>估价对象房地状况!C19</f>
        <v>0</v>
      </c>
      <c r="C61" s="2202"/>
      <c r="D61" s="1194">
        <f t="shared" si="15"/>
        <v>0</v>
      </c>
      <c r="E61" s="760"/>
      <c r="F61" s="1968"/>
      <c r="G61" s="1192"/>
      <c r="H61" s="1196" t="str">
        <f t="shared" si="16"/>
        <v>——</v>
      </c>
      <c r="I61" s="758">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7" t="s">
        <v>2712</v>
      </c>
      <c r="B62" s="2302" t="s">
        <v>2713</v>
      </c>
      <c r="C62" s="2202"/>
      <c r="D62" s="1194">
        <f t="shared" si="15"/>
        <v>0</v>
      </c>
      <c r="E62" s="760"/>
      <c r="F62" s="1968"/>
      <c r="G62" s="1192"/>
      <c r="H62" s="1196" t="str">
        <f t="shared" si="16"/>
        <v>——</v>
      </c>
      <c r="I62" s="758">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7" t="s">
        <v>2714</v>
      </c>
      <c r="B63" s="2301">
        <f>估价对象房地状况!C24</f>
        <v>0</v>
      </c>
      <c r="C63" s="2202"/>
      <c r="D63" s="1194">
        <f t="shared" si="15"/>
        <v>0</v>
      </c>
      <c r="E63" s="760"/>
      <c r="F63" s="1968"/>
      <c r="G63" s="1192"/>
      <c r="H63" s="1196" t="str">
        <f t="shared" si="16"/>
        <v>——</v>
      </c>
      <c r="I63" s="758">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7" t="s">
        <v>2715</v>
      </c>
      <c r="B64" s="2303" t="s">
        <v>2716</v>
      </c>
      <c r="C64" s="2202"/>
      <c r="D64" s="1194">
        <f t="shared" si="15"/>
        <v>0</v>
      </c>
      <c r="E64" s="760"/>
      <c r="F64" s="1968"/>
      <c r="G64" s="1192"/>
      <c r="H64" s="1196" t="str">
        <f t="shared" si="16"/>
        <v>——</v>
      </c>
      <c r="I64" s="758">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5.5">
      <c r="A65" s="2297" t="s">
        <v>2717</v>
      </c>
      <c r="B65" s="1464" t="str">
        <f>估价对象房地状况!C21</f>
        <v>估价对象所在区域公共配套设施齐备情况</v>
      </c>
      <c r="C65" s="2202"/>
      <c r="D65" s="1194">
        <f t="shared" si="15"/>
        <v>0</v>
      </c>
      <c r="E65" s="760"/>
      <c r="F65" s="1968"/>
      <c r="G65" s="1192"/>
      <c r="H65" s="1196" t="str">
        <f t="shared" si="16"/>
        <v>——</v>
      </c>
      <c r="I65" s="758">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5.5">
      <c r="A66" s="2297" t="s">
        <v>2718</v>
      </c>
      <c r="B66" s="1464" t="str">
        <f>估价对象房地状况!C22</f>
        <v>估价对象所在区域基础设施水平</v>
      </c>
      <c r="C66" s="2202"/>
      <c r="D66" s="1194">
        <f t="shared" si="15"/>
        <v>0</v>
      </c>
      <c r="E66" s="760"/>
      <c r="F66" s="1968"/>
      <c r="G66" s="1192"/>
      <c r="H66" s="1196" t="str">
        <f t="shared" si="16"/>
        <v>——</v>
      </c>
      <c r="I66" s="758">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39" thickBot="1">
      <c r="A67" s="2305" t="s">
        <v>2719</v>
      </c>
      <c r="B67" s="2307" t="str">
        <f>估价对象房地状况!C20</f>
        <v>区域自然环境：；人文环境；综合评价环境状况一般</v>
      </c>
      <c r="C67" s="2202"/>
      <c r="D67" s="1194">
        <f t="shared" si="15"/>
        <v>0</v>
      </c>
      <c r="E67" s="763"/>
      <c r="F67" s="1968"/>
      <c r="G67" s="1192"/>
      <c r="H67" s="1196" t="str">
        <f t="shared" si="16"/>
        <v>——</v>
      </c>
      <c r="I67" s="762">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3" t="s">
        <v>2723</v>
      </c>
      <c r="B68" s="2294">
        <f>1+E70</f>
        <v>1</v>
      </c>
      <c r="C68" s="752"/>
      <c r="D68" s="752"/>
      <c r="E68" s="753"/>
      <c r="F68" s="2296"/>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7" t="s">
        <v>2701</v>
      </c>
      <c r="B69" s="1503"/>
      <c r="C69" s="1503" t="s">
        <v>2703</v>
      </c>
      <c r="D69" s="1503" t="s">
        <v>2704</v>
      </c>
      <c r="E69" s="757" t="s">
        <v>2705</v>
      </c>
      <c r="F69" s="2298" t="s">
        <v>2721</v>
      </c>
      <c r="G69" s="1503" t="s">
        <v>754</v>
      </c>
      <c r="H69" s="2299" t="s">
        <v>2707</v>
      </c>
      <c r="I69" s="1503" t="s">
        <v>2708</v>
      </c>
      <c r="J69" s="559" t="s">
        <v>2357</v>
      </c>
      <c r="K69" s="559" t="s">
        <v>2358</v>
      </c>
      <c r="L69" s="559" t="s">
        <v>2359</v>
      </c>
      <c r="M69" s="559" t="s">
        <v>2360</v>
      </c>
      <c r="N69" s="559" t="s">
        <v>2361</v>
      </c>
      <c r="AA69" s="1251"/>
      <c r="AB69" s="1251"/>
      <c r="AC69" s="1251"/>
      <c r="AD69" s="1251"/>
      <c r="AE69" s="1251"/>
      <c r="AF69" s="1251"/>
      <c r="AG69" s="1251"/>
      <c r="AH69" s="1251"/>
      <c r="AI69" s="1251"/>
      <c r="AJ69" s="1251"/>
      <c r="AK69" s="1251"/>
    </row>
    <row r="70" spans="1:37" s="1250" customFormat="1" ht="51">
      <c r="A70" s="2297" t="s">
        <v>2724</v>
      </c>
      <c r="B70" s="2300" t="str">
        <f>估价对象房地状况!C15</f>
        <v>估价对象周边居住用地比例、居住小区规模和社区发展完善程度，综合评价居住社区成熟度一般</v>
      </c>
      <c r="C70" s="2202"/>
      <c r="D70" s="1194">
        <f t="shared" ref="D70:D78" si="20">SUMIF($J$69:$N$69,C70,J70:N70)</f>
        <v>0</v>
      </c>
      <c r="E70" s="759">
        <f>ROUND(SUM(D70:D78),4)</f>
        <v>0</v>
      </c>
      <c r="F70" s="1968"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51">
      <c r="A71" s="2297" t="s">
        <v>2710</v>
      </c>
      <c r="B71" s="2301" t="str">
        <f>估价对象房地状况!C18</f>
        <v>估价对象周边道路状况、公共交通通达情况、停车便捷程度，综合评价交通便捷度较好</v>
      </c>
      <c r="C71" s="2202"/>
      <c r="D71" s="1194">
        <f t="shared" si="20"/>
        <v>0</v>
      </c>
      <c r="E71" s="764"/>
      <c r="F71" s="1968"/>
      <c r="G71" s="1192"/>
      <c r="H71" s="1196" t="str">
        <f t="shared" si="21"/>
        <v>——</v>
      </c>
      <c r="I71" s="758">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7" t="s">
        <v>2711</v>
      </c>
      <c r="B72" s="2301">
        <f>估价对象房地状况!C19</f>
        <v>0</v>
      </c>
      <c r="C72" s="2202"/>
      <c r="D72" s="1194">
        <f t="shared" si="20"/>
        <v>0</v>
      </c>
      <c r="E72" s="764"/>
      <c r="F72" s="1968"/>
      <c r="G72" s="1192"/>
      <c r="H72" s="1196" t="str">
        <f t="shared" si="21"/>
        <v>——</v>
      </c>
      <c r="I72" s="758">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7" t="s">
        <v>2725</v>
      </c>
      <c r="B73" s="2301">
        <f>估价对象房地状况!C24</f>
        <v>0</v>
      </c>
      <c r="C73" s="2202"/>
      <c r="D73" s="1194">
        <f t="shared" si="20"/>
        <v>0</v>
      </c>
      <c r="E73" s="764"/>
      <c r="F73" s="1968"/>
      <c r="G73" s="1192"/>
      <c r="H73" s="1196" t="str">
        <f t="shared" si="21"/>
        <v>——</v>
      </c>
      <c r="I73" s="758">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5.5">
      <c r="A74" s="2297" t="s">
        <v>2717</v>
      </c>
      <c r="B74" s="1464" t="str">
        <f>估价对象房地状况!C21</f>
        <v>估价对象所在区域公共配套设施齐备情况</v>
      </c>
      <c r="C74" s="2202"/>
      <c r="D74" s="1194">
        <f t="shared" si="20"/>
        <v>0</v>
      </c>
      <c r="E74" s="764"/>
      <c r="F74" s="1968"/>
      <c r="G74" s="1192"/>
      <c r="H74" s="1196" t="str">
        <f t="shared" si="21"/>
        <v>——</v>
      </c>
      <c r="I74" s="758">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5.5">
      <c r="A75" s="2297" t="s">
        <v>2718</v>
      </c>
      <c r="B75" s="1464" t="str">
        <f>估价对象房地状况!C22</f>
        <v>估价对象所在区域基础设施水平</v>
      </c>
      <c r="C75" s="2202"/>
      <c r="D75" s="1194">
        <f t="shared" si="20"/>
        <v>0</v>
      </c>
      <c r="E75" s="764"/>
      <c r="F75" s="1968"/>
      <c r="G75" s="1192"/>
      <c r="H75" s="1196" t="str">
        <f t="shared" si="21"/>
        <v>——</v>
      </c>
      <c r="I75" s="758">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51" customFormat="1" ht="24">
      <c r="A76" s="2297" t="s">
        <v>2715</v>
      </c>
      <c r="B76" s="2303" t="s">
        <v>2716</v>
      </c>
      <c r="C76" s="2202"/>
      <c r="D76" s="1194">
        <f t="shared" si="20"/>
        <v>0</v>
      </c>
      <c r="E76" s="764"/>
      <c r="F76" s="1968"/>
      <c r="G76" s="1192"/>
      <c r="H76" s="1196" t="str">
        <f t="shared" si="21"/>
        <v>——</v>
      </c>
      <c r="I76" s="758">
        <v>0.05</v>
      </c>
      <c r="J76" s="1193">
        <f t="shared" si="22"/>
        <v>0</v>
      </c>
      <c r="K76" s="1193">
        <f t="shared" si="23"/>
        <v>0</v>
      </c>
      <c r="L76" s="1193">
        <v>0</v>
      </c>
      <c r="M76" s="1193">
        <f t="shared" si="24"/>
        <v>0</v>
      </c>
      <c r="N76" s="1193">
        <f t="shared" si="24"/>
        <v>0</v>
      </c>
      <c r="AA76" s="2308"/>
      <c r="AB76" s="1251"/>
      <c r="AC76" s="1251"/>
      <c r="AD76" s="1251"/>
      <c r="AE76" s="1251"/>
      <c r="AF76" s="1251"/>
      <c r="AG76" s="1251"/>
      <c r="AH76" s="2308"/>
      <c r="AI76" s="2308"/>
      <c r="AJ76" s="2308"/>
      <c r="AK76" s="2308"/>
    </row>
    <row r="77" spans="1:37" ht="38.25">
      <c r="A77" s="2297" t="s">
        <v>2719</v>
      </c>
      <c r="B77" s="2300" t="str">
        <f>估价对象房地状况!C20</f>
        <v>区域自然环境：；人文环境；综合评价环境状况一般</v>
      </c>
      <c r="C77" s="2202"/>
      <c r="D77" s="1194">
        <f t="shared" si="20"/>
        <v>0</v>
      </c>
      <c r="E77" s="764"/>
      <c r="F77" s="1968"/>
      <c r="G77" s="1192"/>
      <c r="H77" s="1196" t="str">
        <f t="shared" si="21"/>
        <v>——</v>
      </c>
      <c r="I77" s="758">
        <v>0.15</v>
      </c>
      <c r="J77" s="1193">
        <f t="shared" si="22"/>
        <v>0</v>
      </c>
      <c r="K77" s="1193">
        <f t="shared" si="23"/>
        <v>0</v>
      </c>
      <c r="L77" s="1193">
        <v>0</v>
      </c>
      <c r="M77" s="1193">
        <f t="shared" si="24"/>
        <v>0</v>
      </c>
      <c r="N77" s="1193">
        <f t="shared" si="24"/>
        <v>0</v>
      </c>
      <c r="Z77" s="2152"/>
      <c r="AA77" s="2218"/>
      <c r="AG77" s="1252"/>
      <c r="AK77" s="2218"/>
    </row>
    <row r="78" spans="1:37" ht="24.75" thickBot="1">
      <c r="A78" s="2305" t="s">
        <v>2726</v>
      </c>
      <c r="B78" s="2309"/>
      <c r="C78" s="2202"/>
      <c r="D78" s="1194">
        <f t="shared" si="20"/>
        <v>0</v>
      </c>
      <c r="E78" s="765"/>
      <c r="F78" s="1968"/>
      <c r="G78" s="1192"/>
      <c r="H78" s="1196" t="str">
        <f t="shared" si="21"/>
        <v>——</v>
      </c>
      <c r="I78" s="762">
        <v>0.04</v>
      </c>
      <c r="J78" s="1193">
        <f t="shared" si="22"/>
        <v>0</v>
      </c>
      <c r="K78" s="1193">
        <f t="shared" si="23"/>
        <v>0</v>
      </c>
      <c r="L78" s="1193">
        <v>0</v>
      </c>
      <c r="M78" s="1193">
        <f t="shared" si="24"/>
        <v>0</v>
      </c>
      <c r="N78" s="1193">
        <f t="shared" si="24"/>
        <v>0</v>
      </c>
      <c r="Z78" s="2152"/>
      <c r="AA78" s="2218"/>
      <c r="AG78" s="1252"/>
      <c r="AK78" s="2218"/>
    </row>
    <row r="79" spans="1:37" ht="15">
      <c r="A79" s="2293" t="s">
        <v>2727</v>
      </c>
      <c r="B79" s="2294">
        <f>1+E81</f>
        <v>1</v>
      </c>
      <c r="C79" s="752"/>
      <c r="D79" s="752"/>
      <c r="E79" s="753"/>
      <c r="F79" s="2296"/>
      <c r="G79" s="6"/>
      <c r="H79" s="6"/>
      <c r="I79" s="6"/>
      <c r="J79" s="7"/>
      <c r="K79" s="7"/>
      <c r="L79" s="7"/>
      <c r="M79" s="7"/>
      <c r="N79" s="7"/>
      <c r="Z79" s="2152"/>
      <c r="AA79" s="2218"/>
      <c r="AG79" s="1252"/>
      <c r="AK79" s="2218"/>
    </row>
    <row r="80" spans="1:37" ht="24.75">
      <c r="A80" s="2297" t="s">
        <v>2701</v>
      </c>
      <c r="B80" s="1503"/>
      <c r="C80" s="1503" t="s">
        <v>2703</v>
      </c>
      <c r="D80" s="1503" t="s">
        <v>2704</v>
      </c>
      <c r="E80" s="757" t="s">
        <v>2705</v>
      </c>
      <c r="F80" s="2298" t="s">
        <v>2721</v>
      </c>
      <c r="G80" s="1503" t="s">
        <v>754</v>
      </c>
      <c r="H80" s="2299" t="s">
        <v>2707</v>
      </c>
      <c r="I80" s="1503" t="s">
        <v>2708</v>
      </c>
      <c r="J80" s="559" t="s">
        <v>2357</v>
      </c>
      <c r="K80" s="559" t="s">
        <v>2358</v>
      </c>
      <c r="L80" s="559" t="s">
        <v>2359</v>
      </c>
      <c r="M80" s="559" t="s">
        <v>2360</v>
      </c>
      <c r="N80" s="559" t="s">
        <v>2361</v>
      </c>
      <c r="Z80" s="2152"/>
      <c r="AA80" s="2218"/>
      <c r="AG80" s="1252"/>
      <c r="AK80" s="2218"/>
    </row>
    <row r="81" spans="1:37" ht="38.25">
      <c r="A81" s="2297" t="s">
        <v>2728</v>
      </c>
      <c r="B81" s="2301" t="str">
        <f>估价对象房地状况!G15</f>
        <v>估价对象位于XX开发区，园区建设成熟度XX，产业集聚程度XX</v>
      </c>
      <c r="C81" s="2202"/>
      <c r="D81" s="1194">
        <f t="shared" ref="D81:D88" si="25">SUMIF($J$80:$N$80,C81,J81:N81)</f>
        <v>0</v>
      </c>
      <c r="E81" s="759">
        <f>ROUND(SUM(D81:D88),4)</f>
        <v>0</v>
      </c>
      <c r="F81" s="1968"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52"/>
      <c r="AA81" s="2218"/>
      <c r="AG81" s="1252"/>
      <c r="AK81" s="2218"/>
    </row>
    <row r="82" spans="1:37" ht="51">
      <c r="A82" s="2297" t="s">
        <v>2710</v>
      </c>
      <c r="B82" s="2301" t="str">
        <f>估价对象房地状况!G16</f>
        <v>估价对象周边道路状况、公共交通通达情况、停车便捷程度，综合评价交通便捷度较好</v>
      </c>
      <c r="C82" s="2202"/>
      <c r="D82" s="1194">
        <f t="shared" si="25"/>
        <v>0</v>
      </c>
      <c r="E82" s="764"/>
      <c r="F82" s="1968"/>
      <c r="G82" s="1192"/>
      <c r="H82" s="1196" t="str">
        <f t="shared" si="26"/>
        <v>——</v>
      </c>
      <c r="I82" s="758">
        <v>0.33</v>
      </c>
      <c r="J82" s="1193">
        <f t="shared" si="27"/>
        <v>0</v>
      </c>
      <c r="K82" s="1193">
        <f t="shared" si="28"/>
        <v>0</v>
      </c>
      <c r="L82" s="1193">
        <v>0</v>
      </c>
      <c r="M82" s="1193">
        <f t="shared" si="29"/>
        <v>0</v>
      </c>
      <c r="N82" s="1193">
        <f t="shared" si="29"/>
        <v>0</v>
      </c>
      <c r="Z82" s="2152"/>
      <c r="AA82" s="2218"/>
      <c r="AG82" s="1252"/>
      <c r="AK82" s="2218"/>
    </row>
    <row r="83" spans="1:37" ht="24">
      <c r="A83" s="2297" t="s">
        <v>2711</v>
      </c>
      <c r="B83" s="2301">
        <f>估价对象房地状况!G17</f>
        <v>0</v>
      </c>
      <c r="C83" s="2202"/>
      <c r="D83" s="1194">
        <f t="shared" si="25"/>
        <v>0</v>
      </c>
      <c r="E83" s="764"/>
      <c r="F83" s="1968"/>
      <c r="G83" s="1192"/>
      <c r="H83" s="1196" t="str">
        <f t="shared" si="26"/>
        <v>——</v>
      </c>
      <c r="I83" s="758">
        <v>0.05</v>
      </c>
      <c r="J83" s="1193">
        <f t="shared" si="27"/>
        <v>0</v>
      </c>
      <c r="K83" s="1193">
        <f t="shared" si="28"/>
        <v>0</v>
      </c>
      <c r="L83" s="1193">
        <v>0</v>
      </c>
      <c r="M83" s="1193">
        <f t="shared" si="29"/>
        <v>0</v>
      </c>
      <c r="N83" s="1193">
        <f t="shared" si="29"/>
        <v>0</v>
      </c>
      <c r="Z83" s="2152"/>
      <c r="AA83" s="2218"/>
      <c r="AG83" s="1252"/>
      <c r="AK83" s="2218"/>
    </row>
    <row r="84" spans="1:37" ht="14.25">
      <c r="A84" s="2297" t="s">
        <v>2725</v>
      </c>
      <c r="B84" s="2301">
        <f>估价对象房地状况!G22</f>
        <v>0</v>
      </c>
      <c r="C84" s="2202"/>
      <c r="D84" s="1194">
        <f t="shared" si="25"/>
        <v>0</v>
      </c>
      <c r="E84" s="764"/>
      <c r="F84" s="1968"/>
      <c r="G84" s="1192"/>
      <c r="H84" s="1196" t="str">
        <f t="shared" si="26"/>
        <v>——</v>
      </c>
      <c r="I84" s="758">
        <v>0.04</v>
      </c>
      <c r="J84" s="1193">
        <f t="shared" si="27"/>
        <v>0</v>
      </c>
      <c r="K84" s="1193">
        <f t="shared" si="28"/>
        <v>0</v>
      </c>
      <c r="L84" s="1193">
        <v>0</v>
      </c>
      <c r="M84" s="1193">
        <f t="shared" si="29"/>
        <v>0</v>
      </c>
      <c r="N84" s="1193">
        <f t="shared" si="29"/>
        <v>0</v>
      </c>
      <c r="Z84" s="2152"/>
      <c r="AA84" s="2218"/>
      <c r="AG84" s="1252"/>
      <c r="AK84" s="2218"/>
    </row>
    <row r="85" spans="1:37" ht="25.5">
      <c r="A85" s="2297" t="s">
        <v>2717</v>
      </c>
      <c r="B85" s="1464" t="str">
        <f>估价对象房地状况!G19</f>
        <v>估价对象所在区域公共配套设施齐备情况</v>
      </c>
      <c r="C85" s="2202"/>
      <c r="D85" s="1194">
        <f t="shared" si="25"/>
        <v>0</v>
      </c>
      <c r="E85" s="764"/>
      <c r="F85" s="1968"/>
      <c r="G85" s="1192"/>
      <c r="H85" s="1196" t="str">
        <f t="shared" si="26"/>
        <v>——</v>
      </c>
      <c r="I85" s="758">
        <v>0.06</v>
      </c>
      <c r="J85" s="1193">
        <f t="shared" si="27"/>
        <v>0</v>
      </c>
      <c r="K85" s="1193">
        <f t="shared" si="28"/>
        <v>0</v>
      </c>
      <c r="L85" s="1193">
        <v>0</v>
      </c>
      <c r="M85" s="1193">
        <f t="shared" si="29"/>
        <v>0</v>
      </c>
      <c r="N85" s="1193">
        <f t="shared" si="29"/>
        <v>0</v>
      </c>
      <c r="Z85" s="2152"/>
      <c r="AA85" s="2218"/>
      <c r="AG85" s="1252"/>
      <c r="AK85" s="2218"/>
    </row>
    <row r="86" spans="1:37" ht="25.5">
      <c r="A86" s="2297" t="s">
        <v>2718</v>
      </c>
      <c r="B86" s="1464" t="str">
        <f>估价对象房地状况!G20</f>
        <v>估价对象所在区域基础设施水平</v>
      </c>
      <c r="C86" s="2202"/>
      <c r="D86" s="1194">
        <f t="shared" si="25"/>
        <v>0</v>
      </c>
      <c r="E86" s="764"/>
      <c r="F86" s="1968"/>
      <c r="G86" s="1192"/>
      <c r="H86" s="1196" t="str">
        <f t="shared" si="26"/>
        <v>——</v>
      </c>
      <c r="I86" s="758">
        <v>0.15</v>
      </c>
      <c r="J86" s="1193">
        <f t="shared" si="27"/>
        <v>0</v>
      </c>
      <c r="K86" s="1193">
        <f t="shared" si="28"/>
        <v>0</v>
      </c>
      <c r="L86" s="1193">
        <v>0</v>
      </c>
      <c r="M86" s="1193">
        <f t="shared" si="29"/>
        <v>0</v>
      </c>
      <c r="N86" s="1193">
        <f t="shared" si="29"/>
        <v>0</v>
      </c>
      <c r="Z86" s="2152"/>
      <c r="AA86" s="2218"/>
      <c r="AG86" s="1252"/>
      <c r="AK86" s="2218"/>
    </row>
    <row r="87" spans="1:37" ht="24">
      <c r="A87" s="2297" t="s">
        <v>2715</v>
      </c>
      <c r="B87" s="2303" t="s">
        <v>2729</v>
      </c>
      <c r="C87" s="2202"/>
      <c r="D87" s="1194">
        <f t="shared" si="25"/>
        <v>0</v>
      </c>
      <c r="E87" s="764"/>
      <c r="F87" s="1968"/>
      <c r="G87" s="1192"/>
      <c r="H87" s="1196" t="str">
        <f t="shared" si="26"/>
        <v>——</v>
      </c>
      <c r="I87" s="758">
        <v>0.05</v>
      </c>
      <c r="J87" s="1193">
        <f t="shared" si="27"/>
        <v>0</v>
      </c>
      <c r="K87" s="1193">
        <f t="shared" si="28"/>
        <v>0</v>
      </c>
      <c r="L87" s="1193">
        <v>0</v>
      </c>
      <c r="M87" s="1193">
        <f t="shared" si="29"/>
        <v>0</v>
      </c>
      <c r="N87" s="1193">
        <f t="shared" si="29"/>
        <v>0</v>
      </c>
      <c r="Z87" s="2152"/>
      <c r="AA87" s="2218"/>
      <c r="AG87" s="1252"/>
      <c r="AK87" s="2218"/>
    </row>
    <row r="88" spans="1:37" ht="39" thickBot="1">
      <c r="A88" s="2305" t="s">
        <v>2730</v>
      </c>
      <c r="B88" s="2310" t="str">
        <f>估价对象房地状况!G18</f>
        <v>该园区内是否有污染型企业，绿化情况，卫生条件，整体环境状况判断</v>
      </c>
      <c r="C88" s="2202"/>
      <c r="D88" s="1194">
        <f t="shared" si="25"/>
        <v>0</v>
      </c>
      <c r="E88" s="765"/>
      <c r="F88" s="1968"/>
      <c r="G88" s="1192"/>
      <c r="H88" s="1196" t="str">
        <f t="shared" si="26"/>
        <v>——</v>
      </c>
      <c r="I88" s="762">
        <v>0.06</v>
      </c>
      <c r="J88" s="1193">
        <f t="shared" si="27"/>
        <v>0</v>
      </c>
      <c r="K88" s="1193">
        <f t="shared" si="28"/>
        <v>0</v>
      </c>
      <c r="L88" s="1193">
        <v>0</v>
      </c>
      <c r="M88" s="1193">
        <f t="shared" si="29"/>
        <v>0</v>
      </c>
      <c r="N88" s="1193">
        <f t="shared" si="29"/>
        <v>0</v>
      </c>
      <c r="Z88" s="2152"/>
      <c r="AA88" s="2218"/>
      <c r="AG88" s="1252"/>
      <c r="AK88" s="2218"/>
    </row>
    <row r="90" spans="1:37">
      <c r="A90" s="3501" t="s">
        <v>2731</v>
      </c>
      <c r="B90" s="3501"/>
      <c r="C90" s="3501"/>
      <c r="D90" s="3501"/>
      <c r="E90" s="3501"/>
      <c r="F90" s="3501"/>
      <c r="G90" s="3501"/>
      <c r="H90" s="3501"/>
      <c r="I90" s="3501"/>
      <c r="J90" s="3501"/>
      <c r="K90" s="2311"/>
      <c r="L90" s="2311"/>
      <c r="M90" s="2311"/>
      <c r="N90" s="2311"/>
    </row>
    <row r="91" spans="1:37">
      <c r="A91" s="3503" t="s">
        <v>2732</v>
      </c>
      <c r="B91" s="3503" t="s">
        <v>2733</v>
      </c>
      <c r="C91" s="2265" t="s">
        <v>2734</v>
      </c>
      <c r="D91" s="2266"/>
      <c r="E91" s="2266"/>
      <c r="F91" s="2266"/>
      <c r="G91" s="2266"/>
      <c r="H91" s="2266"/>
      <c r="I91" s="2266"/>
      <c r="J91" s="2312"/>
      <c r="K91" s="2313"/>
      <c r="L91" s="2313"/>
      <c r="M91" s="2313"/>
      <c r="N91" s="2313"/>
    </row>
    <row r="92" spans="1:37">
      <c r="A92" s="3503"/>
      <c r="B92" s="3503"/>
      <c r="C92" s="878" t="s">
        <v>2601</v>
      </c>
      <c r="D92" s="878" t="s">
        <v>2602</v>
      </c>
      <c r="E92" s="878" t="s">
        <v>2603</v>
      </c>
      <c r="F92" s="878" t="s">
        <v>2604</v>
      </c>
      <c r="G92" s="878" t="s">
        <v>2605</v>
      </c>
      <c r="H92" s="878" t="s">
        <v>2606</v>
      </c>
      <c r="I92" s="878" t="s">
        <v>2607</v>
      </c>
      <c r="J92" s="878" t="s">
        <v>2608</v>
      </c>
      <c r="K92" s="878" t="s">
        <v>2609</v>
      </c>
      <c r="L92" s="878" t="s">
        <v>2610</v>
      </c>
      <c r="M92" s="878" t="s">
        <v>2611</v>
      </c>
      <c r="N92" s="878" t="s">
        <v>2612</v>
      </c>
    </row>
    <row r="93" spans="1:37">
      <c r="A93" s="3504" t="s">
        <v>2735</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505"/>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505"/>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505"/>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505"/>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505"/>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505"/>
      <c r="B99" s="2314" t="s">
        <v>2617</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506"/>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504" t="s">
        <v>2736</v>
      </c>
      <c r="B101" s="2318" t="s">
        <v>2737</v>
      </c>
      <c r="C101" s="2319">
        <f>$G$3</f>
        <v>1.47</v>
      </c>
      <c r="D101" s="2319">
        <f t="shared" ref="D101:N101" si="31">$G$3</f>
        <v>1.47</v>
      </c>
      <c r="E101" s="2319">
        <f t="shared" si="31"/>
        <v>1.47</v>
      </c>
      <c r="F101" s="2319">
        <f t="shared" si="31"/>
        <v>1.47</v>
      </c>
      <c r="G101" s="2319">
        <f t="shared" si="31"/>
        <v>1.47</v>
      </c>
      <c r="H101" s="2319">
        <f t="shared" si="31"/>
        <v>1.47</v>
      </c>
      <c r="I101" s="2319">
        <f t="shared" si="31"/>
        <v>1.47</v>
      </c>
      <c r="J101" s="2319">
        <f t="shared" si="31"/>
        <v>1.47</v>
      </c>
      <c r="K101" s="2319">
        <f t="shared" si="31"/>
        <v>1.47</v>
      </c>
      <c r="L101" s="2319">
        <f t="shared" si="31"/>
        <v>1.47</v>
      </c>
      <c r="M101" s="2319">
        <f t="shared" si="31"/>
        <v>1.47</v>
      </c>
      <c r="N101" s="2319">
        <f t="shared" si="31"/>
        <v>1.47</v>
      </c>
    </row>
    <row r="102" spans="1:14">
      <c r="A102" s="3505"/>
      <c r="B102" s="2314">
        <v>1</v>
      </c>
      <c r="C102" s="2315">
        <f>1.9362/C101</f>
        <v>1.3171428571428572</v>
      </c>
      <c r="D102" s="2315">
        <f>1.9362/D101</f>
        <v>1.3171428571428572</v>
      </c>
      <c r="E102" s="2315">
        <f>1.8629/E101</f>
        <v>1.2672789115646259</v>
      </c>
      <c r="F102" s="2315">
        <f>1.8629/F101</f>
        <v>1.2672789115646259</v>
      </c>
      <c r="G102" s="2315">
        <f>1.8629/G101</f>
        <v>1.2672789115646259</v>
      </c>
      <c r="H102" s="2315">
        <f>1.8629/H101</f>
        <v>1.2672789115646259</v>
      </c>
      <c r="I102" s="2315">
        <f>1.8629/I101</f>
        <v>1.2672789115646259</v>
      </c>
      <c r="J102" s="2315">
        <f>1.942/J101</f>
        <v>1.3210884353741497</v>
      </c>
      <c r="K102" s="2315">
        <f>1.942/K101</f>
        <v>1.3210884353741497</v>
      </c>
      <c r="L102" s="2315">
        <f>1.942/L101</f>
        <v>1.3210884353741497</v>
      </c>
      <c r="M102" s="2315">
        <f>1.942/M101</f>
        <v>1.3210884353741497</v>
      </c>
      <c r="N102" s="2315">
        <f>1.942/N101</f>
        <v>1.3210884353741497</v>
      </c>
    </row>
    <row r="103" spans="1:14">
      <c r="A103" s="3505"/>
      <c r="B103" s="2314">
        <v>2</v>
      </c>
      <c r="C103" s="2315">
        <f>1.4198/C101</f>
        <v>0.96585034013605442</v>
      </c>
      <c r="D103" s="2315">
        <f>1.4198/D101</f>
        <v>0.96585034013605442</v>
      </c>
      <c r="E103" s="2315">
        <f>1.3372/E101</f>
        <v>0.90965986394557818</v>
      </c>
      <c r="F103" s="2315">
        <f>1.3372/F101</f>
        <v>0.90965986394557818</v>
      </c>
      <c r="G103" s="2315">
        <f>1.3372/G101</f>
        <v>0.90965986394557818</v>
      </c>
      <c r="H103" s="2315">
        <f>1.3372/H101</f>
        <v>0.90965986394557818</v>
      </c>
      <c r="I103" s="2315">
        <f>1.3372/I101</f>
        <v>0.90965986394557818</v>
      </c>
      <c r="J103" s="2315">
        <f>1.2799/J101</f>
        <v>0.87068027210884358</v>
      </c>
      <c r="K103" s="2315">
        <f>1.2799/K101</f>
        <v>0.87068027210884358</v>
      </c>
      <c r="L103" s="2315">
        <f>1.2799/L101</f>
        <v>0.87068027210884358</v>
      </c>
      <c r="M103" s="2315">
        <f>1.2799/M101</f>
        <v>0.87068027210884358</v>
      </c>
      <c r="N103" s="2315">
        <f>1.2799/N101</f>
        <v>0.87068027210884358</v>
      </c>
    </row>
    <row r="104" spans="1:14">
      <c r="A104" s="3505"/>
      <c r="B104" s="2314">
        <v>3</v>
      </c>
      <c r="C104" s="2315">
        <f>1.1594/C101</f>
        <v>0.78870748299319726</v>
      </c>
      <c r="D104" s="2315">
        <f>1.1594/D101</f>
        <v>0.78870748299319726</v>
      </c>
      <c r="E104" s="2315">
        <f>1.0788/E101</f>
        <v>0.73387755102040819</v>
      </c>
      <c r="F104" s="2315">
        <f>1.0788/F101</f>
        <v>0.73387755102040819</v>
      </c>
      <c r="G104" s="2315">
        <f>1.0788/G101</f>
        <v>0.73387755102040819</v>
      </c>
      <c r="H104" s="2315">
        <f>1.0788/H101</f>
        <v>0.73387755102040819</v>
      </c>
      <c r="I104" s="2315">
        <f>1.0788/I101</f>
        <v>0.73387755102040819</v>
      </c>
      <c r="J104" s="2315">
        <f>1.0072/J101</f>
        <v>0.68517006802721092</v>
      </c>
      <c r="K104" s="2315">
        <f>1.0072/K101</f>
        <v>0.68517006802721092</v>
      </c>
      <c r="L104" s="2315">
        <f>1.0072/L101</f>
        <v>0.68517006802721092</v>
      </c>
      <c r="M104" s="2315">
        <f>1.0072/M101</f>
        <v>0.68517006802721092</v>
      </c>
      <c r="N104" s="2315">
        <f>1.0072/N101</f>
        <v>0.68517006802721092</v>
      </c>
    </row>
    <row r="105" spans="1:14">
      <c r="A105" s="3505"/>
      <c r="B105" s="2314">
        <v>4</v>
      </c>
      <c r="C105" s="2315">
        <f>0.9622/C101</f>
        <v>0.6545578231292517</v>
      </c>
      <c r="D105" s="2315">
        <f>0.9622/D101</f>
        <v>0.6545578231292517</v>
      </c>
      <c r="E105" s="2315">
        <f>0.8656/E101</f>
        <v>0.58884353741496598</v>
      </c>
      <c r="F105" s="2315">
        <f>0.8656/F101</f>
        <v>0.58884353741496598</v>
      </c>
      <c r="G105" s="2315">
        <f>0.8656/G101</f>
        <v>0.58884353741496598</v>
      </c>
      <c r="H105" s="2315">
        <f>0.8656/H101</f>
        <v>0.58884353741496598</v>
      </c>
      <c r="I105" s="2315">
        <f>0.8656/I101</f>
        <v>0.58884353741496598</v>
      </c>
      <c r="J105" s="2315">
        <f>0.7525/J101</f>
        <v>0.51190476190476186</v>
      </c>
      <c r="K105" s="2315">
        <f>0.7525/K101</f>
        <v>0.51190476190476186</v>
      </c>
      <c r="L105" s="2315">
        <f>0.7525/L101</f>
        <v>0.51190476190476186</v>
      </c>
      <c r="M105" s="2315">
        <f>0.7525/M101</f>
        <v>0.51190476190476186</v>
      </c>
      <c r="N105" s="2315">
        <f>0.7525/N101</f>
        <v>0.51190476190476186</v>
      </c>
    </row>
    <row r="106" spans="1:14">
      <c r="A106" s="3505"/>
      <c r="B106" s="2314">
        <v>5</v>
      </c>
      <c r="C106" s="2315">
        <f>0.8417/C101</f>
        <v>0.5725850340136055</v>
      </c>
      <c r="D106" s="2315">
        <f>0.8417/D101</f>
        <v>0.5725850340136055</v>
      </c>
      <c r="E106" s="2315">
        <f>0.7371/E101</f>
        <v>0.50142857142857145</v>
      </c>
      <c r="F106" s="2315">
        <f>0.7371/F101</f>
        <v>0.50142857142857145</v>
      </c>
      <c r="G106" s="2315">
        <f>0.7371/G101</f>
        <v>0.50142857142857145</v>
      </c>
      <c r="H106" s="2315">
        <f>0.7371/H101</f>
        <v>0.50142857142857145</v>
      </c>
      <c r="I106" s="2315">
        <f>0.7371/I101</f>
        <v>0.50142857142857145</v>
      </c>
      <c r="J106" s="2315">
        <f>0.5659/J101</f>
        <v>0.38496598639455781</v>
      </c>
      <c r="K106" s="2315">
        <f>0.5659/K101</f>
        <v>0.38496598639455781</v>
      </c>
      <c r="L106" s="2315">
        <f>0.5659/L101</f>
        <v>0.38496598639455781</v>
      </c>
      <c r="M106" s="2315">
        <f>0.5659/M101</f>
        <v>0.38496598639455781</v>
      </c>
      <c r="N106" s="2315">
        <f>0.5659/N101</f>
        <v>0.38496598639455781</v>
      </c>
    </row>
    <row r="107" spans="1:14">
      <c r="A107" s="3505"/>
      <c r="B107" s="2314">
        <v>6</v>
      </c>
      <c r="C107" s="2315">
        <f>0.7608/C101</f>
        <v>0.51755102040816325</v>
      </c>
      <c r="D107" s="2315">
        <f>0.7608/D101</f>
        <v>0.51755102040816325</v>
      </c>
      <c r="E107" s="2315">
        <f>0.6482/E101</f>
        <v>0.44095238095238098</v>
      </c>
      <c r="F107" s="2315">
        <f>0.6482/F101</f>
        <v>0.44095238095238098</v>
      </c>
      <c r="G107" s="2315">
        <f>0.6482/G101</f>
        <v>0.44095238095238098</v>
      </c>
      <c r="H107" s="2315">
        <f>0.6482/H101</f>
        <v>0.44095238095238098</v>
      </c>
      <c r="I107" s="2315">
        <f>0.6482/I101</f>
        <v>0.44095238095238098</v>
      </c>
      <c r="J107" s="2315">
        <f>0.4525/J101</f>
        <v>0.30782312925170069</v>
      </c>
      <c r="K107" s="2315">
        <f>0.4525/K101</f>
        <v>0.30782312925170069</v>
      </c>
      <c r="L107" s="2315">
        <f>0.4525/L101</f>
        <v>0.30782312925170069</v>
      </c>
      <c r="M107" s="2315">
        <f>0.4525/M101</f>
        <v>0.30782312925170069</v>
      </c>
      <c r="N107" s="2315">
        <f>0.4525/N101</f>
        <v>0.30782312925170069</v>
      </c>
    </row>
    <row r="108" spans="1:14">
      <c r="A108" s="3505"/>
      <c r="B108" s="3507" t="s">
        <v>2738</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506"/>
      <c r="B109" s="3508"/>
      <c r="C109" s="2317">
        <f>(-0.163*(C108^2)-0.59*C108+7617)*(10^(-4))/C101</f>
        <v>0.51816326530612244</v>
      </c>
      <c r="D109" s="2317">
        <f>(-0.163*(D108^2)-0.59*D108+7617)*(10^(-4))/D101</f>
        <v>0.51816326530612244</v>
      </c>
      <c r="E109" s="2317">
        <f>(-0.161*(E108^2)-7.509*E108+6533)*(10^(-4))/E101</f>
        <v>0.44442176870748301</v>
      </c>
      <c r="F109" s="2317">
        <f>(-0.161*(F108^2)-7.509*F108+6533)*(10^(-4))/F101</f>
        <v>0.44442176870748301</v>
      </c>
      <c r="G109" s="2317">
        <f>(-0.161*(G108^2)-7.509*G108+6533)*(10^(-4))/G101</f>
        <v>0.44442176870748301</v>
      </c>
      <c r="H109" s="2317">
        <f>(-0.161*(H108^2)-7.509*H108+6533)*(10^(-4))/H101</f>
        <v>0.44442176870748301</v>
      </c>
      <c r="I109" s="2317">
        <f>(-0.161*(I108^2)-7.509*I108+6533)*(10^(-4))/I101</f>
        <v>0.44442176870748301</v>
      </c>
      <c r="J109" s="2317">
        <f>(-0.214*(J108^2)-21.991*J108+4665)*(10^(-4))/J101</f>
        <v>0.31734693877551023</v>
      </c>
      <c r="K109" s="2317">
        <f>(-0.214*(K108^2)-21.991*K108+4665)*(10^(-4))/K101</f>
        <v>0.31734693877551023</v>
      </c>
      <c r="L109" s="2317">
        <f>(-0.214*(L108^2)-21.991*L108+4665)*(10^(-4))/L101</f>
        <v>0.31734693877551023</v>
      </c>
      <c r="M109" s="2317">
        <f>(-0.214*(M108^2)-21.991*M108+4665)*(10^(-4))/M101</f>
        <v>0.31734693877551023</v>
      </c>
      <c r="N109" s="2317">
        <f>(-0.214*(N108^2)-21.991*N108+4665)*(10^(-4))/N101</f>
        <v>0.31734693877551023</v>
      </c>
    </row>
    <row r="110" spans="1:14">
      <c r="A110" s="3502" t="s">
        <v>2739</v>
      </c>
      <c r="B110" s="3502"/>
      <c r="C110" s="3502"/>
      <c r="D110" s="3502"/>
      <c r="E110" s="3502"/>
      <c r="F110" s="3502"/>
      <c r="G110" s="3502"/>
      <c r="H110" s="3502"/>
      <c r="I110" s="3502"/>
      <c r="J110" s="3502"/>
      <c r="K110" s="2320"/>
      <c r="L110" s="2320"/>
      <c r="M110" s="2320"/>
      <c r="N110" s="2320"/>
    </row>
    <row r="112" spans="1:14" ht="13.5" thickBot="1"/>
    <row r="113" spans="1:13" ht="25.5" thickBot="1">
      <c r="A113" s="841" t="s">
        <v>2740</v>
      </c>
      <c r="B113" s="1195">
        <f>G3</f>
        <v>1.47</v>
      </c>
      <c r="C113" s="842" t="s">
        <v>2741</v>
      </c>
      <c r="D113" s="843">
        <f>SUMPRODUCT((A115:A118=F113)*(B114:M114=H113)*B115:M118)</f>
        <v>0</v>
      </c>
      <c r="E113" s="2156" t="s">
        <v>2574</v>
      </c>
      <c r="F113" s="2322">
        <f>E2</f>
        <v>0</v>
      </c>
      <c r="G113" s="2156" t="s">
        <v>2575</v>
      </c>
      <c r="H113" s="2322" t="str">
        <f>G2</f>
        <v>六级</v>
      </c>
      <c r="I113" s="2156"/>
      <c r="J113" s="2323"/>
      <c r="K113" s="2323"/>
      <c r="L113" s="2323"/>
      <c r="M113" s="2323"/>
    </row>
    <row r="114" spans="1:13">
      <c r="A114" s="846"/>
      <c r="B114" s="2324" t="s">
        <v>2742</v>
      </c>
      <c r="C114" s="2324" t="s">
        <v>2743</v>
      </c>
      <c r="D114" s="2324" t="s">
        <v>2744</v>
      </c>
      <c r="E114" s="2325" t="s">
        <v>2745</v>
      </c>
      <c r="F114" s="2325" t="s">
        <v>2746</v>
      </c>
      <c r="G114" s="2325" t="s">
        <v>2747</v>
      </c>
      <c r="H114" s="2326" t="s">
        <v>2748</v>
      </c>
      <c r="I114" s="2326" t="s">
        <v>2749</v>
      </c>
      <c r="J114" s="2327" t="s">
        <v>2750</v>
      </c>
      <c r="K114" s="2327" t="s">
        <v>2751</v>
      </c>
      <c r="L114" s="2327" t="s">
        <v>2752</v>
      </c>
      <c r="M114" s="2328" t="s">
        <v>2753</v>
      </c>
    </row>
    <row r="115" spans="1:13">
      <c r="A115" s="847" t="s">
        <v>2639</v>
      </c>
      <c r="B115" s="848">
        <f>ROUND(0.9335-0.0094*B113,4)</f>
        <v>0.91969999999999996</v>
      </c>
      <c r="C115" s="848">
        <f>B115</f>
        <v>0.91969999999999996</v>
      </c>
      <c r="D115" s="848">
        <f>ROUND(0.8331-0.0109*B113,4)</f>
        <v>0.81710000000000005</v>
      </c>
      <c r="E115" s="848">
        <f>D115</f>
        <v>0.81710000000000005</v>
      </c>
      <c r="F115" s="848">
        <f>E115</f>
        <v>0.81710000000000005</v>
      </c>
      <c r="G115" s="848">
        <f>F115</f>
        <v>0.81710000000000005</v>
      </c>
      <c r="H115" s="848">
        <f>G115</f>
        <v>0.81710000000000005</v>
      </c>
      <c r="I115" s="848">
        <f>ROUND(0.689-0.0155*B113,4)</f>
        <v>0.66620000000000001</v>
      </c>
      <c r="J115" s="848">
        <f t="shared" ref="J115:M118" si="33">I115</f>
        <v>0.66620000000000001</v>
      </c>
      <c r="K115" s="848">
        <f t="shared" si="33"/>
        <v>0.66620000000000001</v>
      </c>
      <c r="L115" s="848">
        <f t="shared" si="33"/>
        <v>0.66620000000000001</v>
      </c>
      <c r="M115" s="849">
        <f t="shared" si="33"/>
        <v>0.66620000000000001</v>
      </c>
    </row>
    <row r="116" spans="1:13">
      <c r="A116" s="847" t="s">
        <v>2640</v>
      </c>
      <c r="B116" s="848">
        <f>ROUND(0.949-0.012*B113,4)</f>
        <v>0.93140000000000001</v>
      </c>
      <c r="C116" s="848">
        <f>B116</f>
        <v>0.93140000000000001</v>
      </c>
      <c r="D116" s="848">
        <f>ROUND(0.8567-0.013*B113,4)</f>
        <v>0.83760000000000001</v>
      </c>
      <c r="E116" s="848">
        <f t="shared" ref="E116:H117" si="34">D116</f>
        <v>0.83760000000000001</v>
      </c>
      <c r="F116" s="848">
        <f t="shared" si="34"/>
        <v>0.83760000000000001</v>
      </c>
      <c r="G116" s="848">
        <f t="shared" si="34"/>
        <v>0.83760000000000001</v>
      </c>
      <c r="H116" s="848">
        <f t="shared" si="34"/>
        <v>0.83760000000000001</v>
      </c>
      <c r="I116" s="848">
        <f>ROUND(0.7694-0.014*B113,4)</f>
        <v>0.74880000000000002</v>
      </c>
      <c r="J116" s="848">
        <f t="shared" si="33"/>
        <v>0.74880000000000002</v>
      </c>
      <c r="K116" s="848">
        <f t="shared" si="33"/>
        <v>0.74880000000000002</v>
      </c>
      <c r="L116" s="848">
        <f t="shared" si="33"/>
        <v>0.74880000000000002</v>
      </c>
      <c r="M116" s="849">
        <f t="shared" si="33"/>
        <v>0.74880000000000002</v>
      </c>
    </row>
    <row r="117" spans="1:13">
      <c r="A117" s="847" t="s">
        <v>2641</v>
      </c>
      <c r="B117" s="848">
        <f>ROUND(0.8808-0.006*B113,4)</f>
        <v>0.872</v>
      </c>
      <c r="C117" s="848">
        <f>B117</f>
        <v>0.872</v>
      </c>
      <c r="D117" s="848">
        <f>ROUND(0.8748-0.008*B113,4)</f>
        <v>0.86299999999999999</v>
      </c>
      <c r="E117" s="848">
        <f t="shared" si="34"/>
        <v>0.86299999999999999</v>
      </c>
      <c r="F117" s="848">
        <f t="shared" si="34"/>
        <v>0.86299999999999999</v>
      </c>
      <c r="G117" s="848">
        <f t="shared" si="34"/>
        <v>0.86299999999999999</v>
      </c>
      <c r="H117" s="848">
        <f t="shared" si="34"/>
        <v>0.86299999999999999</v>
      </c>
      <c r="I117" s="848">
        <f>ROUND(0.7412-0.0095*B113,4)</f>
        <v>0.72719999999999996</v>
      </c>
      <c r="J117" s="848">
        <f t="shared" si="33"/>
        <v>0.72719999999999996</v>
      </c>
      <c r="K117" s="848">
        <f t="shared" si="33"/>
        <v>0.72719999999999996</v>
      </c>
      <c r="L117" s="848">
        <f t="shared" si="33"/>
        <v>0.72719999999999996</v>
      </c>
      <c r="M117" s="849">
        <f t="shared" si="33"/>
        <v>0.72719999999999996</v>
      </c>
    </row>
    <row r="118" spans="1:13" ht="13.5" thickBot="1">
      <c r="A118" s="669" t="s">
        <v>2642</v>
      </c>
      <c r="B118" s="850">
        <f>ROUND(0.7275-0.01*B113,4)</f>
        <v>0.71279999999999999</v>
      </c>
      <c r="C118" s="850">
        <f>B118</f>
        <v>0.71279999999999999</v>
      </c>
      <c r="D118" s="850">
        <f>ROUND(0.7043-0.012*B113,4)</f>
        <v>0.68669999999999998</v>
      </c>
      <c r="E118" s="850">
        <f>D118</f>
        <v>0.68669999999999998</v>
      </c>
      <c r="F118" s="850">
        <f>E118</f>
        <v>0.68669999999999998</v>
      </c>
      <c r="G118" s="850">
        <f>ROUND(0.6299-0.0122*B113,4)</f>
        <v>0.61199999999999999</v>
      </c>
      <c r="H118" s="850">
        <f>G118</f>
        <v>0.61199999999999999</v>
      </c>
      <c r="I118" s="850">
        <f>ROUND(0.5667-0.0136*B113,4)</f>
        <v>0.54669999999999996</v>
      </c>
      <c r="J118" s="850">
        <f t="shared" si="33"/>
        <v>0.54669999999999996</v>
      </c>
      <c r="K118" s="850">
        <f t="shared" si="33"/>
        <v>0.54669999999999996</v>
      </c>
      <c r="L118" s="850">
        <f t="shared" si="33"/>
        <v>0.54669999999999996</v>
      </c>
      <c r="M118" s="851">
        <f t="shared" si="33"/>
        <v>0.54669999999999996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25" t="s">
        <v>183</v>
      </c>
      <c r="B18" s="820" t="s">
        <v>560</v>
      </c>
      <c r="C18" s="821" t="s">
        <v>561</v>
      </c>
      <c r="D18" s="822"/>
      <c r="E18" s="820">
        <v>1</v>
      </c>
      <c r="F18" s="823" t="s">
        <v>562</v>
      </c>
      <c r="G18" s="824"/>
      <c r="H18" s="816"/>
      <c r="I18" s="816"/>
    </row>
    <row r="19" spans="1:9" s="825" customFormat="1" ht="19.5" customHeight="1">
      <c r="A19" s="3525"/>
      <c r="B19" s="3525" t="s">
        <v>563</v>
      </c>
      <c r="C19" s="821" t="s">
        <v>564</v>
      </c>
      <c r="D19" s="822"/>
      <c r="E19" s="820">
        <v>0.9</v>
      </c>
      <c r="F19" s="823" t="s">
        <v>565</v>
      </c>
      <c r="G19" s="824"/>
      <c r="H19" s="816"/>
      <c r="I19" s="816"/>
    </row>
    <row r="20" spans="1:9" s="825" customFormat="1" ht="19.5" customHeight="1">
      <c r="A20" s="3525"/>
      <c r="B20" s="3525"/>
      <c r="C20" s="821" t="s">
        <v>566</v>
      </c>
      <c r="D20" s="822"/>
      <c r="E20" s="820">
        <v>1.1000000000000001</v>
      </c>
      <c r="F20" s="823" t="s">
        <v>567</v>
      </c>
      <c r="G20" s="824"/>
      <c r="H20" s="816"/>
      <c r="I20" s="816"/>
    </row>
    <row r="21" spans="1:9" s="825" customFormat="1" ht="19.5" customHeight="1">
      <c r="A21" s="3525"/>
      <c r="B21" s="3525"/>
      <c r="C21" s="821" t="s">
        <v>568</v>
      </c>
      <c r="D21" s="822"/>
      <c r="E21" s="820">
        <v>0.8</v>
      </c>
      <c r="F21" s="823" t="s">
        <v>569</v>
      </c>
      <c r="G21" s="824"/>
      <c r="H21" s="816"/>
      <c r="I21" s="816"/>
    </row>
    <row r="22" spans="1:9" s="825" customFormat="1" ht="19.5" customHeight="1">
      <c r="A22" s="3525"/>
      <c r="B22" s="3525"/>
      <c r="C22" s="821" t="s">
        <v>570</v>
      </c>
      <c r="D22" s="822"/>
      <c r="E22" s="820">
        <v>0.5</v>
      </c>
      <c r="F22" s="823"/>
      <c r="G22" s="824"/>
      <c r="H22" s="816"/>
      <c r="I22" s="816"/>
    </row>
    <row r="23" spans="1:9" s="825" customFormat="1" ht="19.5" customHeight="1">
      <c r="A23" s="3525" t="s">
        <v>184</v>
      </c>
      <c r="B23" s="820" t="s">
        <v>560</v>
      </c>
      <c r="C23" s="821" t="s">
        <v>571</v>
      </c>
      <c r="D23" s="822"/>
      <c r="E23" s="820">
        <v>1</v>
      </c>
      <c r="F23" s="823" t="s">
        <v>572</v>
      </c>
      <c r="G23" s="824"/>
      <c r="H23" s="816"/>
      <c r="I23" s="816"/>
    </row>
    <row r="24" spans="1:9" s="825" customFormat="1" ht="19.5" customHeight="1">
      <c r="A24" s="3525"/>
      <c r="B24" s="3525" t="s">
        <v>563</v>
      </c>
      <c r="C24" s="821" t="s">
        <v>573</v>
      </c>
      <c r="D24" s="822"/>
      <c r="E24" s="820">
        <v>0.5</v>
      </c>
      <c r="F24" s="823"/>
      <c r="G24" s="824"/>
      <c r="H24" s="816"/>
      <c r="I24" s="816"/>
    </row>
    <row r="25" spans="1:9" s="825" customFormat="1" ht="19.5" customHeight="1">
      <c r="A25" s="3525"/>
      <c r="B25" s="3525"/>
      <c r="C25" s="821" t="s">
        <v>574</v>
      </c>
      <c r="D25" s="822"/>
      <c r="E25" s="820">
        <v>1.1000000000000001</v>
      </c>
      <c r="F25" s="823"/>
      <c r="G25" s="824"/>
      <c r="H25" s="816"/>
      <c r="I25" s="816"/>
    </row>
    <row r="26" spans="1:9" s="825" customFormat="1" ht="19.5" customHeight="1">
      <c r="A26" s="3525"/>
      <c r="B26" s="3525"/>
      <c r="C26" s="821" t="s">
        <v>575</v>
      </c>
      <c r="D26" s="822"/>
      <c r="E26" s="820">
        <v>1.1000000000000001</v>
      </c>
      <c r="F26" s="823"/>
      <c r="G26" s="824"/>
      <c r="H26" s="816"/>
      <c r="I26" s="816"/>
    </row>
    <row r="27" spans="1:9" s="825" customFormat="1" ht="19.5" customHeight="1">
      <c r="A27" s="3525"/>
      <c r="B27" s="3525"/>
      <c r="C27" s="821" t="s">
        <v>576</v>
      </c>
      <c r="D27" s="822"/>
      <c r="E27" s="820">
        <v>0.9</v>
      </c>
      <c r="F27" s="823" t="s">
        <v>577</v>
      </c>
      <c r="G27" s="824"/>
      <c r="H27" s="816"/>
      <c r="I27" s="816"/>
    </row>
    <row r="28" spans="1:9" s="825" customFormat="1" ht="19.5" customHeight="1">
      <c r="A28" s="3525"/>
      <c r="B28" s="3525"/>
      <c r="C28" s="821" t="s">
        <v>578</v>
      </c>
      <c r="D28" s="822"/>
      <c r="E28" s="820">
        <v>0.9</v>
      </c>
      <c r="F28" s="823" t="s">
        <v>579</v>
      </c>
      <c r="G28" s="824"/>
      <c r="H28" s="816"/>
      <c r="I28" s="816"/>
    </row>
    <row r="29" spans="1:9" s="825" customFormat="1" ht="19.5" customHeight="1">
      <c r="A29" s="3525"/>
      <c r="B29" s="3525"/>
      <c r="C29" s="821" t="s">
        <v>580</v>
      </c>
      <c r="D29" s="822"/>
      <c r="E29" s="820">
        <v>0.9</v>
      </c>
      <c r="F29" s="823" t="s">
        <v>581</v>
      </c>
      <c r="G29" s="824"/>
      <c r="H29" s="816"/>
      <c r="I29" s="816"/>
    </row>
    <row r="30" spans="1:9" s="825" customFormat="1" ht="19.5" customHeight="1">
      <c r="A30" s="3525"/>
      <c r="B30" s="3525"/>
      <c r="C30" s="821" t="s">
        <v>582</v>
      </c>
      <c r="D30" s="822"/>
      <c r="E30" s="820">
        <v>0.9</v>
      </c>
      <c r="F30" s="823" t="s">
        <v>583</v>
      </c>
      <c r="G30" s="824"/>
      <c r="H30" s="816"/>
      <c r="I30" s="816"/>
    </row>
    <row r="31" spans="1:9" s="825" customFormat="1" ht="19.5" customHeight="1">
      <c r="A31" s="3525"/>
      <c r="B31" s="3525"/>
      <c r="C31" s="821" t="s">
        <v>584</v>
      </c>
      <c r="D31" s="822"/>
      <c r="E31" s="820">
        <v>0.8</v>
      </c>
      <c r="F31" s="823" t="s">
        <v>585</v>
      </c>
      <c r="G31" s="824"/>
      <c r="H31" s="816"/>
      <c r="I31" s="816"/>
    </row>
    <row r="32" spans="1:9" s="825" customFormat="1" ht="19.5" customHeight="1">
      <c r="A32" s="3525"/>
      <c r="B32" s="3525"/>
      <c r="C32" s="821" t="s">
        <v>586</v>
      </c>
      <c r="D32" s="822"/>
      <c r="E32" s="820">
        <v>0.8</v>
      </c>
      <c r="F32" s="823" t="s">
        <v>587</v>
      </c>
      <c r="G32" s="824"/>
      <c r="H32" s="816"/>
      <c r="I32" s="816"/>
    </row>
    <row r="33" spans="1:9" s="825" customFormat="1" ht="19.5" customHeight="1">
      <c r="A33" s="3525" t="s">
        <v>185</v>
      </c>
      <c r="B33" s="820" t="s">
        <v>560</v>
      </c>
      <c r="C33" s="821" t="s">
        <v>588</v>
      </c>
      <c r="D33" s="822"/>
      <c r="E33" s="820">
        <v>1</v>
      </c>
      <c r="F33" s="823" t="s">
        <v>589</v>
      </c>
      <c r="G33" s="824"/>
      <c r="H33" s="816"/>
      <c r="I33" s="816"/>
    </row>
    <row r="34" spans="1:9" s="825" customFormat="1" ht="19.5" customHeight="1">
      <c r="A34" s="3525"/>
      <c r="B34" s="820" t="s">
        <v>563</v>
      </c>
      <c r="C34" s="821" t="s">
        <v>590</v>
      </c>
      <c r="D34" s="822"/>
      <c r="E34" s="820">
        <v>1.5</v>
      </c>
      <c r="F34" s="823" t="s">
        <v>591</v>
      </c>
      <c r="G34" s="824"/>
      <c r="H34" s="816"/>
      <c r="I34" s="816"/>
    </row>
    <row r="35" spans="1:9" s="825" customFormat="1" ht="19.5" customHeight="1">
      <c r="A35" s="3525" t="s">
        <v>186</v>
      </c>
      <c r="B35" s="820" t="s">
        <v>560</v>
      </c>
      <c r="C35" s="821" t="s">
        <v>592</v>
      </c>
      <c r="D35" s="822"/>
      <c r="E35" s="820">
        <v>1</v>
      </c>
      <c r="F35" s="823" t="s">
        <v>593</v>
      </c>
      <c r="G35" s="824"/>
      <c r="H35" s="816"/>
      <c r="I35" s="816"/>
    </row>
    <row r="36" spans="1:9" s="825" customFormat="1" ht="19.5" customHeight="1">
      <c r="A36" s="3525"/>
      <c r="B36" s="3525" t="s">
        <v>563</v>
      </c>
      <c r="C36" s="821" t="s">
        <v>594</v>
      </c>
      <c r="D36" s="822"/>
      <c r="E36" s="820">
        <v>1</v>
      </c>
      <c r="F36" s="823" t="s">
        <v>595</v>
      </c>
      <c r="G36" s="824"/>
      <c r="H36" s="816"/>
      <c r="I36" s="816"/>
    </row>
    <row r="37" spans="1:9" s="825" customFormat="1" ht="19.5" customHeight="1">
      <c r="A37" s="3525"/>
      <c r="B37" s="3525"/>
      <c r="C37" s="821" t="s">
        <v>596</v>
      </c>
      <c r="D37" s="822"/>
      <c r="E37" s="820">
        <v>1.5</v>
      </c>
      <c r="F37" s="823" t="s">
        <v>597</v>
      </c>
      <c r="G37" s="824"/>
      <c r="H37" s="816"/>
      <c r="I37" s="816"/>
    </row>
    <row r="38" spans="1:9" s="825" customFormat="1" ht="19.5" customHeight="1">
      <c r="A38" s="3525"/>
      <c r="B38" s="3525"/>
      <c r="C38" s="821" t="s">
        <v>598</v>
      </c>
      <c r="D38" s="822"/>
      <c r="E38" s="820">
        <v>1</v>
      </c>
      <c r="F38" s="823" t="s">
        <v>599</v>
      </c>
      <c r="G38" s="824"/>
      <c r="H38" s="816"/>
      <c r="I38" s="816"/>
    </row>
    <row r="39" spans="1:9" s="825" customFormat="1" ht="19.5" customHeight="1">
      <c r="A39" s="3525"/>
      <c r="B39" s="352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25" t="s">
        <v>614</v>
      </c>
      <c r="C61" s="756" t="s">
        <v>615</v>
      </c>
      <c r="D61" s="756" t="s">
        <v>616</v>
      </c>
      <c r="E61" s="833">
        <v>0.5</v>
      </c>
      <c r="F61" s="820">
        <v>80</v>
      </c>
    </row>
    <row r="62" spans="1:8" s="816" customFormat="1" ht="24">
      <c r="A62" s="820">
        <v>2</v>
      </c>
      <c r="B62" s="3525"/>
      <c r="C62" s="756" t="s">
        <v>617</v>
      </c>
      <c r="D62" s="756" t="s">
        <v>618</v>
      </c>
      <c r="E62" s="833">
        <v>0.5</v>
      </c>
      <c r="F62" s="820">
        <v>80</v>
      </c>
    </row>
    <row r="63" spans="1:8" s="816" customFormat="1" ht="36">
      <c r="A63" s="820">
        <v>3</v>
      </c>
      <c r="B63" s="3525"/>
      <c r="C63" s="756" t="s">
        <v>619</v>
      </c>
      <c r="D63" s="756" t="s">
        <v>620</v>
      </c>
      <c r="E63" s="833">
        <v>0.5</v>
      </c>
      <c r="F63" s="820">
        <v>80</v>
      </c>
    </row>
    <row r="64" spans="1:8" s="816" customFormat="1" ht="36">
      <c r="A64" s="820">
        <v>4</v>
      </c>
      <c r="B64" s="3525"/>
      <c r="C64" s="756" t="s">
        <v>621</v>
      </c>
      <c r="D64" s="756" t="s">
        <v>622</v>
      </c>
      <c r="E64" s="833">
        <v>0.4</v>
      </c>
      <c r="F64" s="820">
        <v>60</v>
      </c>
    </row>
    <row r="65" spans="1:6" s="816" customFormat="1" ht="36">
      <c r="A65" s="820">
        <v>5</v>
      </c>
      <c r="B65" s="3525"/>
      <c r="C65" s="756" t="s">
        <v>623</v>
      </c>
      <c r="D65" s="756" t="s">
        <v>624</v>
      </c>
      <c r="E65" s="833">
        <v>0.2</v>
      </c>
      <c r="F65" s="820">
        <v>30</v>
      </c>
    </row>
    <row r="66" spans="1:6" s="816" customFormat="1" ht="36">
      <c r="A66" s="820">
        <v>6</v>
      </c>
      <c r="B66" s="3525"/>
      <c r="C66" s="756" t="s">
        <v>625</v>
      </c>
      <c r="D66" s="756" t="s">
        <v>626</v>
      </c>
      <c r="E66" s="833">
        <v>0.3</v>
      </c>
      <c r="F66" s="820">
        <v>50</v>
      </c>
    </row>
    <row r="67" spans="1:6" s="816" customFormat="1" ht="36">
      <c r="A67" s="820">
        <v>7</v>
      </c>
      <c r="B67" s="3525"/>
      <c r="C67" s="756" t="s">
        <v>627</v>
      </c>
      <c r="D67" s="756" t="s">
        <v>628</v>
      </c>
      <c r="E67" s="833">
        <v>0.2</v>
      </c>
      <c r="F67" s="820">
        <v>30</v>
      </c>
    </row>
    <row r="68" spans="1:6" s="816" customFormat="1" ht="36">
      <c r="A68" s="820">
        <v>8</v>
      </c>
      <c r="B68" s="3525"/>
      <c r="C68" s="756" t="s">
        <v>629</v>
      </c>
      <c r="D68" s="756" t="s">
        <v>630</v>
      </c>
      <c r="E68" s="833">
        <v>0.2</v>
      </c>
      <c r="F68" s="820">
        <v>30</v>
      </c>
    </row>
    <row r="69" spans="1:6" s="816" customFormat="1" ht="36">
      <c r="A69" s="820">
        <v>9</v>
      </c>
      <c r="B69" s="3525"/>
      <c r="C69" s="756" t="s">
        <v>631</v>
      </c>
      <c r="D69" s="756" t="s">
        <v>632</v>
      </c>
      <c r="E69" s="833">
        <v>0.2</v>
      </c>
      <c r="F69" s="820">
        <v>30</v>
      </c>
    </row>
    <row r="70" spans="1:6" s="816" customFormat="1" ht="48">
      <c r="A70" s="820">
        <v>10</v>
      </c>
      <c r="B70" s="3525"/>
      <c r="C70" s="756" t="s">
        <v>633</v>
      </c>
      <c r="D70" s="756" t="s">
        <v>634</v>
      </c>
      <c r="E70" s="833">
        <v>0.2</v>
      </c>
      <c r="F70" s="820">
        <v>30</v>
      </c>
    </row>
    <row r="71" spans="1:6" s="816" customFormat="1" ht="48">
      <c r="A71" s="820">
        <v>11</v>
      </c>
      <c r="B71" s="3525"/>
      <c r="C71" s="756" t="s">
        <v>635</v>
      </c>
      <c r="D71" s="756" t="s">
        <v>636</v>
      </c>
      <c r="E71" s="833">
        <v>0.2</v>
      </c>
      <c r="F71" s="820">
        <v>30</v>
      </c>
    </row>
    <row r="72" spans="1:6" s="816" customFormat="1" ht="36">
      <c r="A72" s="820">
        <v>12</v>
      </c>
      <c r="B72" s="3525"/>
      <c r="C72" s="756" t="s">
        <v>637</v>
      </c>
      <c r="D72" s="756" t="s">
        <v>638</v>
      </c>
      <c r="E72" s="833">
        <v>0.5</v>
      </c>
      <c r="F72" s="820">
        <v>80</v>
      </c>
    </row>
    <row r="73" spans="1:6" s="816" customFormat="1" ht="24">
      <c r="A73" s="820">
        <v>13</v>
      </c>
      <c r="B73" s="3525"/>
      <c r="C73" s="756" t="s">
        <v>639</v>
      </c>
      <c r="D73" s="756" t="s">
        <v>640</v>
      </c>
      <c r="E73" s="833">
        <v>0.4</v>
      </c>
      <c r="F73" s="820">
        <v>60</v>
      </c>
    </row>
    <row r="74" spans="1:6" s="816" customFormat="1" ht="24">
      <c r="A74" s="820">
        <v>14</v>
      </c>
      <c r="B74" s="3525"/>
      <c r="C74" s="756" t="s">
        <v>641</v>
      </c>
      <c r="D74" s="756" t="s">
        <v>642</v>
      </c>
      <c r="E74" s="833">
        <v>0.2</v>
      </c>
      <c r="F74" s="820">
        <v>30</v>
      </c>
    </row>
    <row r="75" spans="1:6" s="816" customFormat="1" ht="24">
      <c r="A75" s="820">
        <v>15</v>
      </c>
      <c r="B75" s="3525"/>
      <c r="C75" s="756" t="s">
        <v>643</v>
      </c>
      <c r="D75" s="756" t="s">
        <v>644</v>
      </c>
      <c r="E75" s="833">
        <v>0.2</v>
      </c>
      <c r="F75" s="820">
        <v>30</v>
      </c>
    </row>
    <row r="76" spans="1:6" s="816" customFormat="1" ht="24">
      <c r="A76" s="820">
        <v>16</v>
      </c>
      <c r="B76" s="3525" t="s">
        <v>645</v>
      </c>
      <c r="C76" s="756" t="s">
        <v>646</v>
      </c>
      <c r="D76" s="756" t="s">
        <v>647</v>
      </c>
      <c r="E76" s="833">
        <v>0.5</v>
      </c>
      <c r="F76" s="820">
        <v>80</v>
      </c>
    </row>
    <row r="77" spans="1:6" s="816" customFormat="1" ht="24">
      <c r="A77" s="820">
        <v>17</v>
      </c>
      <c r="B77" s="3525"/>
      <c r="C77" s="756" t="s">
        <v>648</v>
      </c>
      <c r="D77" s="756" t="s">
        <v>649</v>
      </c>
      <c r="E77" s="833">
        <v>0.5</v>
      </c>
      <c r="F77" s="820">
        <v>80</v>
      </c>
    </row>
    <row r="78" spans="1:6" s="816" customFormat="1" ht="24">
      <c r="A78" s="820">
        <v>18</v>
      </c>
      <c r="B78" s="3525"/>
      <c r="C78" s="756" t="s">
        <v>650</v>
      </c>
      <c r="D78" s="756" t="s">
        <v>651</v>
      </c>
      <c r="E78" s="833">
        <v>0.2</v>
      </c>
      <c r="F78" s="820">
        <v>30</v>
      </c>
    </row>
    <row r="79" spans="1:6" s="816" customFormat="1" ht="24">
      <c r="A79" s="820">
        <v>19</v>
      </c>
      <c r="B79" s="3525"/>
      <c r="C79" s="756" t="s">
        <v>652</v>
      </c>
      <c r="D79" s="756" t="s">
        <v>653</v>
      </c>
      <c r="E79" s="833">
        <v>0.5</v>
      </c>
      <c r="F79" s="820">
        <v>80</v>
      </c>
    </row>
    <row r="80" spans="1:6" s="816" customFormat="1" ht="36">
      <c r="A80" s="820">
        <v>20</v>
      </c>
      <c r="B80" s="3525"/>
      <c r="C80" s="756" t="s">
        <v>654</v>
      </c>
      <c r="D80" s="756" t="s">
        <v>655</v>
      </c>
      <c r="E80" s="833">
        <v>0.2</v>
      </c>
      <c r="F80" s="820">
        <v>30</v>
      </c>
    </row>
    <row r="81" spans="1:6" s="816" customFormat="1" ht="36">
      <c r="A81" s="820">
        <v>21</v>
      </c>
      <c r="B81" s="3525"/>
      <c r="C81" s="756" t="s">
        <v>656</v>
      </c>
      <c r="D81" s="756" t="s">
        <v>657</v>
      </c>
      <c r="E81" s="833">
        <v>0.2</v>
      </c>
      <c r="F81" s="820">
        <v>30</v>
      </c>
    </row>
    <row r="82" spans="1:6" s="816" customFormat="1" ht="48">
      <c r="A82" s="820">
        <v>22</v>
      </c>
      <c r="B82" s="3525"/>
      <c r="C82" s="756" t="s">
        <v>658</v>
      </c>
      <c r="D82" s="756" t="s">
        <v>659</v>
      </c>
      <c r="E82" s="833">
        <v>0.2</v>
      </c>
      <c r="F82" s="820">
        <v>30</v>
      </c>
    </row>
    <row r="83" spans="1:6" s="816" customFormat="1" ht="48">
      <c r="A83" s="820">
        <v>23</v>
      </c>
      <c r="B83" s="3525"/>
      <c r="C83" s="756" t="s">
        <v>660</v>
      </c>
      <c r="D83" s="756" t="s">
        <v>661</v>
      </c>
      <c r="E83" s="833">
        <v>0.2</v>
      </c>
      <c r="F83" s="820">
        <v>30</v>
      </c>
    </row>
    <row r="84" spans="1:6" s="816" customFormat="1" ht="36">
      <c r="A84" s="820">
        <v>24</v>
      </c>
      <c r="B84" s="3525"/>
      <c r="C84" s="756" t="s">
        <v>662</v>
      </c>
      <c r="D84" s="756" t="s">
        <v>663</v>
      </c>
      <c r="E84" s="833">
        <v>0.2</v>
      </c>
      <c r="F84" s="820">
        <v>30</v>
      </c>
    </row>
    <row r="85" spans="1:6" s="816" customFormat="1" ht="36">
      <c r="A85" s="820">
        <v>25</v>
      </c>
      <c r="B85" s="3525"/>
      <c r="C85" s="756" t="s">
        <v>664</v>
      </c>
      <c r="D85" s="756" t="s">
        <v>665</v>
      </c>
      <c r="E85" s="833">
        <v>0.5</v>
      </c>
      <c r="F85" s="820">
        <v>80</v>
      </c>
    </row>
    <row r="86" spans="1:6" s="816" customFormat="1" ht="36">
      <c r="A86" s="820">
        <v>26</v>
      </c>
      <c r="B86" s="3525"/>
      <c r="C86" s="756" t="s">
        <v>666</v>
      </c>
      <c r="D86" s="756" t="s">
        <v>667</v>
      </c>
      <c r="E86" s="833">
        <v>0.2</v>
      </c>
      <c r="F86" s="820">
        <v>30</v>
      </c>
    </row>
    <row r="87" spans="1:6" s="816" customFormat="1" ht="36">
      <c r="A87" s="820">
        <v>27</v>
      </c>
      <c r="B87" s="3525"/>
      <c r="C87" s="756" t="s">
        <v>668</v>
      </c>
      <c r="D87" s="756" t="s">
        <v>669</v>
      </c>
      <c r="E87" s="833">
        <v>0.2</v>
      </c>
      <c r="F87" s="820">
        <v>30</v>
      </c>
    </row>
    <row r="88" spans="1:6" s="816" customFormat="1" ht="36">
      <c r="A88" s="820">
        <v>28</v>
      </c>
      <c r="B88" s="3525"/>
      <c r="C88" s="756" t="s">
        <v>670</v>
      </c>
      <c r="D88" s="756" t="s">
        <v>671</v>
      </c>
      <c r="E88" s="833">
        <v>0.2</v>
      </c>
      <c r="F88" s="820">
        <v>30</v>
      </c>
    </row>
    <row r="89" spans="1:6" s="816" customFormat="1" ht="24">
      <c r="A89" s="820">
        <v>29</v>
      </c>
      <c r="B89" s="3525"/>
      <c r="C89" s="756" t="s">
        <v>672</v>
      </c>
      <c r="D89" s="756" t="s">
        <v>673</v>
      </c>
      <c r="E89" s="833">
        <v>0.2</v>
      </c>
      <c r="F89" s="820">
        <v>30</v>
      </c>
    </row>
    <row r="90" spans="1:6" s="816" customFormat="1" ht="24">
      <c r="A90" s="820">
        <v>30</v>
      </c>
      <c r="B90" s="3525"/>
      <c r="C90" s="756" t="s">
        <v>674</v>
      </c>
      <c r="D90" s="756" t="s">
        <v>675</v>
      </c>
      <c r="E90" s="833">
        <v>0.2</v>
      </c>
      <c r="F90" s="820">
        <v>30</v>
      </c>
    </row>
    <row r="91" spans="1:6" s="816" customFormat="1" ht="36">
      <c r="A91" s="820">
        <v>31</v>
      </c>
      <c r="B91" s="3525"/>
      <c r="C91" s="756" t="s">
        <v>676</v>
      </c>
      <c r="D91" s="756" t="s">
        <v>677</v>
      </c>
      <c r="E91" s="833">
        <v>0.2</v>
      </c>
      <c r="F91" s="820">
        <v>30</v>
      </c>
    </row>
    <row r="92" spans="1:6" s="816" customFormat="1" ht="24">
      <c r="A92" s="820">
        <v>32</v>
      </c>
      <c r="B92" s="3525" t="s">
        <v>678</v>
      </c>
      <c r="C92" s="820" t="s">
        <v>679</v>
      </c>
      <c r="D92" s="756" t="s">
        <v>680</v>
      </c>
      <c r="E92" s="833">
        <v>0.2</v>
      </c>
      <c r="F92" s="820">
        <v>30</v>
      </c>
    </row>
    <row r="93" spans="1:6" s="816" customFormat="1" ht="36">
      <c r="A93" s="820">
        <v>33</v>
      </c>
      <c r="B93" s="3525"/>
      <c r="C93" s="820" t="s">
        <v>681</v>
      </c>
      <c r="D93" s="756" t="s">
        <v>682</v>
      </c>
      <c r="E93" s="833">
        <v>0.2</v>
      </c>
      <c r="F93" s="820">
        <v>30</v>
      </c>
    </row>
    <row r="94" spans="1:6" s="816" customFormat="1" ht="48">
      <c r="A94" s="820">
        <v>34</v>
      </c>
      <c r="B94" s="3525"/>
      <c r="C94" s="820" t="s">
        <v>683</v>
      </c>
      <c r="D94" s="756" t="s">
        <v>684</v>
      </c>
      <c r="E94" s="833">
        <v>0.2</v>
      </c>
      <c r="F94" s="820">
        <v>30</v>
      </c>
    </row>
    <row r="95" spans="1:6" s="816" customFormat="1" ht="36">
      <c r="A95" s="820">
        <v>35</v>
      </c>
      <c r="B95" s="3525"/>
      <c r="C95" s="820" t="s">
        <v>685</v>
      </c>
      <c r="D95" s="756" t="s">
        <v>686</v>
      </c>
      <c r="E95" s="833">
        <v>0.2</v>
      </c>
      <c r="F95" s="820">
        <v>30</v>
      </c>
    </row>
    <row r="96" spans="1:6" s="816" customFormat="1" ht="48">
      <c r="A96" s="820">
        <v>36</v>
      </c>
      <c r="B96" s="3525"/>
      <c r="C96" s="756" t="s">
        <v>687</v>
      </c>
      <c r="D96" s="756" t="s">
        <v>688</v>
      </c>
      <c r="E96" s="833">
        <v>0.2</v>
      </c>
      <c r="F96" s="820">
        <v>30</v>
      </c>
    </row>
    <row r="97" spans="1:6" s="816" customFormat="1" ht="36">
      <c r="A97" s="820">
        <v>37</v>
      </c>
      <c r="B97" s="3525"/>
      <c r="C97" s="820" t="s">
        <v>689</v>
      </c>
      <c r="D97" s="756" t="s">
        <v>690</v>
      </c>
      <c r="E97" s="833">
        <v>0.2</v>
      </c>
      <c r="F97" s="820">
        <v>30</v>
      </c>
    </row>
    <row r="98" spans="1:6" s="816" customFormat="1" ht="36">
      <c r="A98" s="820">
        <v>38</v>
      </c>
      <c r="B98" s="3525"/>
      <c r="C98" s="820" t="s">
        <v>691</v>
      </c>
      <c r="D98" s="756" t="s">
        <v>692</v>
      </c>
      <c r="E98" s="833">
        <v>0.2</v>
      </c>
      <c r="F98" s="820">
        <v>30</v>
      </c>
    </row>
    <row r="99" spans="1:6" s="816" customFormat="1" ht="36">
      <c r="A99" s="820">
        <v>39</v>
      </c>
      <c r="B99" s="3525" t="s">
        <v>693</v>
      </c>
      <c r="C99" s="820" t="s">
        <v>694</v>
      </c>
      <c r="D99" s="756" t="s">
        <v>695</v>
      </c>
      <c r="E99" s="833">
        <v>0.3</v>
      </c>
      <c r="F99" s="820">
        <v>50</v>
      </c>
    </row>
    <row r="100" spans="1:6" s="816" customFormat="1" ht="24">
      <c r="A100" s="820">
        <v>40</v>
      </c>
      <c r="B100" s="3525"/>
      <c r="C100" s="820" t="s">
        <v>696</v>
      </c>
      <c r="D100" s="756" t="s">
        <v>697</v>
      </c>
      <c r="E100" s="833">
        <v>0.2</v>
      </c>
      <c r="F100" s="820">
        <v>30</v>
      </c>
    </row>
    <row r="101" spans="1:6" s="816" customFormat="1" ht="36">
      <c r="A101" s="820">
        <v>41</v>
      </c>
      <c r="B101" s="352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25" t="s">
        <v>708</v>
      </c>
      <c r="C105" s="820" t="s">
        <v>709</v>
      </c>
      <c r="D105" s="756" t="s">
        <v>710</v>
      </c>
      <c r="E105" s="833">
        <v>0.2</v>
      </c>
      <c r="F105" s="820">
        <v>30</v>
      </c>
    </row>
    <row r="106" spans="1:6" s="816" customFormat="1" ht="36">
      <c r="A106" s="820">
        <v>46</v>
      </c>
      <c r="B106" s="3525"/>
      <c r="C106" s="820" t="s">
        <v>711</v>
      </c>
      <c r="D106" s="756" t="s">
        <v>712</v>
      </c>
      <c r="E106" s="833">
        <v>0.2</v>
      </c>
      <c r="F106" s="820">
        <v>30</v>
      </c>
    </row>
    <row r="107" spans="1:6" s="816" customFormat="1" ht="36">
      <c r="A107" s="820">
        <v>47</v>
      </c>
      <c r="B107" s="3525" t="s">
        <v>713</v>
      </c>
      <c r="C107" s="820" t="s">
        <v>714</v>
      </c>
      <c r="D107" s="756" t="s">
        <v>715</v>
      </c>
      <c r="E107" s="833">
        <v>0.3</v>
      </c>
      <c r="F107" s="820">
        <v>50</v>
      </c>
    </row>
    <row r="108" spans="1:6" s="816" customFormat="1" ht="36">
      <c r="A108" s="820">
        <v>48</v>
      </c>
      <c r="B108" s="352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25" t="s">
        <v>724</v>
      </c>
      <c r="C111" s="820" t="s">
        <v>725</v>
      </c>
      <c r="D111" s="756" t="s">
        <v>726</v>
      </c>
      <c r="E111" s="833">
        <v>0.2</v>
      </c>
      <c r="F111" s="820">
        <v>30</v>
      </c>
    </row>
    <row r="112" spans="1:6" s="816" customFormat="1" ht="24">
      <c r="A112" s="820">
        <v>52</v>
      </c>
      <c r="B112" s="3525"/>
      <c r="C112" s="820" t="s">
        <v>727</v>
      </c>
      <c r="D112" s="756" t="s">
        <v>728</v>
      </c>
      <c r="E112" s="833">
        <v>0.2</v>
      </c>
      <c r="F112" s="820">
        <v>30</v>
      </c>
    </row>
    <row r="113" spans="1:6" s="816" customFormat="1" ht="24">
      <c r="A113" s="820">
        <v>53</v>
      </c>
      <c r="B113" s="352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25" t="s">
        <v>737</v>
      </c>
      <c r="C116" s="820" t="s">
        <v>738</v>
      </c>
      <c r="D116" s="756" t="s">
        <v>739</v>
      </c>
      <c r="E116" s="833">
        <v>0.2</v>
      </c>
      <c r="F116" s="820">
        <v>30</v>
      </c>
    </row>
    <row r="117" spans="1:6" ht="36">
      <c r="A117" s="820">
        <v>57</v>
      </c>
      <c r="B117" s="352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1.1861999999999999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2762</v>
      </c>
      <c r="B1" s="2331"/>
      <c r="C1" s="2331"/>
      <c r="D1" s="2331"/>
      <c r="E1" s="2331"/>
      <c r="F1" s="2992"/>
      <c r="G1" s="2992"/>
      <c r="H1" s="2992"/>
      <c r="I1" s="2992"/>
      <c r="J1" s="2992"/>
      <c r="K1" s="2992"/>
      <c r="L1" s="2992"/>
      <c r="M1" s="2992"/>
      <c r="N1" s="2992"/>
      <c r="O1" s="2992"/>
      <c r="P1" s="2992"/>
    </row>
    <row r="2" spans="1:16" ht="15.75">
      <c r="A2" s="2329" t="s">
        <v>2754</v>
      </c>
      <c r="B2" s="2796" t="e">
        <f ca="1">SUMIF(B6:B13,"&lt;&gt;#ref!",B6:B13)</f>
        <v>#DIV/0!</v>
      </c>
      <c r="C2" s="2329" t="s">
        <v>2755</v>
      </c>
      <c r="D2" s="2329" t="s">
        <v>2756</v>
      </c>
      <c r="E2" s="2806">
        <f ca="1">SUMIF(E6:E13,"&lt;&gt;#ref!",E6:E13)</f>
        <v>0</v>
      </c>
      <c r="F2" s="2992"/>
      <c r="G2" s="2992"/>
      <c r="H2" s="2992"/>
      <c r="I2" s="2992"/>
      <c r="J2" s="2992"/>
      <c r="K2" s="2992"/>
      <c r="L2" s="2992"/>
      <c r="M2" s="2992"/>
      <c r="N2" s="2992"/>
      <c r="O2" s="2992"/>
      <c r="P2" s="2992"/>
    </row>
    <row r="3" spans="1:16" ht="15.75">
      <c r="A3" s="2329" t="s">
        <v>2757</v>
      </c>
      <c r="B3" s="2796" t="e">
        <f ca="1">ROUND(B2*10000/E2,0)</f>
        <v>#DIV/0!</v>
      </c>
      <c r="C3" s="2329"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0"/>
      <c r="D5" s="2992"/>
      <c r="E5" s="2805" t="s">
        <v>2760</v>
      </c>
      <c r="F5" s="2992"/>
      <c r="G5" s="2992"/>
      <c r="H5" s="2992"/>
      <c r="I5" s="2992"/>
      <c r="J5" s="2992"/>
      <c r="K5" s="2992"/>
      <c r="L5" s="2992"/>
      <c r="M5" s="2992"/>
      <c r="N5" s="2992"/>
      <c r="O5" s="2992"/>
      <c r="P5" s="2992"/>
    </row>
    <row r="6" spans="1:16" ht="15.75">
      <c r="A6" s="2803" t="s">
        <v>2761</v>
      </c>
      <c r="B6" s="2796" t="e">
        <f ca="1">SUMIF(INDIRECT("'"&amp;A6&amp;"'"&amp;"!A:A"),"总价",INDIRECT("'"&amp;A6&amp;"'"&amp;"!B:B"))</f>
        <v>#DIV/0!</v>
      </c>
      <c r="C6" s="2329" t="s">
        <v>2755</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29"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31" t="s">
        <v>1058</v>
      </c>
      <c r="C1" s="3531"/>
      <c r="D1" s="3531"/>
      <c r="E1" s="3531"/>
      <c r="F1" s="3531"/>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2795</v>
      </c>
      <c r="B3" s="2363"/>
      <c r="C3" s="2363"/>
      <c r="D3" s="2364"/>
      <c r="E3" s="2364"/>
      <c r="F3" s="2363"/>
      <c r="G3" s="2365"/>
      <c r="H3" s="2366"/>
      <c r="I3" s="2367">
        <f>ROUND(AVERAGE($I4:$I37),2)</f>
        <v>1.64</v>
      </c>
      <c r="J3" s="2367">
        <f>ROUND(AVERAGE($J4:$J37),2)</f>
        <v>1.03</v>
      </c>
      <c r="K3" s="2367">
        <f>ROUND(AVERAGE($K4:$K37),2)</f>
        <v>1.81</v>
      </c>
      <c r="L3" s="2367">
        <f>ROUND(AVERAGE($L4:$L37),2)</f>
        <v>1.2</v>
      </c>
      <c r="N3" s="2365"/>
      <c r="S3" s="2365"/>
      <c r="W3" s="2369"/>
      <c r="X3" s="2370">
        <f>ROUND(SUMPRODUCT(PRODUCT(1+N3:N$36)),4)</f>
        <v>1.6585000000000001</v>
      </c>
      <c r="Y3" s="2370">
        <f>ROUND(SUMPRODUCT(PRODUCT(1+O3:O$36)),4)</f>
        <v>1.3676999999999999</v>
      </c>
      <c r="Z3" s="2370">
        <f t="shared" ref="Z3:Z34" si="0">Y3</f>
        <v>1.3676999999999999</v>
      </c>
      <c r="AA3" s="2370">
        <f>ROUND(SUMPRODUCT(PRODUCT(1+P3:P$36)),4)</f>
        <v>1.7434000000000001</v>
      </c>
      <c r="AB3" s="2370">
        <f>ROUND(SUMPRODUCT(PRODUCT(1+Q3:Q$36)),4)</f>
        <v>1.4609000000000001</v>
      </c>
      <c r="AD3" s="2371">
        <f>ROUND(AVERAGE(I3:I$37)/100,4)</f>
        <v>1.6400000000000001E-2</v>
      </c>
      <c r="AE3" s="2371">
        <f>ROUND(AVERAGE(J3:J$37)/100,4)</f>
        <v>1.03E-2</v>
      </c>
      <c r="AF3" s="2371">
        <f t="shared" ref="AF3:AF35" si="1">AE3</f>
        <v>1.03E-2</v>
      </c>
      <c r="AG3" s="2371">
        <f>ROUND(AVERAGE(K3:K$37)/100,4)</f>
        <v>1.8100000000000002E-2</v>
      </c>
      <c r="AH3" s="2371">
        <f>ROUND(AVERAGE(L3:L$37)/100,4)</f>
        <v>1.2E-2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3127</v>
      </c>
      <c r="B5" s="2381">
        <f t="shared" ref="B5" si="2">B6*(1+N5)</f>
        <v>510.07089659554606</v>
      </c>
      <c r="C5" s="2381">
        <f t="shared" ref="C5" si="3">C6*(1+O5)</f>
        <v>352.55593185737411</v>
      </c>
      <c r="D5" s="2381">
        <f t="shared" ref="D5" si="4">C5</f>
        <v>352.55593185737411</v>
      </c>
      <c r="E5" s="2381">
        <f t="shared" ref="E5" si="5">E6*(1+P5)</f>
        <v>737.27992463403655</v>
      </c>
      <c r="F5" s="2381">
        <f t="shared" ref="F5" si="6">F6*(1+Q5)</f>
        <v>335.88319198297864</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2796</v>
      </c>
      <c r="X5" s="2389">
        <f>ROUND(IF(项目基本情况!B1="出让",SUMPRODUCT(PRODUCT(1+N5:N$37)),SUMPRODUCT(PRODUCT(1+N5:N$36))),4)</f>
        <v>1.6585000000000001</v>
      </c>
      <c r="Y5" s="2389">
        <f>ROUND(IF(项目基本情况!B1="出让",SUMPRODUCT(PRODUCT(1+O5:O$37)),SUMPRODUCT(PRODUCT(1+O5:O$36))),4)</f>
        <v>1.3676999999999999</v>
      </c>
      <c r="Z5" s="2389">
        <f t="shared" ref="Z5" si="11">Y5</f>
        <v>1.3676999999999999</v>
      </c>
      <c r="AA5" s="2389">
        <f>ROUND(IF(项目基本情况!B1="出让",SUMPRODUCT(PRODUCT(1+P5:P$37)),SUMPRODUCT(PRODUCT(1+P5:P$36))),4)</f>
        <v>1.7434000000000001</v>
      </c>
      <c r="AB5" s="2389">
        <f>ROUND(IF(项目基本情况!B1="出让",SUMPRODUCT(PRODUCT(1+Q5:Q$37)),SUMPRODUCT(PRODUCT(1+Q5:Q$36))),4)</f>
        <v>1.4609000000000001</v>
      </c>
      <c r="AD5" s="2390">
        <f>ROUND(AVERAGE(I5:I$37)/100,4)</f>
        <v>1.6400000000000001E-2</v>
      </c>
      <c r="AE5" s="2390">
        <f>ROUND(AVERAGE(J5:J$37)/100,4)</f>
        <v>1.03E-2</v>
      </c>
      <c r="AF5" s="2390">
        <f t="shared" ref="AF5" si="12">AE5</f>
        <v>1.03E-2</v>
      </c>
      <c r="AG5" s="2390">
        <f>ROUND(AVERAGE(K5:K$37)/100,4)</f>
        <v>1.8100000000000002E-2</v>
      </c>
      <c r="AH5" s="2390">
        <f>ROUND(AVERAGE(L5:L$37)/100,4)</f>
        <v>1.2E-2</v>
      </c>
    </row>
    <row r="6" spans="1:34" s="2398" customFormat="1">
      <c r="A6" s="2391" t="s">
        <v>3126</v>
      </c>
      <c r="B6" s="2392">
        <f t="shared" ref="B6" si="13">B7*(1+N6)</f>
        <v>510.07089659554606</v>
      </c>
      <c r="C6" s="2392">
        <f t="shared" ref="C6" si="14">C7*(1+O6)</f>
        <v>352.55593185737411</v>
      </c>
      <c r="D6" s="2392">
        <f t="shared" ref="D6" si="15">C6</f>
        <v>352.55593185737411</v>
      </c>
      <c r="E6" s="2392">
        <f t="shared" ref="E6" si="16">E7*(1+P6)</f>
        <v>737.27992463403655</v>
      </c>
      <c r="F6" s="2392">
        <f t="shared" ref="F6" si="17">F7*(1+Q6)</f>
        <v>335.88319198297864</v>
      </c>
      <c r="G6" s="3204">
        <v>2021</v>
      </c>
      <c r="H6" s="2393">
        <v>4</v>
      </c>
      <c r="I6" s="2355">
        <v>1.03</v>
      </c>
      <c r="J6" s="2355">
        <v>0.24</v>
      </c>
      <c r="K6" s="2355">
        <v>1.17</v>
      </c>
      <c r="L6" s="2356">
        <v>0.55000000000000004</v>
      </c>
      <c r="M6" s="2378"/>
      <c r="N6" s="2394">
        <f t="shared" ref="N6" si="18">I6/100</f>
        <v>1.03E-2</v>
      </c>
      <c r="O6" s="2379">
        <f t="shared" ref="O6" si="19">J6/100</f>
        <v>2.3999999999999998E-3</v>
      </c>
      <c r="P6" s="2379">
        <f t="shared" ref="P6" si="20">K6/100</f>
        <v>1.1699999999999999E-2</v>
      </c>
      <c r="Q6" s="2379">
        <f t="shared" ref="Q6" si="21">L6/100</f>
        <v>5.5000000000000005E-3</v>
      </c>
      <c r="R6" s="2395"/>
      <c r="S6" s="2394"/>
      <c r="T6" s="2379"/>
      <c r="U6" s="2379"/>
      <c r="V6" s="2379"/>
      <c r="W6" s="2396"/>
      <c r="X6" s="2396">
        <f>ROUND(IF(项目基本情况!B2="出让",SUMPRODUCT(PRODUCT(1+N6:N$37)),SUMPRODUCT(PRODUCT(1+N6:N$36))),4)</f>
        <v>1.6585000000000001</v>
      </c>
      <c r="Y6" s="2396">
        <f>ROUND(IF(项目基本情况!B2="出让",SUMPRODUCT(PRODUCT(1+O6:O$37)),SUMPRODUCT(PRODUCT(1+O6:O$36))),4)</f>
        <v>1.3676999999999999</v>
      </c>
      <c r="Z6" s="2396">
        <f t="shared" ref="Z6" si="22">Y6</f>
        <v>1.3676999999999999</v>
      </c>
      <c r="AA6" s="2396">
        <f>ROUND(IF(项目基本情况!B2="出让",SUMPRODUCT(PRODUCT(1+P6:P$37)),SUMPRODUCT(PRODUCT(1+P6:P$36))),4)</f>
        <v>1.7434000000000001</v>
      </c>
      <c r="AB6" s="2396">
        <f>ROUND(IF(项目基本情况!B2="出让",SUMPRODUCT(PRODUCT(1+Q6:Q$37)),SUMPRODUCT(PRODUCT(1+Q6:Q$36))),4)</f>
        <v>1.4609000000000001</v>
      </c>
      <c r="AC6" s="2396"/>
      <c r="AD6" s="2397">
        <f>ROUND(AVERAGE(I6:I$37)/100,4)</f>
        <v>1.6899999999999998E-2</v>
      </c>
      <c r="AE6" s="2397">
        <f>ROUND(AVERAGE(J6:J$37)/100,4)</f>
        <v>1.06E-2</v>
      </c>
      <c r="AF6" s="2397">
        <f t="shared" ref="AF6" si="23">AE6</f>
        <v>1.06E-2</v>
      </c>
      <c r="AG6" s="2397">
        <f>ROUND(AVERAGE(K6:K$37)/100,4)</f>
        <v>1.8700000000000001E-2</v>
      </c>
      <c r="AH6" s="2397">
        <f>ROUND(AVERAGE(L6:L$37)/100,4)</f>
        <v>1.24E-2</v>
      </c>
    </row>
    <row r="7" spans="1:34" s="2398" customFormat="1">
      <c r="A7" s="2391" t="s">
        <v>3003</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3002</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3001</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2999</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2998</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2812</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2810</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2809</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2808</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2806</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2804</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2807</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29">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2802</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29"/>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2801</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29"/>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2794</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36"/>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2792</v>
      </c>
      <c r="B22" s="2406">
        <v>439</v>
      </c>
      <c r="C22" s="2406">
        <v>327</v>
      </c>
      <c r="D22" s="2406">
        <f>C22</f>
        <v>327</v>
      </c>
      <c r="E22" s="2406">
        <v>627</v>
      </c>
      <c r="F22" s="2407">
        <v>283</v>
      </c>
      <c r="G22" s="3532">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2793</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29"/>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29"/>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36"/>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32">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29"/>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29"/>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30"/>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28">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29"/>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29"/>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30"/>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28">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29"/>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29"/>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30"/>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33">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34"/>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34"/>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35"/>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28">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29"/>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29"/>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30"/>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28">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29">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29">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30">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28">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29">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29">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30">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28">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29">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29">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30">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28">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29">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29">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30">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28">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29">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29">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30">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28">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29">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29">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30">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28">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29">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29">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30">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28">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29">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29">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30">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28">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29">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29">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30">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28">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29">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29">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30">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6"/>
      <c r="B4" s="3214" t="s">
        <v>1535</v>
      </c>
      <c r="C4" s="3214"/>
      <c r="D4" s="3214"/>
      <c r="E4" s="1646"/>
    </row>
    <row r="5" spans="1:5" ht="16.5" thickTop="1">
      <c r="A5" s="1644"/>
      <c r="B5" s="3212" t="s">
        <v>1527</v>
      </c>
      <c r="C5" s="1647" t="s">
        <v>1528</v>
      </c>
      <c r="D5" s="958">
        <f ca="1">结果表!H101</f>
        <v>31660</v>
      </c>
      <c r="E5" s="1644"/>
    </row>
    <row r="6" spans="1:5" ht="15.75">
      <c r="A6" s="1644"/>
      <c r="B6" s="3212"/>
      <c r="C6" s="1647" t="s">
        <v>1529</v>
      </c>
      <c r="D6" s="958" t="str">
        <f ca="1">NUMBERSTRING(INT(D5*10000),2)&amp;"元整"</f>
        <v>叁亿壹仟陆佰陆拾万元整</v>
      </c>
      <c r="E6" s="1644"/>
    </row>
    <row r="7" spans="1:5" ht="15.75">
      <c r="A7" s="1644"/>
      <c r="B7" s="3217"/>
      <c r="C7" s="1648" t="s">
        <v>1530</v>
      </c>
      <c r="D7" s="959">
        <f ca="1">结果表!H102</f>
        <v>12764</v>
      </c>
      <c r="E7" s="1644"/>
    </row>
    <row r="8" spans="1:5" ht="15.75">
      <c r="A8" s="1644"/>
      <c r="B8" s="3218" t="str">
        <f>结果表!E103</f>
        <v>2.估价师知悉的法定优先受偿款</v>
      </c>
      <c r="C8" s="1649" t="s">
        <v>1531</v>
      </c>
      <c r="D8" s="959">
        <f>结果表!H103</f>
        <v>0</v>
      </c>
      <c r="E8" s="1644"/>
    </row>
    <row r="9" spans="1:5" ht="15.75">
      <c r="A9" s="1644"/>
      <c r="B9" s="3220"/>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11" t="str">
        <f>结果表!E107</f>
        <v>3.房地产抵押价值</v>
      </c>
      <c r="C13" s="1652" t="s">
        <v>1528</v>
      </c>
      <c r="D13" s="961">
        <f ca="1">结果表!H107</f>
        <v>31660</v>
      </c>
      <c r="E13" s="1644"/>
    </row>
    <row r="14" spans="1:5" ht="15.75">
      <c r="A14" s="1644"/>
      <c r="B14" s="3212"/>
      <c r="C14" s="1647" t="s">
        <v>1529</v>
      </c>
      <c r="D14" s="958" t="str">
        <f ca="1">NUMBERSTRING(INT(D13*10000),2)&amp;"元整"</f>
        <v>叁亿壹仟陆佰陆拾万元整</v>
      </c>
      <c r="E14" s="1644"/>
    </row>
    <row r="15" spans="1:5" ht="15">
      <c r="A15" s="1644"/>
      <c r="B15" s="3217"/>
      <c r="C15" s="1648" t="s">
        <v>1539</v>
      </c>
      <c r="D15" s="967">
        <f ca="1">结果表!H108</f>
        <v>12764</v>
      </c>
      <c r="E15" s="1644"/>
    </row>
    <row r="16" spans="1:5" ht="15">
      <c r="A16" s="1644"/>
      <c r="B16" s="3218" t="str">
        <f>结果表!E109</f>
        <v>——</v>
      </c>
      <c r="C16" s="1652" t="s">
        <v>1540</v>
      </c>
      <c r="D16" s="1653" t="str">
        <f>结果表!H109</f>
        <v>——</v>
      </c>
      <c r="E16" s="1644"/>
    </row>
    <row r="17" spans="1:5" ht="15.75">
      <c r="A17" s="1644"/>
      <c r="B17" s="3219"/>
      <c r="C17" s="1647" t="s">
        <v>1541</v>
      </c>
      <c r="D17" s="958" t="e">
        <f>NUMBERSTRING(INT(D16*10000),2)&amp;"元整"</f>
        <v>#VALUE!</v>
      </c>
      <c r="E17" s="1644"/>
    </row>
    <row r="18" spans="1:5" ht="15">
      <c r="A18" s="1644"/>
      <c r="B18" s="3220"/>
      <c r="C18" s="1648" t="s">
        <v>1530</v>
      </c>
      <c r="D18" s="967" t="str">
        <f>结果表!H110</f>
        <v>——</v>
      </c>
      <c r="E18" s="1644"/>
    </row>
    <row r="19" spans="1:5" ht="15.75">
      <c r="A19" s="1644"/>
      <c r="B19" s="3211" t="str">
        <f>结果表!E111</f>
        <v>——</v>
      </c>
      <c r="C19" s="1652" t="s">
        <v>1528</v>
      </c>
      <c r="D19" s="959" t="str">
        <f>结果表!H111</f>
        <v>——</v>
      </c>
      <c r="E19" s="1644"/>
    </row>
    <row r="20" spans="1:5" ht="15.75">
      <c r="A20" s="1644"/>
      <c r="B20" s="3212"/>
      <c r="C20" s="1647" t="s">
        <v>1541</v>
      </c>
      <c r="D20" s="958" t="e">
        <f>NUMBERSTRING(INT(D19*10000),2)&amp;"元整"</f>
        <v>#VALUE!</v>
      </c>
      <c r="E20" s="1644"/>
    </row>
    <row r="21" spans="1:5" ht="15.75" thickBot="1">
      <c r="A21" s="1644"/>
      <c r="B21" s="3213"/>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2764</v>
      </c>
      <c r="C1" s="3540" t="s">
        <v>2765</v>
      </c>
      <c r="D1" s="3541"/>
      <c r="E1" s="3541"/>
      <c r="F1" s="3541"/>
      <c r="G1" s="3541"/>
      <c r="H1" s="3541"/>
      <c r="I1" s="3541"/>
      <c r="J1" s="3541"/>
      <c r="K1" s="3541"/>
      <c r="L1" s="3541"/>
      <c r="M1" s="3541"/>
      <c r="N1" s="3541"/>
      <c r="O1" s="3541"/>
      <c r="P1" s="3541"/>
      <c r="Q1" s="3541"/>
      <c r="R1" s="3541"/>
      <c r="S1" s="3542"/>
      <c r="T1" s="1113" t="s">
        <v>2766</v>
      </c>
    </row>
    <row r="2" spans="1:45" s="662" customFormat="1">
      <c r="A2" s="1114"/>
      <c r="B2" s="658" t="s">
        <v>2767</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4" t="s">
        <v>2768</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5" t="s">
        <v>2769</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5" t="s">
        <v>2770</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4" t="s">
        <v>2771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4" t="s">
        <v>2772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4" t="s">
        <v>2773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2774</v>
      </c>
      <c r="B17" s="2333" t="s">
        <v>2775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2776</v>
      </c>
      <c r="E19" s="1492"/>
      <c r="F19" s="1492"/>
      <c r="G19" s="1492"/>
      <c r="H19" s="1188"/>
      <c r="I19" s="163"/>
      <c r="J19" s="163"/>
      <c r="K19" s="163"/>
      <c r="L19" s="163"/>
      <c r="M19" s="163"/>
      <c r="N19" s="163"/>
      <c r="O19" s="163"/>
      <c r="P19" s="163"/>
      <c r="Q19" s="163"/>
      <c r="R19" s="726"/>
      <c r="S19" s="133"/>
    </row>
    <row r="20" spans="1:45" ht="16.5" thickBot="1">
      <c r="A20" s="670" t="s">
        <v>2777</v>
      </c>
      <c r="B20" s="299" t="e">
        <f ca="1">IF(D20="——",S22,S22-F20)</f>
        <v>#REF!</v>
      </c>
      <c r="C20" s="163"/>
      <c r="D20" s="2335"/>
      <c r="E20" s="1493"/>
      <c r="F20" s="1113" t="e">
        <f ca="1">SUMIF(INDIRECT("'"&amp;H20&amp;"'"&amp;"!A:A"),"承租人权益价值",INDIRECT("'"&amp;H20&amp;"'"&amp;"!c:c"))</f>
        <v>#REF!</v>
      </c>
      <c r="G20" s="1113" t="s">
        <v>2778</v>
      </c>
      <c r="H20" s="2336"/>
      <c r="I20" s="163"/>
      <c r="J20" s="163"/>
      <c r="K20" s="163"/>
      <c r="L20" s="163"/>
      <c r="M20" s="163"/>
      <c r="N20" s="163"/>
      <c r="O20" s="163"/>
      <c r="P20" s="163"/>
      <c r="Q20" s="163"/>
      <c r="R20" s="726"/>
      <c r="S20" s="133"/>
    </row>
    <row r="21" spans="1:45" ht="15.75">
      <c r="A21" s="670" t="s">
        <v>2779</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2780</v>
      </c>
      <c r="B22" s="24">
        <f>SUM(B24:B10000)</f>
        <v>100</v>
      </c>
      <c r="C22" s="3537" t="s">
        <v>33</v>
      </c>
      <c r="D22" s="3538"/>
      <c r="E22" s="3538"/>
      <c r="F22" s="3538"/>
      <c r="G22" s="3538"/>
      <c r="H22" s="3538"/>
      <c r="I22" s="3538"/>
      <c r="J22" s="3538"/>
      <c r="K22" s="3538"/>
      <c r="L22" s="3538"/>
      <c r="M22" s="3538"/>
      <c r="N22" s="3538"/>
      <c r="O22" s="3538"/>
      <c r="P22" s="3538"/>
      <c r="Q22" s="3539"/>
      <c r="R22" s="671">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2" t="s">
        <v>2784</v>
      </c>
      <c r="S23" s="11" t="s">
        <v>2785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2786</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40156</v>
      </c>
      <c r="C2" s="2" t="s">
        <v>133</v>
      </c>
      <c r="D2" s="204"/>
      <c r="E2" s="204"/>
      <c r="F2" s="204"/>
      <c r="G2" s="204"/>
    </row>
    <row r="3" spans="1:7" s="205" customFormat="1" ht="18" customHeight="1" thickBot="1">
      <c r="A3" s="208" t="s">
        <v>85</v>
      </c>
      <c r="B3" s="209">
        <f ca="1">ROUND(B2*10000/'数据-汇总表'!E3,0)</f>
        <v>16189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496</v>
      </c>
      <c r="D10" s="953">
        <f>'数据-汇总表'!E6</f>
        <v>24804.469999999998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496</v>
      </c>
      <c r="D19" s="957">
        <f>'数据-汇总表'!E3</f>
        <v>24804.469999999998</v>
      </c>
      <c r="E19" s="216">
        <f>'数据-取费表'!B31</f>
        <v>200</v>
      </c>
      <c r="F19" s="236"/>
      <c r="G19" s="1" t="s">
        <v>1042</v>
      </c>
    </row>
    <row r="20" spans="1:7" s="219" customFormat="1" ht="13.5" customHeight="1">
      <c r="A20" s="884" t="s">
        <v>1025</v>
      </c>
      <c r="B20" s="215" t="s">
        <v>104</v>
      </c>
      <c r="C20" s="237">
        <f>ROUND((C5+C19)*F20,0)</f>
        <v>422</v>
      </c>
      <c r="D20" s="237"/>
      <c r="E20" s="237"/>
      <c r="F20" s="238">
        <f>'数据-取费表'!B37</f>
        <v>0.02</v>
      </c>
      <c r="G20" s="1197"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4">
        <f ca="1">ROUND(SUM(C23:C25),0)</f>
        <v>1357</v>
      </c>
      <c r="D22" s="240">
        <f ca="1">C26</f>
        <v>5.9999999999999995E-4</v>
      </c>
      <c r="E22" s="241" t="s">
        <v>126</v>
      </c>
      <c r="F22" s="242">
        <f ca="1">'数据-取费表'!B40</f>
        <v>4.2000000000000003E-2</v>
      </c>
      <c r="G22" s="1197" t="str">
        <f>IF('数据-取费表'!B22&lt;=1,"单利计息","复利计息")</f>
        <v>复利计息</v>
      </c>
    </row>
    <row r="23" spans="1:7" s="219" customFormat="1" ht="13.5" customHeight="1">
      <c r="A23" s="887" t="s">
        <v>794</v>
      </c>
      <c r="B23" s="220" t="s">
        <v>1029</v>
      </c>
      <c r="C23" s="1235">
        <f ca="1">ROUND(IF('数据-取费表'!B22&lt;=1,C5*F22*'数据-取费表'!B23,C5*(POWER((1+F22),'数据-取费表'!B23)-1)),0)</f>
        <v>1312</v>
      </c>
      <c r="D23" s="243"/>
      <c r="E23" s="243"/>
      <c r="F23" s="244"/>
      <c r="G23" s="245" t="s">
        <v>108</v>
      </c>
    </row>
    <row r="24" spans="1:7" s="219" customFormat="1" ht="13.5" customHeight="1">
      <c r="A24" s="887" t="s">
        <v>792</v>
      </c>
      <c r="B24" s="220" t="s">
        <v>1024</v>
      </c>
      <c r="C24" s="1235">
        <f ca="1">ROUND(IF('数据-取费表'!B22&lt;=1,C19*F22*('数据-取费表'!B19/2+'数据-取费表'!B21),C19*(POWER((1+F22),('数据-取费表'!B19/2+'数据-取费表'!B21))-1)),0)</f>
        <v>32</v>
      </c>
      <c r="D24" s="243"/>
      <c r="E24" s="243"/>
      <c r="F24" s="244"/>
      <c r="G24" s="245" t="s">
        <v>109</v>
      </c>
    </row>
    <row r="25" spans="1:7" s="219" customFormat="1" ht="24">
      <c r="A25" s="887" t="s">
        <v>793</v>
      </c>
      <c r="B25" s="220" t="s">
        <v>1026</v>
      </c>
      <c r="C25" s="1235">
        <f ca="1">ROUND(IF('数据-取费表'!B22&lt;=1,C20*F22*'数据-取费表'!B23/2,C20*(POWER((1+F22),'数据-取费表'!B23/2)-1)),0)</f>
        <v>13</v>
      </c>
      <c r="D25" s="243"/>
      <c r="E25" s="246"/>
      <c r="F25" s="244"/>
      <c r="G25" s="247" t="s">
        <v>110</v>
      </c>
    </row>
    <row r="26" spans="1:7" s="219" customFormat="1">
      <c r="A26" s="887" t="s">
        <v>795</v>
      </c>
      <c r="B26" s="220" t="s">
        <v>1028</v>
      </c>
      <c r="C26" s="243">
        <f ca="1">ROUND(IF('数据-取费表'!B22&lt;=1,F21*F22*'数据-取费表'!B23/2,F21*(POWER((1+F22),'数据-取费表'!B23/2)-1)),4)</f>
        <v>5.9999999999999995E-4</v>
      </c>
      <c r="D26" s="243"/>
      <c r="E26" s="246"/>
      <c r="F26" s="244"/>
      <c r="G26" s="248"/>
    </row>
    <row r="27" spans="1:7" s="219" customFormat="1" ht="24.75">
      <c r="A27" s="884" t="s">
        <v>787</v>
      </c>
      <c r="B27" s="249" t="s">
        <v>112</v>
      </c>
      <c r="C27" s="250">
        <f>C28</f>
        <v>3229</v>
      </c>
      <c r="D27" s="240">
        <f>C29</f>
        <v>3.0000000000000001E-3</v>
      </c>
      <c r="E27" s="241" t="s">
        <v>126</v>
      </c>
      <c r="F27" s="251">
        <f>'数据-取费表'!Q16</f>
        <v>0.15</v>
      </c>
      <c r="G27" s="252" t="s">
        <v>1037</v>
      </c>
    </row>
    <row r="28" spans="1:7" s="219" customFormat="1" ht="13.5" customHeight="1">
      <c r="A28" s="887" t="s">
        <v>794</v>
      </c>
      <c r="B28" s="253" t="s">
        <v>1030</v>
      </c>
      <c r="C28" s="254">
        <f>ROUND((C5+C19+C20)*F27*'数据-取费表'!B21/'数据-取费表'!B20,0)</f>
        <v>3229</v>
      </c>
      <c r="D28" s="240"/>
      <c r="E28" s="241"/>
      <c r="F28" s="251"/>
      <c r="G28" s="252"/>
    </row>
    <row r="29" spans="1:7" s="219" customFormat="1" ht="13.5" customHeight="1">
      <c r="A29" s="887" t="s">
        <v>792</v>
      </c>
      <c r="B29" s="253" t="s">
        <v>1031</v>
      </c>
      <c r="C29" s="243">
        <f>ROUND(C21*F27*'数据-取费表'!B21/'数据-取费表'!B20,4)</f>
        <v>3.0000000000000001E-3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28290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9568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8682</v>
      </c>
      <c r="D34" s="222"/>
      <c r="E34" s="225"/>
      <c r="F34" s="262">
        <f>IF('数据-取费表'!B24=0,1,'数据-取费表'!N16)</f>
        <v>1</v>
      </c>
      <c r="G34" s="224" t="s">
        <v>116</v>
      </c>
    </row>
    <row r="35" spans="1:7" ht="13.5" customHeight="1">
      <c r="A35" s="887" t="s">
        <v>796</v>
      </c>
      <c r="B35" s="220" t="s">
        <v>60</v>
      </c>
      <c r="C35" s="225">
        <f>ROUND(C34*F35,0)</f>
        <v>260</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496</v>
      </c>
      <c r="D37" s="222">
        <f>'数据-汇总表'!E3</f>
        <v>24804.469999999998</v>
      </c>
      <c r="E37" s="254">
        <f>'数据-取费表'!B35</f>
        <v>200</v>
      </c>
      <c r="F37" s="264"/>
      <c r="G37" s="266" t="s">
        <v>119</v>
      </c>
    </row>
    <row r="38" spans="1:7" ht="13.5" customHeight="1">
      <c r="A38" s="887" t="s">
        <v>799</v>
      </c>
      <c r="B38" s="220" t="s">
        <v>63</v>
      </c>
      <c r="C38" s="225">
        <f>ROUND(C34*F38,0)</f>
        <v>130</v>
      </c>
      <c r="D38" s="225"/>
      <c r="E38" s="225"/>
      <c r="F38" s="264">
        <f>'数据-取费表'!B36</f>
        <v>1.4999999999999999E-2</v>
      </c>
      <c r="G38" s="224" t="s">
        <v>117</v>
      </c>
    </row>
    <row r="39" spans="1:7" s="219" customFormat="1" ht="13.5" customHeight="1">
      <c r="A39" s="884" t="s">
        <v>783</v>
      </c>
      <c r="B39" s="215" t="s">
        <v>104</v>
      </c>
      <c r="C39" s="237">
        <f>ROUND(C33*F20,0)</f>
        <v>191</v>
      </c>
      <c r="D39" s="237"/>
      <c r="E39" s="237"/>
      <c r="F39" s="238"/>
      <c r="G39" s="1197"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 ca="1">ROUND(SUM(C42:C43),0)</f>
        <v>306</v>
      </c>
      <c r="D41" s="240">
        <f ca="1">C44</f>
        <v>5.9999999999999995E-4</v>
      </c>
      <c r="E41" s="241" t="s">
        <v>129</v>
      </c>
      <c r="F41" s="242"/>
      <c r="G41" s="1197" t="str">
        <f>IF('数据-取费表'!B22&lt;=1,"单利计息","复利计息")</f>
        <v>复利计息</v>
      </c>
    </row>
    <row r="42" spans="1:7" ht="13.5" customHeight="1">
      <c r="A42" s="887" t="s">
        <v>794</v>
      </c>
      <c r="B42" s="220" t="s">
        <v>1029</v>
      </c>
      <c r="C42" s="243">
        <f ca="1">ROUND(IF('数据-取费表'!B22&lt;=1,C33*F22*'数据-取费表'!B21/2,C33*(POWER((1+F22),'数据-取费表'!B21/2)-1)),0)</f>
        <v>300</v>
      </c>
      <c r="D42" s="243"/>
      <c r="E42" s="243"/>
      <c r="F42" s="244"/>
      <c r="G42" s="3399" t="s">
        <v>121</v>
      </c>
    </row>
    <row r="43" spans="1:7" ht="13.5" customHeight="1">
      <c r="A43" s="887" t="s">
        <v>792</v>
      </c>
      <c r="B43" s="220" t="s">
        <v>1032</v>
      </c>
      <c r="C43" s="243">
        <f ca="1">ROUND(IF('数据-取费表'!B22&lt;=1,C39*F22*'数据-取费表'!B21/2,C39*(POWER((1+F22),'数据-取费表'!B21/2)-1)),0)</f>
        <v>6</v>
      </c>
      <c r="D43" s="243"/>
      <c r="E43" s="243"/>
      <c r="F43" s="244"/>
      <c r="G43" s="3400"/>
    </row>
    <row r="44" spans="1:7" ht="13.5" customHeight="1">
      <c r="A44" s="887" t="s">
        <v>793</v>
      </c>
      <c r="B44" s="220" t="s">
        <v>1034</v>
      </c>
      <c r="C44" s="243">
        <f ca="1">ROUND(IF('数据-取费表'!B22&lt;=1,C40*F22*'数据-取费表'!B21/2,C40*(POWER((1+F22),'数据-取费表'!B21/2)-1)),4)</f>
        <v>5.9999999999999995E-4</v>
      </c>
      <c r="D44" s="243"/>
      <c r="E44" s="243"/>
      <c r="F44" s="244"/>
      <c r="G44" s="3401"/>
    </row>
    <row r="45" spans="1:7" s="219" customFormat="1" ht="13.5" customHeight="1">
      <c r="A45" s="884" t="s">
        <v>786</v>
      </c>
      <c r="B45" s="249" t="s">
        <v>112</v>
      </c>
      <c r="C45" s="250">
        <f>C46</f>
        <v>1464</v>
      </c>
      <c r="D45" s="240">
        <f>C47</f>
        <v>3.0000000000000001E-3</v>
      </c>
      <c r="E45" s="241" t="s">
        <v>129</v>
      </c>
      <c r="F45" s="251"/>
      <c r="G45" s="252" t="s">
        <v>1040</v>
      </c>
    </row>
    <row r="46" spans="1:7" s="219" customFormat="1" ht="13.5" customHeight="1">
      <c r="A46" s="887" t="s">
        <v>794</v>
      </c>
      <c r="B46" s="253" t="s">
        <v>1033</v>
      </c>
      <c r="C46" s="254">
        <f>ROUND((C33+C39)*F27,0)</f>
        <v>1464</v>
      </c>
      <c r="D46" s="268"/>
      <c r="E46" s="241"/>
      <c r="F46" s="251"/>
      <c r="G46" s="252"/>
    </row>
    <row r="47" spans="1:7" s="219" customFormat="1" ht="13.5" customHeight="1">
      <c r="A47" s="887" t="s">
        <v>792</v>
      </c>
      <c r="B47" s="253" t="s">
        <v>1035</v>
      </c>
      <c r="C47" s="243">
        <f>ROUND(C40*F27,4)</f>
        <v>3.0000000000000001E-3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12490</v>
      </c>
      <c r="D49" s="237"/>
      <c r="E49" s="237"/>
      <c r="F49" s="269"/>
      <c r="G49" s="239" t="s">
        <v>1041</v>
      </c>
    </row>
    <row r="50" spans="1:7" s="263" customFormat="1" ht="24">
      <c r="A50" s="884" t="s">
        <v>789</v>
      </c>
      <c r="B50" s="215" t="s">
        <v>124</v>
      </c>
      <c r="C50" s="237"/>
      <c r="D50" s="237"/>
      <c r="E50" s="237"/>
      <c r="F50" s="269">
        <f>IF('数据-取费表'!B24=0,'数据-取费表'!N16,1)</f>
        <v>0.95</v>
      </c>
      <c r="G50" s="252" t="s">
        <v>125</v>
      </c>
    </row>
    <row r="51" spans="1:7" ht="16.5" customHeight="1">
      <c r="A51" s="884" t="s">
        <v>790</v>
      </c>
      <c r="B51" s="215" t="s">
        <v>132</v>
      </c>
      <c r="C51" s="237">
        <f ca="1">ROUND(C49*F50,0)</f>
        <v>11866</v>
      </c>
      <c r="D51" s="237"/>
      <c r="E51" s="237"/>
      <c r="F51" s="269"/>
      <c r="G51" s="239" t="s">
        <v>64</v>
      </c>
    </row>
    <row r="52" spans="1:7" s="213" customFormat="1" ht="16.5" thickBot="1">
      <c r="A52" s="270" t="s">
        <v>65</v>
      </c>
      <c r="B52" s="271"/>
      <c r="C52" s="272">
        <f ca="1">C31+C51</f>
        <v>40156</v>
      </c>
      <c r="D52" s="271"/>
      <c r="E52" s="271"/>
      <c r="F52" s="271"/>
      <c r="G52" s="273"/>
    </row>
    <row r="55" spans="1:7" ht="15">
      <c r="B55" s="275" t="s">
        <v>66</v>
      </c>
      <c r="C55" s="276"/>
    </row>
    <row r="56" spans="1:7">
      <c r="B56" s="278" t="s">
        <v>67</v>
      </c>
      <c r="C56" s="279">
        <f ca="1">ROUND(C51/C52,3)</f>
        <v>0.29499999999999998</v>
      </c>
    </row>
    <row r="57" spans="1:7">
      <c r="B57" s="278" t="s">
        <v>68</v>
      </c>
      <c r="C57" s="280">
        <f ca="1">1-C56</f>
        <v>0.70500000000000007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43" t="s">
        <v>156</v>
      </c>
      <c r="B1" s="3543"/>
      <c r="C1" s="3543"/>
      <c r="D1" s="3543"/>
      <c r="E1" s="3543"/>
      <c r="F1" s="354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44" t="s">
        <v>169</v>
      </c>
      <c r="B2" s="3544"/>
      <c r="C2" s="3544"/>
      <c r="D2" s="3544"/>
      <c r="E2" s="3544"/>
      <c r="F2" s="354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4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4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43" t="s">
        <v>839</v>
      </c>
      <c r="B1" s="354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44642</v>
      </c>
      <c r="D1" s="1440" t="s">
        <v>1209</v>
      </c>
      <c r="E1" s="1435">
        <f>'数据-取费表'!B22</f>
        <v>1.5</v>
      </c>
      <c r="F1" s="1440" t="s">
        <v>1210</v>
      </c>
      <c r="G1" s="1436">
        <f ca="1">INDIRECT("d"&amp;$K$1)/100</f>
        <v>3.7000000000000005E-2</v>
      </c>
      <c r="H1" s="1440" t="s">
        <v>1240</v>
      </c>
      <c r="I1" s="1436">
        <f ca="1">F4/100</f>
        <v>1.4999999999999999E-2</v>
      </c>
      <c r="J1" s="1441">
        <f>IF(C1&gt;C13,0,MATCH(C1,C$13:C$107,-1))+IF(SUMIF(C13:C107,C1,D13:D107)=0,13,12)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44581</v>
      </c>
      <c r="D13" s="3021">
        <v>3.7</v>
      </c>
      <c r="E13" s="3021">
        <f>D13</f>
        <v>3.7</v>
      </c>
      <c r="F13" s="3021">
        <f>D13</f>
        <v>3.7</v>
      </c>
      <c r="G13" s="3021">
        <f>D13</f>
        <v>3.7</v>
      </c>
      <c r="H13" s="3021">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44550</v>
      </c>
      <c r="D14" s="3016">
        <v>3.8</v>
      </c>
      <c r="E14" s="3016">
        <f>D14</f>
        <v>3.8</v>
      </c>
      <c r="F14" s="3016">
        <f>D14</f>
        <v>3.8</v>
      </c>
      <c r="G14" s="3016">
        <f>D14</f>
        <v>3.8</v>
      </c>
      <c r="H14" s="3016">
        <v>4.6500000000000004</v>
      </c>
      <c r="I14" s="3016"/>
      <c r="J14" s="3021"/>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43941</v>
      </c>
      <c r="D15" s="3016">
        <v>3.85</v>
      </c>
      <c r="E15" s="3016">
        <v>3.85</v>
      </c>
      <c r="F15" s="3016">
        <v>3.85</v>
      </c>
      <c r="G15" s="3016">
        <v>3.85</v>
      </c>
      <c r="H15" s="3016">
        <v>4.6500000000000004</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43881</v>
      </c>
      <c r="D16" s="3016">
        <v>4.05</v>
      </c>
      <c r="E16" s="3016">
        <v>4.05</v>
      </c>
      <c r="F16" s="3016">
        <v>4.05</v>
      </c>
      <c r="G16" s="3016">
        <v>4.05</v>
      </c>
      <c r="H16" s="3016">
        <v>4.75</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6"/>
      <c r="C17" s="3017">
        <v>43789</v>
      </c>
      <c r="D17" s="3016">
        <v>4.1500000000000004</v>
      </c>
      <c r="E17" s="3016">
        <v>4.1500000000000004</v>
      </c>
      <c r="F17" s="3016">
        <v>4.1500000000000004</v>
      </c>
      <c r="G17" s="3016">
        <v>4.1500000000000004</v>
      </c>
      <c r="H17" s="3016">
        <v>4.8</v>
      </c>
      <c r="I17" s="3016"/>
      <c r="J17" s="3016"/>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5">
      <c r="A18" s="1422"/>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2"/>
      <c r="B19" s="3015" t="s">
        <v>3000</v>
      </c>
      <c r="C19" s="3018">
        <v>43697</v>
      </c>
      <c r="D19" s="3019">
        <v>4.25</v>
      </c>
      <c r="E19" s="3019">
        <v>4.25</v>
      </c>
      <c r="F19" s="3019">
        <v>4.25</v>
      </c>
      <c r="G19" s="3019">
        <v>4.25</v>
      </c>
      <c r="H19" s="3019">
        <v>4.8499999999999996</v>
      </c>
      <c r="I19" s="3019"/>
      <c r="J19" s="3019"/>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ht="14.25">
      <c r="A20" s="3022"/>
      <c r="B20" s="3023"/>
      <c r="C20" s="3024">
        <v>42301</v>
      </c>
      <c r="D20" s="3025">
        <v>4.3499999999999996</v>
      </c>
      <c r="E20" s="3025">
        <v>4.3499999999999996</v>
      </c>
      <c r="F20" s="3025">
        <v>4.75</v>
      </c>
      <c r="G20" s="3025">
        <v>4.75</v>
      </c>
      <c r="H20" s="3025">
        <v>4.9000000000000004</v>
      </c>
      <c r="I20" s="3025"/>
      <c r="J20" s="3025"/>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34700</v>
      </c>
      <c r="D58" s="1428">
        <v>9</v>
      </c>
      <c r="E58" s="1428">
        <v>10.98</v>
      </c>
      <c r="F58" s="1428">
        <v>12.96</v>
      </c>
      <c r="G58" s="1428">
        <v>14.58</v>
      </c>
      <c r="H58" s="1428">
        <v>14.76</v>
      </c>
      <c r="I58" s="1428">
        <v>0</v>
      </c>
      <c r="J58" s="1428">
        <v>0</v>
      </c>
    </row>
    <row r="59" spans="2:26">
      <c r="B59" s="1428"/>
      <c r="C59" s="1429">
        <v>34161</v>
      </c>
      <c r="D59" s="1428">
        <v>9</v>
      </c>
      <c r="E59" s="1428">
        <v>10.98</v>
      </c>
      <c r="F59" s="1428">
        <v>12.24</v>
      </c>
      <c r="G59" s="1428">
        <v>13.86</v>
      </c>
      <c r="H59" s="1428">
        <v>14.04</v>
      </c>
      <c r="I59" s="1428">
        <v>0</v>
      </c>
      <c r="J59" s="1428">
        <v>0</v>
      </c>
    </row>
    <row r="60" spans="2:26">
      <c r="B60" s="1428"/>
      <c r="C60" s="1429">
        <v>34104</v>
      </c>
      <c r="D60" s="1428">
        <v>8.82</v>
      </c>
      <c r="E60" s="1428">
        <v>9.36</v>
      </c>
      <c r="F60" s="1428">
        <v>10.8</v>
      </c>
      <c r="G60" s="1428">
        <v>12.06</v>
      </c>
      <c r="H60" s="1428">
        <v>12.24</v>
      </c>
      <c r="I60" s="1428">
        <v>0</v>
      </c>
      <c r="J60" s="1428">
        <v>0</v>
      </c>
    </row>
    <row r="61" spans="2:26">
      <c r="B61" s="1428"/>
      <c r="C61" s="1429">
        <v>33349</v>
      </c>
      <c r="D61" s="1428">
        <v>8.1</v>
      </c>
      <c r="E61" s="1428">
        <v>8.64</v>
      </c>
      <c r="F61" s="1428">
        <v>9</v>
      </c>
      <c r="G61" s="1428">
        <v>9.5399999999999991</v>
      </c>
      <c r="H61" s="1428">
        <v>9.7200000000000006</v>
      </c>
      <c r="I61" s="1428">
        <v>0</v>
      </c>
      <c r="J61" s="1428">
        <v>0</v>
      </c>
    </row>
    <row r="62" spans="2:26">
      <c r="B62" s="1428"/>
      <c r="C62" s="1429">
        <v>33318</v>
      </c>
      <c r="D62" s="1428">
        <v>9</v>
      </c>
      <c r="E62" s="1428">
        <v>10.08</v>
      </c>
      <c r="F62" s="1428">
        <v>10.8</v>
      </c>
      <c r="G62" s="1428">
        <v>11.52</v>
      </c>
      <c r="H62" s="1428">
        <v>11.88</v>
      </c>
      <c r="I62" s="1428" t="s">
        <v>1239</v>
      </c>
      <c r="J62" s="1428" t="s">
        <v>1239</v>
      </c>
    </row>
    <row r="63" spans="2:26">
      <c r="B63" s="1428"/>
      <c r="C63" s="1429">
        <v>33106</v>
      </c>
      <c r="D63" s="1428">
        <v>8.64</v>
      </c>
      <c r="E63" s="1428">
        <v>9.36</v>
      </c>
      <c r="F63" s="1428">
        <v>10.08</v>
      </c>
      <c r="G63" s="1428">
        <v>10.8</v>
      </c>
      <c r="H63" s="1428">
        <v>11.16</v>
      </c>
      <c r="I63" s="1428">
        <v>0</v>
      </c>
      <c r="J63" s="1428">
        <v>0</v>
      </c>
    </row>
    <row r="64" spans="2:26">
      <c r="B64" s="1428"/>
      <c r="C64" s="1429">
        <v>32540</v>
      </c>
      <c r="D64" s="1428">
        <v>11.34</v>
      </c>
      <c r="E64" s="1428">
        <v>11.34</v>
      </c>
      <c r="F64" s="1428">
        <v>12.78</v>
      </c>
      <c r="G64" s="1428">
        <v>14.4</v>
      </c>
      <c r="H64" s="1428">
        <v>19.260000000000002</v>
      </c>
      <c r="I64" s="1428">
        <v>0</v>
      </c>
      <c r="J64" s="1428">
        <v>0</v>
      </c>
    </row>
    <row r="65" spans="2:10">
      <c r="B65" s="1428"/>
      <c r="C65" s="1429"/>
      <c r="D65" s="1428"/>
      <c r="E65" s="1428"/>
      <c r="F65" s="1428"/>
      <c r="G65" s="1428"/>
      <c r="H65" s="1428"/>
      <c r="I65" s="1428"/>
      <c r="J65" s="1428"/>
    </row>
    <row r="66" spans="2:10">
      <c r="B66" s="1431"/>
      <c r="C66" s="1432"/>
      <c r="D66" s="1431"/>
      <c r="E66" s="1431"/>
      <c r="F66" s="1431"/>
      <c r="G66" s="1431"/>
      <c r="H66" s="1431"/>
      <c r="I66" s="1431"/>
      <c r="J66" s="1431"/>
    </row>
    <row r="67" spans="2:10">
      <c r="B67" s="1431"/>
      <c r="C67" s="1432"/>
      <c r="D67" s="1431"/>
      <c r="E67" s="1431"/>
      <c r="F67" s="1431"/>
      <c r="G67" s="1431"/>
      <c r="H67" s="1431"/>
      <c r="I67" s="1431"/>
      <c r="J67" s="1431"/>
    </row>
    <row r="68" spans="2:10">
      <c r="B68" s="1431"/>
      <c r="C68" s="1432"/>
      <c r="D68" s="1431"/>
      <c r="E68" s="1431"/>
      <c r="F68" s="1431"/>
      <c r="G68" s="1431"/>
      <c r="H68" s="1431"/>
      <c r="I68" s="1431"/>
      <c r="J68" s="1431"/>
    </row>
    <row r="69" spans="2:10">
      <c r="B69" s="1380"/>
      <c r="C69" s="1380"/>
      <c r="D69" s="1380"/>
      <c r="E69" s="1380"/>
      <c r="F69" s="1380"/>
      <c r="G69" s="1380"/>
      <c r="H69" s="1380"/>
      <c r="I69" s="1380"/>
      <c r="J69" s="1380"/>
    </row>
    <row r="70" spans="2:10">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1546</v>
      </c>
      <c r="B2" s="3222" t="s">
        <v>1547</v>
      </c>
      <c r="C2" s="3222" t="s">
        <v>1548</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23"/>
      <c r="B3" s="3223"/>
      <c r="C3" s="3223"/>
      <c r="D3" s="962" t="s">
        <v>1543</v>
      </c>
      <c r="E3" s="962" t="s">
        <v>1549</v>
      </c>
      <c r="F3" s="962" t="s">
        <v>1543</v>
      </c>
      <c r="G3" s="962" t="s">
        <v>1544</v>
      </c>
      <c r="H3" s="962" t="s">
        <v>1543</v>
      </c>
      <c r="I3" s="962" t="s">
        <v>1544</v>
      </c>
    </row>
    <row r="4" spans="1:9" ht="15">
      <c r="A4" s="1658" t="str">
        <f>项目基本情况!S2</f>
        <v>北京市房地产</v>
      </c>
      <c r="B4" s="962">
        <f>项目基本情况!C17</f>
        <v>24804.469999999998</v>
      </c>
      <c r="C4" s="962">
        <f>项目基本情况!C18</f>
        <v>13382.272999999997</v>
      </c>
      <c r="D4" s="962">
        <f ca="1">结果表!D118</f>
        <v>11493</v>
      </c>
      <c r="E4" s="962">
        <f ca="1">结果表!E118</f>
        <v>4634</v>
      </c>
      <c r="F4" s="962">
        <f ca="1">结果表!F118</f>
        <v>20167</v>
      </c>
      <c r="G4" s="962">
        <f ca="1">结果表!G118</f>
        <v>8130</v>
      </c>
      <c r="H4" s="962">
        <f ca="1">结果表!H118</f>
        <v>31660</v>
      </c>
      <c r="I4" s="962">
        <f ca="1">结果表!I118</f>
        <v>12764</v>
      </c>
    </row>
    <row r="5" spans="1:9" ht="30" customHeight="1">
      <c r="A5" s="3223" t="s">
        <v>1545</v>
      </c>
      <c r="B5" s="3223"/>
      <c r="C5" s="3223"/>
      <c r="D5" s="3224" t="str">
        <f ca="1">结果表!D119</f>
        <v>壹亿壹仟肆佰玖拾叁万元整</v>
      </c>
      <c r="E5" s="3224"/>
      <c r="F5" s="3224" t="str">
        <f ca="1">结果表!F119</f>
        <v>贰亿零壹佰陆拾柒万元整</v>
      </c>
      <c r="G5" s="3224"/>
      <c r="H5" s="3224" t="str">
        <f ca="1">结果表!H119</f>
        <v>叁亿壹仟陆佰陆拾万元整</v>
      </c>
      <c r="I5" s="3224"/>
    </row>
    <row r="6" spans="1:9" ht="15.75">
      <c r="A6" s="3225" t="str">
        <f>结果表!A120</f>
        <v>估价师知悉的法定优先受偿款</v>
      </c>
      <c r="B6" s="3225"/>
      <c r="C6" s="3225"/>
      <c r="D6" s="3225">
        <f>结果表!D120</f>
        <v>0</v>
      </c>
      <c r="E6" s="3225"/>
      <c r="F6" s="3225"/>
      <c r="G6" s="3225"/>
      <c r="H6" s="3225"/>
      <c r="I6" s="3225"/>
    </row>
    <row r="7" spans="1:9" ht="15">
      <c r="A7" s="3223" t="s">
        <v>1545</v>
      </c>
      <c r="B7" s="3223"/>
      <c r="C7" s="3223"/>
      <c r="D7" s="3226" t="str">
        <f>结果表!D121</f>
        <v>零元整</v>
      </c>
      <c r="E7" s="3227"/>
      <c r="F7" s="3227"/>
      <c r="G7" s="3227"/>
      <c r="H7" s="3227"/>
      <c r="I7" s="3228"/>
    </row>
    <row r="8" spans="1:9" ht="15.75">
      <c r="A8" s="3225" t="str">
        <f>结果表!A122</f>
        <v>房地产抵押价值</v>
      </c>
      <c r="B8" s="3225"/>
      <c r="C8" s="3225"/>
      <c r="D8" s="3225">
        <f ca="1">结果表!D122</f>
        <v>31660</v>
      </c>
      <c r="E8" s="3225"/>
      <c r="F8" s="3225"/>
      <c r="G8" s="3225"/>
      <c r="H8" s="3225"/>
      <c r="I8" s="3225"/>
    </row>
    <row r="9" spans="1:9" ht="15">
      <c r="A9" s="3223" t="s">
        <v>1545</v>
      </c>
      <c r="B9" s="3223"/>
      <c r="C9" s="3223"/>
      <c r="D9" s="3224" t="str">
        <f ca="1">结果表!D123</f>
        <v>叁亿壹仟陆佰陆拾万元整</v>
      </c>
      <c r="E9" s="3224"/>
      <c r="F9" s="3224"/>
      <c r="G9" s="3224"/>
      <c r="H9" s="3224"/>
      <c r="I9" s="3224"/>
    </row>
    <row r="10" spans="1:9" ht="15.75">
      <c r="A10" s="3225" t="str">
        <f>结果表!A124</f>
        <v/>
      </c>
      <c r="B10" s="3225"/>
      <c r="C10" s="3225"/>
      <c r="D10" s="3225" t="str">
        <f>结果表!D124</f>
        <v>——</v>
      </c>
      <c r="E10" s="3225"/>
      <c r="F10" s="3225"/>
      <c r="G10" s="3225"/>
      <c r="H10" s="3225"/>
      <c r="I10" s="3225"/>
    </row>
    <row r="11" spans="1:9" ht="15">
      <c r="A11" s="3223" t="s">
        <v>1545</v>
      </c>
      <c r="B11" s="3223"/>
      <c r="C11" s="3223"/>
      <c r="D11" s="3224" t="e">
        <f>结果表!D125</f>
        <v>#VALUE!</v>
      </c>
      <c r="E11" s="3224"/>
      <c r="F11" s="3224"/>
      <c r="G11" s="3224"/>
      <c r="H11" s="3224"/>
      <c r="I11" s="3224"/>
    </row>
    <row r="12" spans="1:9" ht="15.75">
      <c r="A12" s="3225" t="str">
        <f>结果表!A126</f>
        <v/>
      </c>
      <c r="B12" s="3225"/>
      <c r="C12" s="3225"/>
      <c r="D12" s="3225" t="str">
        <f>结果表!D126</f>
        <v>——</v>
      </c>
      <c r="E12" s="3225"/>
      <c r="F12" s="3225"/>
      <c r="G12" s="3225"/>
      <c r="H12" s="3225"/>
      <c r="I12" s="3225"/>
    </row>
    <row r="13" spans="1:9" ht="15.75" thickBot="1">
      <c r="A13" s="3229" t="s">
        <v>1545</v>
      </c>
      <c r="B13" s="3229"/>
      <c r="C13" s="3229"/>
      <c r="D13" s="3230" t="e">
        <f>结果表!D127</f>
        <v>#VALUE!</v>
      </c>
      <c r="E13" s="3230"/>
      <c r="F13" s="3230"/>
      <c r="G13" s="3230"/>
      <c r="H13" s="3230"/>
      <c r="I13" s="3230"/>
    </row>
    <row r="14" spans="1:9" ht="15" thickTop="1">
      <c r="A14" s="3231" t="s">
        <v>1550</v>
      </c>
      <c r="B14" s="3231"/>
      <c r="C14" s="3231"/>
      <c r="D14" s="3231"/>
      <c r="E14" s="3231"/>
      <c r="F14" s="3231"/>
      <c r="G14" s="3231"/>
      <c r="H14" s="3231"/>
      <c r="I14" s="3231"/>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32" t="s">
        <v>1567</v>
      </c>
      <c r="B1" s="3232"/>
      <c r="C1" s="3232"/>
      <c r="D1" s="3232"/>
    </row>
    <row r="2" spans="1:4" ht="18">
      <c r="A2" s="3233" t="s">
        <v>1551</v>
      </c>
      <c r="B2" s="3233"/>
      <c r="C2" s="3233"/>
      <c r="D2" s="3233"/>
    </row>
    <row r="3" spans="1:4" ht="18.75">
      <c r="A3" s="1662" t="s">
        <v>1552</v>
      </c>
      <c r="B3" s="1662" t="s">
        <v>1553</v>
      </c>
      <c r="C3" s="1662" t="s">
        <v>1554</v>
      </c>
      <c r="D3" s="1662" t="s">
        <v>1555</v>
      </c>
    </row>
    <row r="4" spans="1:4" ht="56.25" customHeight="1">
      <c r="A4" s="1663" t="str">
        <f>项目基本情况!B4</f>
        <v>崔锴</v>
      </c>
      <c r="B4" s="1664">
        <f ca="1">项目基本情况!C4</f>
        <v>1120100036</v>
      </c>
      <c r="C4" s="1665"/>
      <c r="D4" s="1666" t="s">
        <v>1556</v>
      </c>
    </row>
    <row r="5" spans="1:4" ht="56.25" customHeight="1">
      <c r="A5" s="1663" t="str">
        <f>项目基本情况!D4</f>
        <v>郑燚</v>
      </c>
      <c r="B5" s="1664">
        <f ca="1">项目基本情况!E4</f>
        <v>1120070131</v>
      </c>
      <c r="C5" s="1667"/>
      <c r="D5" s="1666" t="s">
        <v>1556</v>
      </c>
    </row>
    <row r="6" spans="1:4" ht="18">
      <c r="A6" s="3233" t="s">
        <v>1557</v>
      </c>
      <c r="B6" s="3233"/>
      <c r="C6" s="3233"/>
      <c r="D6" s="3233"/>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34"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8" t="s">
        <v>1561</v>
      </c>
      <c r="B16" s="3238"/>
      <c r="C16" s="3238"/>
      <c r="D16" s="3238"/>
    </row>
    <row r="17" spans="1:4" ht="144" customHeight="1">
      <c r="A17" s="3238" t="s">
        <v>1562</v>
      </c>
      <c r="B17" s="3238"/>
      <c r="C17" s="3238"/>
      <c r="D17" s="3238"/>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1563</v>
      </c>
      <c r="B22" s="3240"/>
      <c r="C22" s="3240"/>
      <c r="D22" s="3240"/>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46" t="s">
        <v>1574</v>
      </c>
      <c r="B15" s="3241" t="s">
        <v>136</v>
      </c>
      <c r="C15" s="3242"/>
    </row>
    <row r="16" spans="1:7" ht="13.5">
      <c r="A16" s="3247"/>
      <c r="B16" s="3241" t="s">
        <v>69</v>
      </c>
      <c r="C16" s="3242"/>
    </row>
    <row r="17" spans="1:3" ht="13.5">
      <c r="A17" s="3247"/>
      <c r="B17" s="3244" t="s">
        <v>1575</v>
      </c>
      <c r="C17" s="1685" t="s">
        <v>1574</v>
      </c>
    </row>
    <row r="18" spans="1:3" ht="13.5">
      <c r="A18" s="3247"/>
      <c r="B18" s="3244"/>
      <c r="C18" s="1685" t="s">
        <v>1576</v>
      </c>
    </row>
    <row r="19" spans="1:3" ht="13.5">
      <c r="A19" s="3247"/>
      <c r="B19" s="3244"/>
      <c r="C19" s="1685" t="s">
        <v>1577</v>
      </c>
    </row>
    <row r="20" spans="1:3" ht="13.5">
      <c r="A20" s="3248"/>
      <c r="B20" s="3243" t="s">
        <v>1578</v>
      </c>
      <c r="C20" s="3242"/>
    </row>
    <row r="21" spans="1:3" ht="13.5">
      <c r="A21" s="1686" t="s">
        <v>1579</v>
      </c>
      <c r="B21" s="1687"/>
      <c r="C21" s="1688"/>
    </row>
    <row r="22" spans="1:3" ht="13.5">
      <c r="A22" s="3245" t="s">
        <v>1580</v>
      </c>
      <c r="B22" s="3243" t="s">
        <v>1581</v>
      </c>
      <c r="C22" s="3242"/>
    </row>
    <row r="23" spans="1:3" ht="13.5">
      <c r="A23" s="3245"/>
      <c r="B23" s="3243" t="s">
        <v>1582</v>
      </c>
      <c r="C23" s="3242"/>
    </row>
    <row r="24" spans="1:3" ht="13.5">
      <c r="A24" s="3245"/>
      <c r="B24" s="3243" t="s">
        <v>1583</v>
      </c>
      <c r="C24" s="3242"/>
    </row>
    <row r="25" spans="1:3" ht="13.5">
      <c r="A25" s="3245"/>
      <c r="B25" s="3244" t="s">
        <v>1584</v>
      </c>
      <c r="C25" s="1685" t="s">
        <v>1585</v>
      </c>
    </row>
    <row r="26" spans="1:3" ht="13.5">
      <c r="A26" s="3245"/>
      <c r="B26" s="3244"/>
      <c r="C26" s="1685" t="s">
        <v>1586</v>
      </c>
    </row>
    <row r="27" spans="1:3" ht="13.5">
      <c r="A27" s="3245"/>
      <c r="B27" s="3244"/>
      <c r="C27" s="1685" t="s">
        <v>1587</v>
      </c>
    </row>
    <row r="28" spans="1:3" ht="13.5">
      <c r="A28" s="3245"/>
      <c r="B28" s="3244"/>
      <c r="C28" s="1685" t="s">
        <v>1588</v>
      </c>
    </row>
    <row r="29" spans="1:3" ht="13.5">
      <c r="A29" s="3245"/>
      <c r="B29" s="3244"/>
      <c r="C29" s="1685" t="s">
        <v>1589</v>
      </c>
    </row>
    <row r="30" spans="1:3" ht="13.5">
      <c r="A30" s="3245"/>
      <c r="B30" s="3244"/>
      <c r="C30" s="1685" t="s">
        <v>1590</v>
      </c>
    </row>
    <row r="31" spans="1:3" ht="13.5">
      <c r="A31" s="3245"/>
      <c r="B31" s="3244"/>
      <c r="C31" s="1685" t="s">
        <v>1591</v>
      </c>
    </row>
    <row r="32" spans="1:3" ht="13.5">
      <c r="A32" s="3245"/>
      <c r="B32" s="3244"/>
      <c r="C32" s="1685" t="s">
        <v>1592</v>
      </c>
    </row>
    <row r="33" spans="1:3" ht="13.5">
      <c r="A33" s="3245"/>
      <c r="B33" s="3244"/>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2821</v>
      </c>
      <c r="B2" s="2530">
        <f ca="1">TODAY()</f>
        <v>44649</v>
      </c>
      <c r="C2" s="2531" t="s">
        <v>2822</v>
      </c>
      <c r="D2" s="2531"/>
      <c r="E2" s="2531"/>
      <c r="F2" s="2527"/>
      <c r="G2" s="2527"/>
      <c r="H2" s="2527"/>
    </row>
    <row r="3" spans="1:8" ht="24" customHeight="1">
      <c r="A3" s="2532" t="s">
        <v>2823</v>
      </c>
      <c r="B3" s="2533" t="s">
        <v>2824</v>
      </c>
      <c r="C3" s="2533" t="s">
        <v>2825</v>
      </c>
      <c r="D3" s="2534" t="s">
        <v>2826</v>
      </c>
      <c r="E3" s="2535" t="s">
        <v>2827</v>
      </c>
      <c r="F3" s="1442" t="s">
        <v>2828</v>
      </c>
      <c r="G3" s="2533" t="s">
        <v>2825</v>
      </c>
      <c r="H3" s="2534" t="s">
        <v>2829</v>
      </c>
    </row>
    <row r="4" spans="1:8" ht="24" customHeight="1">
      <c r="A4" s="1442" t="s">
        <v>2830</v>
      </c>
      <c r="B4" s="1442">
        <f ca="1">IF(C4&lt;B2,"已过期",1119970066)</f>
        <v>1119970066</v>
      </c>
      <c r="C4" s="2536">
        <v>44876</v>
      </c>
      <c r="D4" s="2537" t="str">
        <f ca="1">A4&amp;"（注册号："&amp;B4&amp;"）"</f>
        <v>梁津（注册号：1119970066）</v>
      </c>
      <c r="E4" s="2538" t="s">
        <v>2830</v>
      </c>
      <c r="F4" s="1442">
        <f ca="1">IF(G4&lt;B2,"已过期",96010014)</f>
        <v>96010014</v>
      </c>
      <c r="G4" s="2539">
        <v>47118</v>
      </c>
      <c r="H4" s="2540" t="str">
        <f ca="1">E4&amp;"（注册号："&amp;F4&amp;"）"</f>
        <v>梁津（注册号：96010014）</v>
      </c>
    </row>
    <row r="5" spans="1:8" ht="24" customHeight="1">
      <c r="A5" s="1442" t="s">
        <v>2831</v>
      </c>
      <c r="B5" s="1442">
        <f ca="1">IF(C5&lt;B2,"已过期",1119970111)</f>
        <v>1119970111</v>
      </c>
      <c r="C5" s="2536">
        <v>44876</v>
      </c>
      <c r="D5" s="2537" t="str">
        <f t="shared" ref="D5:D15" ca="1" si="0">A5&amp;"（注册号："&amp;B5&amp;"）"</f>
        <v>叶凌（注册号：1119970111）</v>
      </c>
      <c r="E5" s="2538" t="s">
        <v>2831</v>
      </c>
      <c r="F5" s="1442">
        <f ca="1">IF(G5&lt;B2,"已过期",94010078)</f>
        <v>94010078</v>
      </c>
      <c r="G5" s="2539">
        <v>46387</v>
      </c>
      <c r="H5" s="2540" t="str">
        <f t="shared" ref="H5:H16" ca="1" si="1">E5&amp;"（注册号："&amp;F5&amp;"）"</f>
        <v>叶凌（注册号：94010078）</v>
      </c>
    </row>
    <row r="6" spans="1:8" ht="24" customHeight="1">
      <c r="A6" s="1442" t="s">
        <v>2832</v>
      </c>
      <c r="B6" s="1442" t="str">
        <f ca="1">IF(C6&lt;B2,"已过期",1120050019)</f>
        <v>已过期</v>
      </c>
      <c r="C6" s="2536">
        <v>44395</v>
      </c>
      <c r="D6" s="2537" t="str">
        <f t="shared" ca="1" si="0"/>
        <v>王鹏（注册号：已过期）</v>
      </c>
      <c r="E6" s="2538" t="s">
        <v>2832</v>
      </c>
      <c r="F6" s="1442">
        <f ca="1">IF(G6&lt;B2,"已过期",2002110030)</f>
        <v>2002110030</v>
      </c>
      <c r="G6" s="2539">
        <v>46387</v>
      </c>
      <c r="H6" s="2540" t="str">
        <f t="shared" ca="1" si="1"/>
        <v>王鹏（注册号：2002110030）</v>
      </c>
    </row>
    <row r="7" spans="1:8" ht="24" customHeight="1">
      <c r="A7" s="1442" t="s">
        <v>2833</v>
      </c>
      <c r="B7" s="1442">
        <f ca="1">IF(C7&lt;B2,"已过期",1120000080)</f>
        <v>1120000080</v>
      </c>
      <c r="C7" s="2536">
        <v>44876</v>
      </c>
      <c r="D7" s="2537" t="str">
        <f t="shared" ca="1" si="0"/>
        <v>欧红伟（注册号：1120000080）</v>
      </c>
      <c r="E7" s="2538" t="s">
        <v>2833</v>
      </c>
      <c r="F7" s="1442">
        <f ca="1">IF(G7&lt;B2,"已过期",2000110082)</f>
        <v>2000110082</v>
      </c>
      <c r="G7" s="2539">
        <v>46387</v>
      </c>
      <c r="H7" s="2540" t="str">
        <f t="shared" ca="1" si="1"/>
        <v>欧红伟（注册号：2000110082）</v>
      </c>
    </row>
    <row r="8" spans="1:8" ht="24" customHeight="1">
      <c r="A8" s="1442" t="s">
        <v>2834</v>
      </c>
      <c r="B8" s="1442">
        <f ca="1">IF(C8&lt;B2,"已过期",1419970001)</f>
        <v>1419970001</v>
      </c>
      <c r="C8" s="2536">
        <v>44899</v>
      </c>
      <c r="D8" s="2537" t="str">
        <f t="shared" ca="1" si="0"/>
        <v>吴薇（注册号：1419970001）</v>
      </c>
      <c r="E8" s="2538" t="s">
        <v>2834</v>
      </c>
      <c r="F8" s="1442">
        <f ca="1">IF(G8&lt;B2,"已过期",2002110125)</f>
        <v>2002110125</v>
      </c>
      <c r="G8" s="2539">
        <v>47118</v>
      </c>
      <c r="H8" s="2540" t="str">
        <f t="shared" ca="1" si="1"/>
        <v>吴薇（注册号：2002110125）</v>
      </c>
    </row>
    <row r="9" spans="1:8" ht="24" customHeight="1">
      <c r="A9" s="1442" t="s">
        <v>2835</v>
      </c>
      <c r="B9" s="1442" t="str">
        <f ca="1">IF(C9&lt;B2,"已过期",1120060040)</f>
        <v>已过期</v>
      </c>
      <c r="C9" s="2541">
        <v>44554</v>
      </c>
      <c r="D9" s="2537" t="str">
        <f t="shared" ca="1" si="0"/>
        <v>陈颖（注册号：已过期）</v>
      </c>
      <c r="E9" s="2538" t="s">
        <v>2835</v>
      </c>
      <c r="F9" s="1442">
        <f ca="1">IF(G9&lt;B2,"已过期",2004110096)</f>
        <v>2004110096</v>
      </c>
      <c r="G9" s="2539">
        <v>47118</v>
      </c>
      <c r="H9" s="2540" t="str">
        <f t="shared" ca="1" si="1"/>
        <v>陈颖（注册号：2004110096）</v>
      </c>
    </row>
    <row r="10" spans="1:8" ht="24" customHeight="1">
      <c r="A10" s="1442" t="s">
        <v>2836</v>
      </c>
      <c r="B10" s="1442">
        <f ca="1">IF(C10&lt;B2,"已过期",1120100036)</f>
        <v>1120100036</v>
      </c>
      <c r="C10" s="2541">
        <v>44675</v>
      </c>
      <c r="D10" s="2537" t="str">
        <f t="shared" ca="1" si="0"/>
        <v>崔锴（注册号：1120100036）</v>
      </c>
      <c r="E10" s="2538" t="s">
        <v>2836</v>
      </c>
      <c r="F10" s="1442">
        <f ca="1">IF(G10&lt;B2,"已过期",2010110070)</f>
        <v>2010110070</v>
      </c>
      <c r="G10" s="2539">
        <v>47907</v>
      </c>
      <c r="H10" s="2540" t="str">
        <f t="shared" ca="1" si="1"/>
        <v>崔锴（注册号：2010110070）</v>
      </c>
    </row>
    <row r="11" spans="1:8" ht="24" customHeight="1">
      <c r="A11" s="1442" t="s">
        <v>2837</v>
      </c>
      <c r="B11" s="1442">
        <f ca="1">IF(C11&lt;B2,"已过期",1120070131)</f>
        <v>1120070131</v>
      </c>
      <c r="C11" s="2536">
        <v>44849</v>
      </c>
      <c r="D11" s="2537" t="str">
        <f t="shared" ca="1" si="0"/>
        <v>郑燚（注册号：1120070131）</v>
      </c>
      <c r="E11" s="2538" t="s">
        <v>2837</v>
      </c>
      <c r="F11" s="1442">
        <f ca="1">IF(G11&lt;B2,"已过期",2014110011)</f>
        <v>2014110011</v>
      </c>
      <c r="G11" s="2539">
        <v>49302</v>
      </c>
      <c r="H11" s="2540" t="str">
        <f t="shared" ca="1" si="1"/>
        <v>郑燚（注册号：2014110011）</v>
      </c>
    </row>
    <row r="12" spans="1:8" ht="24" customHeight="1">
      <c r="A12" s="1442" t="s">
        <v>2838</v>
      </c>
      <c r="B12" s="1442">
        <f ca="1">IF(C12&lt;B2,"已过期",1120040230)</f>
        <v>1120040230</v>
      </c>
      <c r="C12" s="2541">
        <v>44864</v>
      </c>
      <c r="D12" s="2537" t="str">
        <f t="shared" ca="1" si="0"/>
        <v>苏海（注册号：1120040230）</v>
      </c>
      <c r="E12" s="2538" t="s">
        <v>2838</v>
      </c>
      <c r="F12" s="1442">
        <f ca="1">IF(G12&lt;B2,"已过期",98030020)</f>
        <v>98030020</v>
      </c>
      <c r="G12" s="2539">
        <v>47118</v>
      </c>
      <c r="H12" s="2540" t="str">
        <f t="shared" ca="1" si="1"/>
        <v>苏海（注册号：98030020）</v>
      </c>
    </row>
    <row r="13" spans="1:8" ht="24" customHeight="1">
      <c r="A13" s="1442" t="s">
        <v>2839</v>
      </c>
      <c r="B13" s="1442" t="str">
        <f ca="1">IF(C13&lt;B2,"已过期",1120020033)</f>
        <v>已过期</v>
      </c>
      <c r="C13" s="2536">
        <v>44339</v>
      </c>
      <c r="D13" s="2537" t="str">
        <f t="shared" ca="1" si="0"/>
        <v>刘敬东（注册号：已过期）</v>
      </c>
      <c r="E13" s="2538" t="s">
        <v>2839</v>
      </c>
      <c r="F13" s="1442">
        <f ca="1">IF(G13&lt;B2,"已过期",2000110137)</f>
        <v>2000110137</v>
      </c>
      <c r="G13" s="2539">
        <v>46387</v>
      </c>
      <c r="H13" s="2540" t="str">
        <f t="shared" ca="1" si="1"/>
        <v>刘敬东（注册号：2000110137）</v>
      </c>
    </row>
    <row r="14" spans="1:8" ht="24" customHeight="1">
      <c r="A14" s="1442" t="s">
        <v>2840</v>
      </c>
      <c r="B14" s="1442">
        <f ca="1">IF(C14&lt;B2,"已过期",1119980106)</f>
        <v>1119980106</v>
      </c>
      <c r="C14" s="2541">
        <v>44969</v>
      </c>
      <c r="D14" s="2537" t="str">
        <f t="shared" ca="1" si="0"/>
        <v>刘俊财（注册号：1119980106）</v>
      </c>
      <c r="E14" s="2538" t="s">
        <v>2840</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2841</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49" t="s">
        <v>2842</v>
      </c>
      <c r="B17" s="3249"/>
      <c r="C17" s="3249"/>
      <c r="D17" s="3249"/>
      <c r="E17" s="3249"/>
      <c r="F17" s="3249"/>
      <c r="G17" s="3249"/>
      <c r="H17" s="3249"/>
    </row>
    <row r="18" spans="1:8" ht="24" customHeight="1">
      <c r="A18" s="3250" t="s">
        <v>2843</v>
      </c>
      <c r="B18" s="3250"/>
      <c r="C18" s="3250"/>
      <c r="D18" s="2534"/>
      <c r="E18" s="3251" t="s">
        <v>2844</v>
      </c>
      <c r="F18" s="3250"/>
      <c r="G18" s="3250"/>
    </row>
    <row r="19" spans="1:8" s="2545" customFormat="1" ht="24" customHeight="1">
      <c r="A19" s="2544" t="s">
        <v>2845</v>
      </c>
      <c r="B19" s="2533" t="s">
        <v>2846</v>
      </c>
      <c r="C19" s="2533" t="s">
        <v>2825</v>
      </c>
      <c r="D19" s="2534"/>
      <c r="E19" s="2538" t="s">
        <v>2845</v>
      </c>
      <c r="F19" s="2533" t="s">
        <v>2846</v>
      </c>
      <c r="G19" s="2533" t="s">
        <v>2825</v>
      </c>
    </row>
    <row r="20" spans="1:8" s="2545" customFormat="1" ht="24" customHeight="1">
      <c r="A20" s="2546" t="s">
        <v>2847</v>
      </c>
      <c r="B20" s="2546" t="s">
        <v>2848</v>
      </c>
      <c r="C20" s="2539">
        <v>44820</v>
      </c>
      <c r="D20" s="2547"/>
      <c r="E20" s="2548" t="s">
        <v>2849</v>
      </c>
      <c r="F20" s="2546" t="s">
        <v>2850</v>
      </c>
      <c r="G20" s="2549">
        <v>44377</v>
      </c>
    </row>
    <row r="21" spans="1:8" s="2545" customFormat="1" ht="24" customHeight="1">
      <c r="A21" s="2546"/>
      <c r="B21" s="2546"/>
      <c r="C21" s="2550"/>
      <c r="D21" s="2551"/>
      <c r="E21" s="2548" t="s">
        <v>2851</v>
      </c>
      <c r="F21" s="2552" t="s">
        <v>2852</v>
      </c>
      <c r="G21" s="2553">
        <v>44012</v>
      </c>
    </row>
    <row r="22" spans="1:8" ht="24" customHeight="1">
      <c r="C22" s="2554"/>
      <c r="D22" s="2554"/>
      <c r="E22" s="2555"/>
      <c r="F22" s="2556"/>
      <c r="G22" s="2557"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2022-03-29T06:00:23Z</dcterms:modified>
</cp:coreProperties>
</file>