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3" i="3" l="1"/>
  <c r="J13" i="78"/>
  <c r="Y6" i="1" l="1"/>
  <c r="U6" i="1"/>
  <c r="T24" i="1"/>
  <c r="T23" i="1"/>
  <c r="N6" i="1"/>
  <c r="G19" i="6"/>
  <c r="F19" i="6"/>
  <c r="AL13" i="3"/>
  <c r="K13" i="3"/>
  <c r="I13" i="3"/>
  <c r="G13" i="78"/>
  <c r="F13" i="78"/>
  <c r="H13" i="78" s="1"/>
  <c r="E13" i="78"/>
  <c r="D13" i="78"/>
  <c r="T25" i="1" l="1"/>
  <c r="U25" i="1"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A15" i="62"/>
  <c r="B61" i="72" s="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A10" i="52" s="1"/>
  <c r="B55" i="72" s="1"/>
  <c r="B44" i="72"/>
  <c r="B42" i="72"/>
  <c r="B69" i="72"/>
  <c r="B68" i="72"/>
  <c r="B63" i="72"/>
  <c r="B62" i="72"/>
  <c r="B60" i="72"/>
  <c r="B67"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c r="N28" i="71"/>
  <c r="Q27" i="71"/>
  <c r="AB27" i="71" s="1"/>
  <c r="P27" i="71"/>
  <c r="O27" i="71"/>
  <c r="Y27" i="71"/>
  <c r="Z27" i="71" s="1"/>
  <c r="N27" i="71"/>
  <c r="Q26" i="71"/>
  <c r="F27" i="71" s="1"/>
  <c r="F28" i="71" s="1"/>
  <c r="F29" i="71" s="1"/>
  <c r="V29" i="71" s="1"/>
  <c r="P26" i="71"/>
  <c r="O26" i="71"/>
  <c r="N26" i="71"/>
  <c r="D26" i="71"/>
  <c r="O25" i="71"/>
  <c r="N25" i="71"/>
  <c r="B27" i="71"/>
  <c r="B28" i="71" s="1"/>
  <c r="B29" i="71" s="1"/>
  <c r="S29" i="71" s="1"/>
  <c r="X26" i="71"/>
  <c r="B31" i="71"/>
  <c r="B32" i="71" s="1"/>
  <c r="B33" i="71"/>
  <c r="S33" i="71" s="1"/>
  <c r="X30" i="71"/>
  <c r="B36" i="71"/>
  <c r="B37" i="71" s="1"/>
  <c r="S37" i="71" s="1"/>
  <c r="X34"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4" i="71"/>
  <c r="AB25" i="71"/>
  <c r="E25" i="71"/>
  <c r="E24" i="71" s="1"/>
  <c r="E23" i="71" s="1"/>
  <c r="AA3" i="71"/>
  <c r="AA22" i="71"/>
  <c r="AA23" i="71"/>
  <c r="AA24" i="71"/>
  <c r="AA25" i="71"/>
  <c r="D25" i="71"/>
  <c r="U25" i="71" s="1"/>
  <c r="C63" i="71"/>
  <c r="D63" i="71" s="1"/>
  <c r="O64" i="71"/>
  <c r="D64" i="71"/>
  <c r="C61" i="71"/>
  <c r="D60" i="71"/>
  <c r="D80" i="71"/>
  <c r="C79" i="71"/>
  <c r="D79" i="71" s="1"/>
  <c r="D72" i="71"/>
  <c r="C71" i="71"/>
  <c r="D71" i="71"/>
  <c r="D84" i="71"/>
  <c r="C83" i="71"/>
  <c r="D83" i="71" s="1"/>
  <c r="D76" i="71"/>
  <c r="C75" i="71"/>
  <c r="D75" i="71"/>
  <c r="D68" i="71"/>
  <c r="C67" i="71"/>
  <c r="D67" i="71" s="1"/>
  <c r="C57" i="71"/>
  <c r="T57" i="71" s="1"/>
  <c r="D56" i="71"/>
  <c r="C53" i="71"/>
  <c r="T53" i="71" s="1"/>
  <c r="D52" i="71"/>
  <c r="P64" i="71"/>
  <c r="E63" i="71"/>
  <c r="C49" i="71"/>
  <c r="T49" i="71" s="1"/>
  <c r="D48" i="71"/>
  <c r="C41" i="71"/>
  <c r="T41" i="71" s="1"/>
  <c r="D40" i="71"/>
  <c r="C37" i="71"/>
  <c r="T37" i="71" s="1"/>
  <c r="D36" i="71"/>
  <c r="C33" i="71"/>
  <c r="T33" i="71" s="1"/>
  <c r="D32" i="71"/>
  <c r="C29" i="71"/>
  <c r="T29" i="71" s="1"/>
  <c r="D28" i="71"/>
  <c r="C23" i="71"/>
  <c r="D23" i="71" s="1"/>
  <c r="D24" i="71"/>
  <c r="V25" i="71"/>
  <c r="P62" i="71"/>
  <c r="P63" i="71"/>
  <c r="O63" i="71"/>
  <c r="O62" i="71"/>
  <c r="D29" i="71"/>
  <c r="D33" i="71"/>
  <c r="D37" i="71"/>
  <c r="D41" i="71"/>
  <c r="D49" i="71"/>
  <c r="D53"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3" i="3" s="1"/>
  <c r="AZ491" i="3"/>
  <c r="AZ376" i="3"/>
  <c r="AZ390" i="3"/>
  <c r="AZ382" i="3"/>
  <c r="U36" i="40"/>
  <c r="F36" i="43"/>
  <c r="F81" i="43"/>
  <c r="H83" i="43"/>
  <c r="H113" i="43"/>
  <c r="F48" i="43"/>
  <c r="H52" i="43" s="1"/>
  <c r="F70" i="43"/>
  <c r="H73" i="43" s="1"/>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K14" i="1" s="1"/>
  <c r="M14" i="1" s="1"/>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B41" i="1"/>
  <c r="F48" i="9" s="1"/>
  <c r="O52" i="9" s="1"/>
  <c r="F53" i="9"/>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AT6" i="3" s="1"/>
  <c r="BA13" i="3"/>
  <c r="E10" i="6"/>
  <c r="BA5" i="3"/>
  <c r="E27" i="6" s="1"/>
  <c r="E11" i="6"/>
  <c r="E61" i="39" s="1"/>
  <c r="BL17" i="3"/>
  <c r="AZ17" i="3" s="1"/>
  <c r="BL13" i="3"/>
  <c r="AZ13" i="3" s="1"/>
  <c r="E65" i="39"/>
  <c r="G30" i="6"/>
  <c r="G31" i="6" s="1"/>
  <c r="J56" i="9"/>
  <c r="J57" i="9" s="1"/>
  <c r="J59" i="9" s="1"/>
  <c r="J61" i="9" s="1"/>
  <c r="A24" i="51"/>
  <c r="B18" i="72"/>
  <c r="U29" i="34"/>
  <c r="E14" i="6"/>
  <c r="E64" i="39" s="1"/>
  <c r="E5" i="6"/>
  <c r="D9" i="11" s="1"/>
  <c r="C9" i="11" s="1"/>
  <c r="P10" i="1"/>
  <c r="H22" i="43"/>
  <c r="D101" i="43"/>
  <c r="D109" i="43" s="1"/>
  <c r="I101" i="43"/>
  <c r="I109" i="43" s="1"/>
  <c r="G22" i="43"/>
  <c r="E32" i="6"/>
  <c r="L19" i="6"/>
  <c r="G1" i="68"/>
  <c r="K1" i="12"/>
  <c r="AR10" i="1"/>
  <c r="T10" i="1"/>
  <c r="E19" i="69"/>
  <c r="E1" i="73"/>
  <c r="G22" i="11"/>
  <c r="C100" i="43"/>
  <c r="E11" i="43"/>
  <c r="E10" i="43"/>
  <c r="E9" i="43"/>
  <c r="E8" i="43"/>
  <c r="C7" i="43" s="1"/>
  <c r="E81" i="43"/>
  <c r="B79" i="43" s="1"/>
  <c r="AH11" i="43"/>
  <c r="AD11" i="43"/>
  <c r="Z11" i="43"/>
  <c r="AI11" i="43"/>
  <c r="AI13" i="43" s="1"/>
  <c r="AE11" i="43"/>
  <c r="AE13" i="43" s="1"/>
  <c r="AA11" i="43"/>
  <c r="AA13" i="43" s="1"/>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C48" i="35"/>
  <c r="D48" i="35" s="1"/>
  <c r="C4" i="12"/>
  <c r="H66" i="43"/>
  <c r="H65" i="43"/>
  <c r="H64" i="43"/>
  <c r="H63" i="43"/>
  <c r="H55" i="43"/>
  <c r="H56" i="43"/>
  <c r="H72" i="43"/>
  <c r="L20" i="6"/>
  <c r="E56" i="39"/>
  <c r="E51" i="40"/>
  <c r="B6" i="1"/>
  <c r="E6" i="1" s="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C28" i="67" s="1"/>
  <c r="F31" i="12"/>
  <c r="F52" i="9"/>
  <c r="M18" i="67"/>
  <c r="F32" i="67"/>
  <c r="F60" i="67" s="1"/>
  <c r="F30" i="69"/>
  <c r="F48" i="69" s="1"/>
  <c r="F32" i="15"/>
  <c r="F60" i="15" s="1"/>
  <c r="M18" i="15"/>
  <c r="F28" i="15"/>
  <c r="C28" i="15" s="1"/>
  <c r="E63" i="39"/>
  <c r="T11" i="1"/>
  <c r="D19" i="12"/>
  <c r="C19" i="12" s="1"/>
  <c r="AQ9" i="1"/>
  <c r="AR11" i="1"/>
  <c r="E59" i="40"/>
  <c r="T9" i="1"/>
  <c r="T13" i="1"/>
  <c r="S7" i="1"/>
  <c r="AQ7" i="1" s="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J22" i="43"/>
  <c r="R22" i="31"/>
  <c r="AP7" i="1"/>
  <c r="AC33" i="21"/>
  <c r="S33" i="21"/>
  <c r="AA33" i="21"/>
  <c r="W32" i="21"/>
  <c r="AB9" i="21"/>
  <c r="AA32" i="21"/>
  <c r="S32" i="21"/>
  <c r="W9" i="21"/>
  <c r="AC9" i="21"/>
  <c r="AB32" i="21"/>
  <c r="U32" i="21"/>
  <c r="AA10" i="21"/>
  <c r="E6" i="70"/>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AC11" i="37"/>
  <c r="W11" i="34"/>
  <c r="AC11" i="34"/>
  <c r="R7" i="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AB19" i="71"/>
  <c r="X17" i="71"/>
  <c r="X16" i="71"/>
  <c r="AA17" i="71"/>
  <c r="AA16" i="71"/>
  <c r="X20" i="71"/>
  <c r="Y16" i="71"/>
  <c r="Z16" i="71" s="1"/>
  <c r="AB17" i="71"/>
  <c r="AB16" i="71"/>
  <c r="C92" i="9"/>
  <c r="F18" i="71"/>
  <c r="F17" i="71"/>
  <c r="F16" i="71" s="1"/>
  <c r="F15" i="71" s="1"/>
  <c r="F14" i="71" s="1"/>
  <c r="Y17" i="71"/>
  <c r="Z17" i="71" s="1"/>
  <c r="X3" i="71"/>
  <c r="E18" i="71"/>
  <c r="E17" i="71" s="1"/>
  <c r="G20" i="43"/>
  <c r="I59" i="34"/>
  <c r="J59" i="34" s="1"/>
  <c r="M24" i="15"/>
  <c r="M23" i="67"/>
  <c r="L48" i="67"/>
  <c r="M27" i="67"/>
  <c r="M24" i="67"/>
  <c r="F26" i="67"/>
  <c r="F6" i="73"/>
  <c r="D2" i="35"/>
  <c r="F7" i="15"/>
  <c r="F16" i="67"/>
  <c r="F13" i="15"/>
  <c r="F8" i="67"/>
  <c r="L48" i="15"/>
  <c r="E8" i="76"/>
  <c r="D5" i="73"/>
  <c r="E10" i="76"/>
  <c r="F20" i="31"/>
  <c r="F6" i="15"/>
  <c r="E13" i="76"/>
  <c r="F40" i="67"/>
  <c r="D6" i="73"/>
  <c r="M28" i="15"/>
  <c r="F37" i="67"/>
  <c r="B11" i="76"/>
  <c r="M29" i="67"/>
  <c r="F7" i="73"/>
  <c r="F41" i="67"/>
  <c r="F3" i="73"/>
  <c r="M26" i="15"/>
  <c r="J15" i="15"/>
  <c r="M8" i="15"/>
  <c r="M6" i="67"/>
  <c r="B12" i="76"/>
  <c r="E9" i="76"/>
  <c r="AO11" i="1"/>
  <c r="F43" i="15"/>
  <c r="E2" i="68"/>
  <c r="F35" i="67"/>
  <c r="F7" i="67"/>
  <c r="J15" i="67"/>
  <c r="M28" i="67"/>
  <c r="F36" i="15"/>
  <c r="B8" i="76"/>
  <c r="M22" i="15"/>
  <c r="E2" i="69"/>
  <c r="AO13" i="1"/>
  <c r="F42" i="67"/>
  <c r="F8" i="15"/>
  <c r="AO12" i="1"/>
  <c r="B13" i="76"/>
  <c r="M8" i="67"/>
  <c r="C76" i="15"/>
  <c r="F5" i="73"/>
  <c r="AO9" i="1"/>
  <c r="F16" i="15"/>
  <c r="F9" i="15"/>
  <c r="F6" i="67"/>
  <c r="E11" i="76"/>
  <c r="D3" i="73"/>
  <c r="M22" i="67"/>
  <c r="E7" i="76"/>
  <c r="B7" i="76"/>
  <c r="D2" i="33"/>
  <c r="F38" i="15"/>
  <c r="B9" i="76"/>
  <c r="AO7" i="1"/>
  <c r="F40" i="15"/>
  <c r="M26" i="67"/>
  <c r="AO8" i="1"/>
  <c r="M9" i="67"/>
  <c r="L47" i="15"/>
  <c r="F42" i="15"/>
  <c r="B10" i="76"/>
  <c r="E12" i="76"/>
  <c r="D2" i="34"/>
  <c r="M29" i="15"/>
  <c r="M27" i="15"/>
  <c r="F26" i="15"/>
  <c r="F36" i="67"/>
  <c r="F37" i="15"/>
  <c r="AO10" i="1"/>
  <c r="C76" i="67"/>
  <c r="M6" i="15"/>
  <c r="M23" i="15"/>
  <c r="M21" i="67"/>
  <c r="M9" i="15"/>
  <c r="F13" i="67"/>
  <c r="D2" i="37"/>
  <c r="F9" i="67"/>
  <c r="L47" i="67"/>
  <c r="F43" i="67"/>
  <c r="F38" i="67"/>
  <c r="D4" i="73"/>
  <c r="D2" i="36"/>
  <c r="F4" i="73"/>
  <c r="D7" i="73"/>
  <c r="D2" i="21"/>
  <c r="F22" i="43" l="1"/>
  <c r="E22" i="43"/>
  <c r="C18" i="9"/>
  <c r="D18" i="9" s="1"/>
  <c r="C24" i="12"/>
  <c r="C48" i="68"/>
  <c r="C30" i="68"/>
  <c r="C77" i="9"/>
  <c r="C74" i="9" s="1"/>
  <c r="C21" i="69"/>
  <c r="C23" i="12"/>
  <c r="E19" i="11"/>
  <c r="F34" i="11"/>
  <c r="C36" i="11" s="1"/>
  <c r="G22" i="68"/>
  <c r="G26" i="12"/>
  <c r="G22" i="69"/>
  <c r="C20" i="43"/>
  <c r="T7" i="1"/>
  <c r="L27" i="6"/>
  <c r="AQ12" i="1"/>
  <c r="T8" i="1"/>
  <c r="AR7" i="1"/>
  <c r="C36" i="69"/>
  <c r="AR8" i="1"/>
  <c r="BL5" i="3"/>
  <c r="Y11" i="43"/>
  <c r="Y13" i="43" s="1"/>
  <c r="AC11" i="43"/>
  <c r="AG11" i="43"/>
  <c r="Z7" i="43"/>
  <c r="AB11" i="43"/>
  <c r="AB13" i="43" s="1"/>
  <c r="AF11" i="43"/>
  <c r="AJ11" i="43"/>
  <c r="AJ13" i="43" s="1"/>
  <c r="T12" i="1"/>
  <c r="E101" i="43"/>
  <c r="M101" i="43"/>
  <c r="H101" i="43"/>
  <c r="L101" i="43"/>
  <c r="F101" i="43"/>
  <c r="D9" i="68"/>
  <c r="C9" i="68" s="1"/>
  <c r="D9" i="69"/>
  <c r="C9" i="69" s="1"/>
  <c r="I103" i="43"/>
  <c r="E12" i="6"/>
  <c r="E57" i="40" s="1"/>
  <c r="D104" i="43"/>
  <c r="I102" i="43"/>
  <c r="E2" i="70"/>
  <c r="E16" i="6"/>
  <c r="D107" i="43"/>
  <c r="D103" i="43"/>
  <c r="I106" i="43"/>
  <c r="B115" i="43"/>
  <c r="C115"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2" i="43"/>
  <c r="D106" i="43"/>
  <c r="D105" i="43"/>
  <c r="I105" i="43"/>
  <c r="I107" i="43"/>
  <c r="I104" i="43"/>
  <c r="N104" i="46"/>
  <c r="J101" i="43"/>
  <c r="C101" i="43"/>
  <c r="G101" i="43"/>
  <c r="N101" i="43"/>
  <c r="K101" i="43"/>
  <c r="G11" i="1"/>
  <c r="G17" i="43"/>
  <c r="C16" i="43" s="1"/>
  <c r="B34" i="72"/>
  <c r="D17" i="53"/>
  <c r="B36" i="72" s="1"/>
  <c r="D125" i="9"/>
  <c r="D11" i="52" s="1"/>
  <c r="D10" i="52"/>
  <c r="D68" i="39"/>
  <c r="C70" i="39"/>
  <c r="P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358" i="3"/>
  <c r="E533" i="3"/>
  <c r="E514" i="3"/>
  <c r="S6" i="3"/>
  <c r="E559" i="3"/>
  <c r="E570" i="3"/>
  <c r="E551" i="3"/>
  <c r="M6" i="3"/>
  <c r="E506" i="3"/>
  <c r="E538" i="3"/>
  <c r="E407" i="3"/>
  <c r="E387" i="3"/>
  <c r="E338" i="3"/>
  <c r="E380" i="3"/>
  <c r="E321" i="3"/>
  <c r="E231" i="3"/>
  <c r="E215" i="3"/>
  <c r="E230" i="3"/>
  <c r="E189" i="3"/>
  <c r="E130" i="3"/>
  <c r="E185" i="3"/>
  <c r="E61" i="3"/>
  <c r="E135" i="3"/>
  <c r="E290" i="3"/>
  <c r="E221" i="3"/>
  <c r="E180" i="3"/>
  <c r="E149" i="3"/>
  <c r="E77" i="3"/>
  <c r="E212" i="3"/>
  <c r="E253" i="3"/>
  <c r="E167" i="3"/>
  <c r="E199" i="3"/>
  <c r="E141" i="3"/>
  <c r="E313" i="3"/>
  <c r="E330" i="3"/>
  <c r="E519" i="3"/>
  <c r="K6" i="3"/>
  <c r="E532" i="3"/>
  <c r="E534" i="3"/>
  <c r="E573" i="3"/>
  <c r="E560" i="3"/>
  <c r="E529" i="3"/>
  <c r="E437" i="3"/>
  <c r="E458" i="3"/>
  <c r="E472" i="3"/>
  <c r="E474" i="3"/>
  <c r="E481" i="3"/>
  <c r="E527" i="3"/>
  <c r="E512" i="3"/>
  <c r="E422" i="3"/>
  <c r="E408" i="3"/>
  <c r="E440" i="3"/>
  <c r="E451" i="3"/>
  <c r="E490" i="3"/>
  <c r="E360" i="3"/>
  <c r="E344" i="3"/>
  <c r="E562" i="3"/>
  <c r="E587" i="3"/>
  <c r="E497" i="3"/>
  <c r="E571" i="3"/>
  <c r="E577" i="3"/>
  <c r="E537" i="3"/>
  <c r="E429" i="3"/>
  <c r="E450" i="3"/>
  <c r="E468" i="3"/>
  <c r="E471" i="3"/>
  <c r="E496" i="3"/>
  <c r="E433" i="3"/>
  <c r="E454" i="3"/>
  <c r="E475" i="3"/>
  <c r="E55" i="3"/>
  <c r="E72" i="3"/>
  <c r="E106" i="3"/>
  <c r="E25" i="3"/>
  <c r="E41" i="3"/>
  <c r="E108" i="3"/>
  <c r="E115" i="3"/>
  <c r="E178" i="3"/>
  <c r="E198" i="3"/>
  <c r="E119" i="3"/>
  <c r="E139" i="3"/>
  <c r="E202" i="3"/>
  <c r="E225" i="3"/>
  <c r="E242" i="3"/>
  <c r="E279" i="3"/>
  <c r="E226" i="3"/>
  <c r="E243" i="3"/>
  <c r="E276" i="3"/>
  <c r="E351" i="3"/>
  <c r="E315" i="3"/>
  <c r="E357" i="3"/>
  <c r="E394" i="3"/>
  <c r="E318" i="3"/>
  <c r="E362" i="3"/>
  <c r="E14" i="3"/>
  <c r="E580" i="3"/>
  <c r="E42" i="3"/>
  <c r="E60" i="3"/>
  <c r="E94" i="3"/>
  <c r="E43" i="3"/>
  <c r="E75" i="3"/>
  <c r="E409" i="3"/>
  <c r="E473" i="3"/>
  <c r="E15" i="3"/>
  <c r="E455" i="3"/>
  <c r="E79" i="3"/>
  <c r="E38" i="3"/>
  <c r="E100" i="3"/>
  <c r="E170" i="3"/>
  <c r="E137" i="3"/>
  <c r="E194" i="3"/>
  <c r="E234" i="3"/>
  <c r="E219" i="3"/>
  <c r="E299" i="3"/>
  <c r="E339" i="3"/>
  <c r="E383" i="3"/>
  <c r="E342" i="3"/>
  <c r="E522" i="3"/>
  <c r="E52" i="3"/>
  <c r="E36" i="3"/>
  <c r="E34" i="3"/>
  <c r="E49" i="3"/>
  <c r="E206" i="3"/>
  <c r="E232" i="3"/>
  <c r="E251" i="3"/>
  <c r="E370" i="3"/>
  <c r="AF6" i="3"/>
  <c r="E50" i="3"/>
  <c r="E20" i="3"/>
  <c r="E62" i="3"/>
  <c r="E176" i="3"/>
  <c r="E218" i="3"/>
  <c r="E265" i="3"/>
  <c r="E365" i="3"/>
  <c r="E524" i="3"/>
  <c r="E101" i="3"/>
  <c r="E311" i="3"/>
  <c r="AR6" i="3"/>
  <c r="E523" i="3"/>
  <c r="E561" i="3"/>
  <c r="V6" i="3"/>
  <c r="AB6" i="3"/>
  <c r="E418" i="3"/>
  <c r="E439" i="3"/>
  <c r="E320" i="3"/>
  <c r="E335" i="3"/>
  <c r="E294" i="3"/>
  <c r="E298" i="3"/>
  <c r="E216" i="3"/>
  <c r="E169" i="3"/>
  <c r="E134" i="3"/>
  <c r="E254" i="3"/>
  <c r="E91" i="3"/>
  <c r="E161" i="3"/>
  <c r="E117" i="3"/>
  <c r="E207" i="3"/>
  <c r="E252" i="3"/>
  <c r="E271" i="3"/>
  <c r="E204" i="3"/>
  <c r="E145" i="3"/>
  <c r="E164" i="3"/>
  <c r="E107" i="3"/>
  <c r="E369" i="3"/>
  <c r="E393" i="3"/>
  <c r="E525" i="3"/>
  <c r="E493" i="3"/>
  <c r="Q6" i="3"/>
  <c r="E564" i="3"/>
  <c r="T6" i="3"/>
  <c r="E543" i="3"/>
  <c r="E405" i="3"/>
  <c r="E427" i="3"/>
  <c r="E456" i="3"/>
  <c r="E486" i="3"/>
  <c r="E469" i="3"/>
  <c r="E507" i="3"/>
  <c r="E406" i="3"/>
  <c r="E438" i="3"/>
  <c r="E424" i="3"/>
  <c r="E457" i="3"/>
  <c r="E465" i="3"/>
  <c r="E288" i="3"/>
  <c r="E376" i="3"/>
  <c r="E556" i="3"/>
  <c r="AH6" i="3"/>
  <c r="W6" i="3"/>
  <c r="AE6" i="3"/>
  <c r="J6" i="3"/>
  <c r="E13" i="3"/>
  <c r="E498" i="3"/>
  <c r="E494" i="3"/>
  <c r="E419" i="3"/>
  <c r="E452" i="3"/>
  <c r="E483" i="3"/>
  <c r="E470" i="3"/>
  <c r="E401" i="3"/>
  <c r="E420" i="3"/>
  <c r="E463" i="3"/>
  <c r="E26" i="3"/>
  <c r="E40" i="3"/>
  <c r="E104" i="3"/>
  <c r="E54" i="3"/>
  <c r="E73" i="3"/>
  <c r="E111" i="3"/>
  <c r="E146" i="3"/>
  <c r="E168" i="3"/>
  <c r="E203" i="3"/>
  <c r="E150" i="3"/>
  <c r="E171" i="3"/>
  <c r="E208" i="3"/>
  <c r="E256" i="3"/>
  <c r="E281" i="3"/>
  <c r="E214" i="3"/>
  <c r="E257" i="3"/>
  <c r="E274" i="3"/>
  <c r="E332" i="3"/>
  <c r="E346" i="3"/>
  <c r="E391" i="3"/>
  <c r="E333" i="3"/>
  <c r="E356" i="3"/>
  <c r="E372" i="3"/>
  <c r="AL6" i="3"/>
  <c r="L6" i="3"/>
  <c r="E31" i="3"/>
  <c r="E74" i="3"/>
  <c r="E93" i="3"/>
  <c r="E32" i="3"/>
  <c r="E488" i="3"/>
  <c r="E428" i="3"/>
  <c r="E482" i="3"/>
  <c r="E412" i="3"/>
  <c r="E18" i="3"/>
  <c r="E96" i="3"/>
  <c r="E78" i="3"/>
  <c r="E129" i="3"/>
  <c r="E190" i="3"/>
  <c r="E174" i="3"/>
  <c r="E220" i="3"/>
  <c r="E275" i="3"/>
  <c r="E235" i="3"/>
  <c r="E324" i="3"/>
  <c r="E325" i="3"/>
  <c r="E392" i="3"/>
  <c r="AQ6" i="3"/>
  <c r="E35" i="3"/>
  <c r="E86" i="3"/>
  <c r="E112" i="3"/>
  <c r="E123" i="3"/>
  <c r="E147" i="3"/>
  <c r="E289" i="3"/>
  <c r="E340" i="3"/>
  <c r="E364" i="3"/>
  <c r="E102" i="3"/>
  <c r="E80" i="3"/>
  <c r="E113" i="3"/>
  <c r="E158" i="3"/>
  <c r="E287" i="3"/>
  <c r="E308" i="3"/>
  <c r="E326" i="3"/>
  <c r="E22" i="3"/>
  <c r="E83" i="3"/>
  <c r="O12" i="1"/>
  <c r="P12" i="1" s="1"/>
  <c r="F30" i="6"/>
  <c r="F31" i="6" s="1"/>
  <c r="E29" i="6"/>
  <c r="E16" i="71"/>
  <c r="E15" i="71" s="1"/>
  <c r="E14" i="71" s="1"/>
  <c r="E13" i="71" s="1"/>
  <c r="V17" i="71"/>
  <c r="O14" i="1"/>
  <c r="P14" i="1" s="1"/>
  <c r="O7" i="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20" i="6"/>
  <c r="M20" i="6" s="1"/>
  <c r="I20" i="6" s="1"/>
  <c r="S20" i="6" s="1"/>
  <c r="K19" i="6"/>
  <c r="S6" i="1" s="1"/>
  <c r="AQ6" i="1" s="1"/>
  <c r="P11" i="1"/>
  <c r="C31" i="12"/>
  <c r="K5" i="4"/>
  <c r="B47" i="48" s="1"/>
  <c r="AZ521" i="3"/>
  <c r="S12" i="34"/>
  <c r="AA12" i="34"/>
  <c r="E41" i="43"/>
  <c r="C41" i="43" s="1"/>
  <c r="D12" i="52"/>
  <c r="D127" i="9"/>
  <c r="D13" i="52" s="1"/>
  <c r="S16" i="1"/>
  <c r="C34" i="69"/>
  <c r="C35" i="69" s="1"/>
  <c r="M16" i="1"/>
  <c r="C30" i="11"/>
  <c r="AB45" i="21"/>
  <c r="H16" i="1"/>
  <c r="Q16" i="1"/>
  <c r="C48" i="69"/>
  <c r="E56" i="40"/>
  <c r="AB27" i="36"/>
  <c r="U12" i="39"/>
  <c r="AA27" i="40"/>
  <c r="AA34" i="33"/>
  <c r="W9" i="34"/>
  <c r="AC9" i="34"/>
  <c r="AC34" i="35"/>
  <c r="W34" i="35"/>
  <c r="AZ409" i="3"/>
  <c r="AZ416" i="3"/>
  <c r="AZ486" i="3"/>
  <c r="W29" i="33"/>
  <c r="S45" i="33"/>
  <c r="AC30" i="34"/>
  <c r="W11" i="35"/>
  <c r="S11" i="36"/>
  <c r="AB26" i="33"/>
  <c r="AB11" i="36"/>
  <c r="AA14" i="33"/>
  <c r="AA44" i="33"/>
  <c r="H9" i="34"/>
  <c r="F34" i="35"/>
  <c r="H34" i="35"/>
  <c r="J36" i="35"/>
  <c r="AZ399" i="3"/>
  <c r="AZ404" i="3"/>
  <c r="AZ414" i="3"/>
  <c r="AZ421" i="3"/>
  <c r="AZ423" i="3"/>
  <c r="AZ427" i="3"/>
  <c r="AZ430" i="3"/>
  <c r="AZ440" i="3"/>
  <c r="AZ449" i="3"/>
  <c r="AZ453" i="3"/>
  <c r="AZ455" i="3"/>
  <c r="AZ460" i="3"/>
  <c r="AZ471" i="3"/>
  <c r="AZ476" i="3"/>
  <c r="AZ478" i="3"/>
  <c r="AZ484" i="3"/>
  <c r="AZ385" i="3"/>
  <c r="AZ210" i="3"/>
  <c r="AZ225" i="3"/>
  <c r="AZ239" i="3"/>
  <c r="AZ255" i="3"/>
  <c r="AZ270" i="3"/>
  <c r="AZ274" i="3"/>
  <c r="AZ277" i="3"/>
  <c r="AZ298" i="3"/>
  <c r="AZ301" i="3"/>
  <c r="AZ122" i="3"/>
  <c r="AZ125" i="3"/>
  <c r="AZ22" i="3"/>
  <c r="AZ5" i="3" s="1"/>
  <c r="AZ54" i="3"/>
  <c r="AZ57" i="3"/>
  <c r="AZ70" i="3"/>
  <c r="AZ92" i="3"/>
  <c r="AZ103" i="3"/>
  <c r="AZ112" i="3"/>
  <c r="F3" i="35"/>
  <c r="D113" i="43"/>
  <c r="Y5" i="71"/>
  <c r="Z5" i="71" s="1"/>
  <c r="X5" i="71"/>
  <c r="AB5" i="71"/>
  <c r="AA5" i="71"/>
  <c r="X6" i="71"/>
  <c r="X7" i="71"/>
  <c r="X36" i="71"/>
  <c r="AJ10" i="43"/>
  <c r="M100" i="43"/>
  <c r="I100" i="43"/>
  <c r="E100" i="43"/>
  <c r="D100" i="43"/>
  <c r="C40" i="68"/>
  <c r="C21" i="68"/>
  <c r="C29" i="39"/>
  <c r="B66" i="43"/>
  <c r="E27" i="71"/>
  <c r="E28" i="71" s="1"/>
  <c r="E29" i="71" s="1"/>
  <c r="U29" i="71" s="1"/>
  <c r="AA26" i="71"/>
  <c r="AB6" i="71"/>
  <c r="AB36" i="71"/>
  <c r="S65" i="71"/>
  <c r="B64" i="71"/>
  <c r="Z12" i="43"/>
  <c r="Z13" i="43" s="1"/>
  <c r="Z10" i="43"/>
  <c r="AD12" i="43"/>
  <c r="AD13" i="43" s="1"/>
  <c r="AD10" i="43"/>
  <c r="AF12" i="43"/>
  <c r="AF10" i="43"/>
  <c r="AH12" i="43"/>
  <c r="AH13" i="43" s="1"/>
  <c r="AH10" i="43"/>
  <c r="Y6" i="71"/>
  <c r="Z6" i="71" s="1"/>
  <c r="Y7" i="71"/>
  <c r="Z7" i="71" s="1"/>
  <c r="AA6" i="71"/>
  <c r="AA7" i="71"/>
  <c r="AC12" i="43"/>
  <c r="AC10" i="43"/>
  <c r="AG12" i="43"/>
  <c r="AG13" i="43" s="1"/>
  <c r="AG10" i="43"/>
  <c r="X21" i="71"/>
  <c r="Y21" i="71"/>
  <c r="Z21" i="71" s="1"/>
  <c r="AA20" i="71"/>
  <c r="X19" i="71"/>
  <c r="AA18" i="71"/>
  <c r="X18" i="71"/>
  <c r="X14" i="71"/>
  <c r="Y14" i="71"/>
  <c r="Z14" i="71" s="1"/>
  <c r="AA14" i="71"/>
  <c r="AB15" i="71"/>
  <c r="Y11" i="71"/>
  <c r="Z11" i="71" s="1"/>
  <c r="AB7" i="71"/>
  <c r="Y19" i="71"/>
  <c r="Z19" i="71" s="1"/>
  <c r="AB20" i="71"/>
  <c r="Y15" i="71"/>
  <c r="Z15" i="71" s="1"/>
  <c r="X15" i="71"/>
  <c r="AA15" i="71"/>
  <c r="Y18" i="71"/>
  <c r="Z18" i="71" s="1"/>
  <c r="AA19" i="71"/>
  <c r="AB18" i="71"/>
  <c r="X12" i="71"/>
  <c r="AA12" i="71"/>
  <c r="AB8" i="71"/>
  <c r="AB10" i="71"/>
  <c r="Y8" i="71"/>
  <c r="Z8" i="71" s="1"/>
  <c r="Y10" i="71"/>
  <c r="Z10" i="71" s="1"/>
  <c r="AA10" i="71"/>
  <c r="AA11" i="71"/>
  <c r="X10" i="71"/>
  <c r="AA21" i="71"/>
  <c r="AB21" i="71"/>
  <c r="B21" i="71"/>
  <c r="C21" i="71"/>
  <c r="Y20" i="71"/>
  <c r="Z20" i="71" s="1"/>
  <c r="AB12" i="71"/>
  <c r="AB14" i="71"/>
  <c r="AB9" i="71"/>
  <c r="AB11" i="71"/>
  <c r="Y9" i="71"/>
  <c r="Z9" i="71" s="1"/>
  <c r="AA8" i="71"/>
  <c r="AA9" i="71"/>
  <c r="X8" i="71"/>
  <c r="X9" i="71"/>
  <c r="X11" i="71"/>
  <c r="C5" i="43"/>
  <c r="T11" i="43" s="1"/>
  <c r="V11" i="43" s="1"/>
  <c r="D5" i="43"/>
  <c r="C36" i="43"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5" i="43"/>
  <c r="E35" i="43" s="1"/>
  <c r="C39" i="43"/>
  <c r="X13" i="71"/>
  <c r="AB13" i="71"/>
  <c r="Z12" i="71"/>
  <c r="Y3" i="71"/>
  <c r="Z3" i="71" s="1"/>
  <c r="F13" i="71"/>
  <c r="F12" i="71" s="1"/>
  <c r="F11" i="71" s="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67"/>
  <c r="C14" i="67"/>
  <c r="C16" i="15"/>
  <c r="C17" i="67"/>
  <c r="G1" i="73"/>
  <c r="C14" i="15"/>
  <c r="D22" i="43" l="1"/>
  <c r="T6" i="1"/>
  <c r="T16" i="1" s="1"/>
  <c r="AC13" i="43"/>
  <c r="AF13" i="43"/>
  <c r="O16" i="1"/>
  <c r="AR6" i="1"/>
  <c r="F104" i="43"/>
  <c r="F107" i="43"/>
  <c r="F106" i="43"/>
  <c r="F105" i="43"/>
  <c r="F109" i="43"/>
  <c r="F102" i="43"/>
  <c r="F103" i="43"/>
  <c r="H102" i="43"/>
  <c r="H103" i="43"/>
  <c r="H104" i="43"/>
  <c r="H107" i="43"/>
  <c r="H106" i="43"/>
  <c r="H105" i="43"/>
  <c r="H109" i="43"/>
  <c r="E102" i="43"/>
  <c r="E106" i="43"/>
  <c r="E103" i="43"/>
  <c r="E104" i="43"/>
  <c r="E107" i="43"/>
  <c r="E105" i="43"/>
  <c r="E109" i="43"/>
  <c r="L109" i="43"/>
  <c r="L106" i="43"/>
  <c r="L107" i="43"/>
  <c r="L103" i="43"/>
  <c r="L102" i="43"/>
  <c r="L105" i="43"/>
  <c r="L104" i="43"/>
  <c r="M109" i="43"/>
  <c r="M102" i="43"/>
  <c r="M106" i="43"/>
  <c r="M103" i="43"/>
  <c r="M104" i="43"/>
  <c r="M107" i="43"/>
  <c r="M105" i="43"/>
  <c r="E62" i="39"/>
  <c r="E66" i="39" s="1"/>
  <c r="AC6" i="3"/>
  <c r="H6" i="3"/>
  <c r="C15" i="15"/>
  <c r="C18" i="15"/>
  <c r="K103" i="43"/>
  <c r="K102" i="43"/>
  <c r="K106" i="43"/>
  <c r="K107" i="43"/>
  <c r="K104" i="43"/>
  <c r="K105" i="43"/>
  <c r="K109" i="43"/>
  <c r="G105" i="43"/>
  <c r="G102" i="43"/>
  <c r="G107" i="43"/>
  <c r="G104" i="43"/>
  <c r="G109" i="43"/>
  <c r="G103" i="43"/>
  <c r="G106" i="43"/>
  <c r="J104" i="43"/>
  <c r="J107" i="43"/>
  <c r="J102" i="43"/>
  <c r="J106" i="43"/>
  <c r="J105" i="43"/>
  <c r="J103" i="43"/>
  <c r="J109" i="43"/>
  <c r="N102" i="43"/>
  <c r="N105" i="43"/>
  <c r="N107" i="43"/>
  <c r="N103" i="43"/>
  <c r="N106" i="43"/>
  <c r="N104" i="43"/>
  <c r="N109" i="43"/>
  <c r="C104" i="43"/>
  <c r="C106" i="43"/>
  <c r="C107" i="43"/>
  <c r="C103" i="43"/>
  <c r="C102" i="43"/>
  <c r="C109" i="43"/>
  <c r="C105" i="43"/>
  <c r="J10" i="40"/>
  <c r="AC10" i="40" s="1"/>
  <c r="H10" i="39"/>
  <c r="U10" i="39" s="1"/>
  <c r="F10" i="40"/>
  <c r="AA10" i="40" s="1"/>
  <c r="J10" i="39"/>
  <c r="AC10" i="39" s="1"/>
  <c r="H10" i="40"/>
  <c r="U10" i="40" s="1"/>
  <c r="E36" i="43"/>
  <c r="G36" i="43"/>
  <c r="I36" i="43" s="1"/>
  <c r="C34" i="43"/>
  <c r="G34" i="43" s="1"/>
  <c r="I34" i="43" s="1"/>
  <c r="C37" i="43"/>
  <c r="E37" i="43" s="1"/>
  <c r="C38" i="43"/>
  <c r="G38" i="43" s="1"/>
  <c r="I38" i="43" s="1"/>
  <c r="D70" i="39"/>
  <c r="E68" i="39"/>
  <c r="AY6" i="3"/>
  <c r="E3" i="6"/>
  <c r="C20" i="71"/>
  <c r="T21" i="71"/>
  <c r="D21" i="71"/>
  <c r="U21" i="71" s="1"/>
  <c r="W36" i="35"/>
  <c r="AC36" i="35"/>
  <c r="S34" i="35"/>
  <c r="AA34" i="35"/>
  <c r="F28" i="12"/>
  <c r="C29" i="12" s="1"/>
  <c r="D28" i="12" s="1"/>
  <c r="F27" i="11"/>
  <c r="F27" i="69"/>
  <c r="F27" i="68"/>
  <c r="N16" i="1"/>
  <c r="L16" i="1"/>
  <c r="M19" i="6"/>
  <c r="K27" i="6"/>
  <c r="K15" i="1"/>
  <c r="K16" i="1" s="1"/>
  <c r="E30" i="6"/>
  <c r="E31" i="6" s="1"/>
  <c r="C34" i="11"/>
  <c r="T13" i="43"/>
  <c r="V13" i="43" s="1"/>
  <c r="T10" i="43"/>
  <c r="V10" i="43" s="1"/>
  <c r="C38" i="69"/>
  <c r="T9" i="43"/>
  <c r="V9" i="43" s="1"/>
  <c r="T12" i="43"/>
  <c r="V12" i="43" s="1"/>
  <c r="B20" i="71"/>
  <c r="B19" i="71" s="1"/>
  <c r="B18" i="71" s="1"/>
  <c r="B17" i="71" s="1"/>
  <c r="S21" i="71"/>
  <c r="B63" i="71"/>
  <c r="N64" i="71"/>
  <c r="AB34" i="35"/>
  <c r="U34" i="35"/>
  <c r="U9" i="34"/>
  <c r="AB9" i="34"/>
  <c r="C34" i="68"/>
  <c r="P7" i="1"/>
  <c r="P16" i="1" s="1"/>
  <c r="C11" i="12" s="1"/>
  <c r="E12" i="71"/>
  <c r="E11" i="71" s="1"/>
  <c r="E10" i="71" s="1"/>
  <c r="E9" i="71" s="1"/>
  <c r="V13" i="71"/>
  <c r="T8" i="43"/>
  <c r="V8" i="43" s="1"/>
  <c r="T16" i="43"/>
  <c r="V16" i="43" s="1"/>
  <c r="T15" i="43"/>
  <c r="V15" i="43" s="1"/>
  <c r="F59" i="67"/>
  <c r="G35" i="43"/>
  <c r="I35" i="43" s="1"/>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0" i="39" l="1"/>
  <c r="W10" i="39"/>
  <c r="C19" i="15"/>
  <c r="C20" i="15" s="1"/>
  <c r="C26" i="15" s="1"/>
  <c r="E6" i="3"/>
  <c r="S6" i="43"/>
  <c r="T6" i="43" s="1"/>
  <c r="V6" i="43" s="1"/>
  <c r="S2" i="43"/>
  <c r="T2" i="43" s="1"/>
  <c r="V2" i="43" s="1"/>
  <c r="S5" i="43"/>
  <c r="T5" i="43" s="1"/>
  <c r="V5" i="43" s="1"/>
  <c r="C23" i="43"/>
  <c r="C21" i="43" s="1"/>
  <c r="C29" i="43" s="1"/>
  <c r="S3" i="43"/>
  <c r="T3" i="43" s="1"/>
  <c r="V3" i="43" s="1"/>
  <c r="S4" i="43"/>
  <c r="T4" i="43" s="1"/>
  <c r="V4" i="43" s="1"/>
  <c r="S7" i="43"/>
  <c r="T7" i="43" s="1"/>
  <c r="V7" i="43" s="1"/>
  <c r="C26" i="43"/>
  <c r="F68" i="39"/>
  <c r="E70" i="39"/>
  <c r="C15" i="12"/>
  <c r="C12" i="12"/>
  <c r="E8" i="71"/>
  <c r="E7" i="71" s="1"/>
  <c r="E6" i="71" s="1"/>
  <c r="E5" i="71" s="1"/>
  <c r="V9" i="71"/>
  <c r="C35" i="68"/>
  <c r="C38" i="68"/>
  <c r="N62" i="71"/>
  <c r="N63" i="71"/>
  <c r="B16" i="71"/>
  <c r="B15" i="71" s="1"/>
  <c r="B14" i="71" s="1"/>
  <c r="B13" i="71" s="1"/>
  <c r="S17" i="71"/>
  <c r="C38" i="11"/>
  <c r="C35" i="11"/>
  <c r="I19" i="6"/>
  <c r="M27" i="6"/>
  <c r="F50" i="69"/>
  <c r="F50" i="68"/>
  <c r="F50" i="11"/>
  <c r="F45" i="69"/>
  <c r="C47" i="69"/>
  <c r="D45" i="69" s="1"/>
  <c r="C29" i="69"/>
  <c r="D27" i="69" s="1"/>
  <c r="D3" i="34"/>
  <c r="D3" i="33"/>
  <c r="E6" i="6"/>
  <c r="D37" i="11"/>
  <c r="C37" i="11" s="1"/>
  <c r="D14" i="12"/>
  <c r="M18" i="9"/>
  <c r="B118" i="9" s="1"/>
  <c r="B14" i="74" s="1"/>
  <c r="B1" i="74" s="1"/>
  <c r="D19" i="11"/>
  <c r="C19" i="11" s="1"/>
  <c r="C17" i="4"/>
  <c r="B4" i="52" s="1"/>
  <c r="B43" i="72" s="1"/>
  <c r="L18" i="9"/>
  <c r="D3" i="37"/>
  <c r="D3" i="21"/>
  <c r="F45" i="68"/>
  <c r="C29" i="68"/>
  <c r="D27" i="68" s="1"/>
  <c r="C47" i="68"/>
  <c r="D45" i="68" s="1"/>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43" i="3"/>
  <c r="AY199" i="3"/>
  <c r="AY116" i="3"/>
  <c r="AY269" i="3"/>
  <c r="AY229" i="3"/>
  <c r="AY244" i="3"/>
  <c r="AY212" i="3"/>
  <c r="AY390" i="3"/>
  <c r="AY379" i="3"/>
  <c r="AY355" i="3"/>
  <c r="AY343" i="3"/>
  <c r="AY311" i="3"/>
  <c r="AY326" i="3"/>
  <c r="AY481" i="3"/>
  <c r="AY478" i="3"/>
  <c r="AY447" i="3"/>
  <c r="AY436" i="3"/>
  <c r="AY417" i="3"/>
  <c r="AY535" i="3"/>
  <c r="AY557" i="3"/>
  <c r="AY562" i="3"/>
  <c r="AY573" i="3"/>
  <c r="AY574" i="3"/>
  <c r="BO6" i="3"/>
  <c r="AY539" i="3"/>
  <c r="AY555" i="3"/>
  <c r="AY89" i="3"/>
  <c r="AY100" i="3"/>
  <c r="AY69" i="3"/>
  <c r="AY84" i="3"/>
  <c r="AY52" i="3"/>
  <c r="AY36" i="3"/>
  <c r="AY25" i="3"/>
  <c r="AY182" i="3"/>
  <c r="AY178" i="3"/>
  <c r="AY146" i="3"/>
  <c r="AY173" i="3"/>
  <c r="AY141" i="3"/>
  <c r="AY134" i="3"/>
  <c r="AY117" i="3"/>
  <c r="AY302" i="3"/>
  <c r="AY271" i="3"/>
  <c r="AY239" i="3"/>
  <c r="AY254" i="3"/>
  <c r="AY238" i="3"/>
  <c r="AY227" i="3"/>
  <c r="AY211" i="3"/>
  <c r="AY389" i="3"/>
  <c r="AY373" i="3"/>
  <c r="AY368" i="3"/>
  <c r="AY507" i="3"/>
  <c r="BB6" i="3"/>
  <c r="AY93" i="3"/>
  <c r="AY57" i="3"/>
  <c r="AY40" i="3"/>
  <c r="AY186" i="3"/>
  <c r="AY181" i="3"/>
  <c r="AY161" i="3"/>
  <c r="AY121" i="3"/>
  <c r="AY275" i="3"/>
  <c r="AY243" i="3"/>
  <c r="AY226" i="3"/>
  <c r="AY393" i="3"/>
  <c r="AY356" i="3"/>
  <c r="AY341" i="3"/>
  <c r="AY309" i="3"/>
  <c r="AY340" i="3"/>
  <c r="AY308" i="3"/>
  <c r="AY483" i="3"/>
  <c r="AY480" i="3"/>
  <c r="AY464" i="3"/>
  <c r="AY454" i="3"/>
  <c r="AY422" i="3"/>
  <c r="AY435" i="3"/>
  <c r="AY403" i="3"/>
  <c r="AY525" i="3"/>
  <c r="AY580" i="3"/>
  <c r="AY572" i="3"/>
  <c r="BN6" i="3"/>
  <c r="AY527" i="3"/>
  <c r="AY518" i="3"/>
  <c r="AY559" i="3"/>
  <c r="AY508" i="3"/>
  <c r="AY532" i="3"/>
  <c r="AY496" i="3"/>
  <c r="AY523" i="3"/>
  <c r="AY112" i="3"/>
  <c r="AY49" i="3"/>
  <c r="AY64" i="3"/>
  <c r="AY21" i="3"/>
  <c r="AY205" i="3"/>
  <c r="AY142" i="3"/>
  <c r="AY153" i="3"/>
  <c r="AY113" i="3"/>
  <c r="AY298" i="3"/>
  <c r="AY267" i="3"/>
  <c r="AY250" i="3"/>
  <c r="AY396" i="3"/>
  <c r="AY361" i="3"/>
  <c r="AY337" i="3"/>
  <c r="AY321" i="3"/>
  <c r="AY336" i="3"/>
  <c r="AY320" i="3"/>
  <c r="AY304" i="3"/>
  <c r="AY479" i="3"/>
  <c r="AY476" i="3"/>
  <c r="AY445" i="3"/>
  <c r="AY434" i="3"/>
  <c r="AY402" i="3"/>
  <c r="AY431" i="3"/>
  <c r="AY399" i="3"/>
  <c r="AY505" i="3"/>
  <c r="AY538" i="3"/>
  <c r="AY564" i="3"/>
  <c r="AY575" i="3"/>
  <c r="AY515" i="3"/>
  <c r="AY551" i="3"/>
  <c r="AY545" i="3"/>
  <c r="BP6" i="3"/>
  <c r="AY563" i="3"/>
  <c r="AY110" i="3"/>
  <c r="AY79" i="3"/>
  <c r="AY62" i="3"/>
  <c r="AY30" i="3"/>
  <c r="AY203" i="3"/>
  <c r="AY140" i="3"/>
  <c r="AY120" i="3"/>
  <c r="AY296" i="3"/>
  <c r="AY265" i="3"/>
  <c r="AY248" i="3"/>
  <c r="AY216" i="3"/>
  <c r="AY383" i="3"/>
  <c r="AY347" i="3"/>
  <c r="AY330" i="3"/>
  <c r="AY485" i="3"/>
  <c r="AY451" i="3"/>
  <c r="AY408" i="3"/>
  <c r="AY500" i="3"/>
  <c r="AY547" i="3"/>
  <c r="AY568" i="3"/>
  <c r="AY107" i="3"/>
  <c r="AY71" i="3"/>
  <c r="AY39" i="3"/>
  <c r="AY22" i="3"/>
  <c r="AY195" i="3"/>
  <c r="AY175" i="3"/>
  <c r="AY143" i="3"/>
  <c r="AY293" i="3"/>
  <c r="AY257" i="3"/>
  <c r="AY272" i="3"/>
  <c r="AY208" i="3"/>
  <c r="AY375" i="3"/>
  <c r="AY339" i="3"/>
  <c r="AY322" i="3"/>
  <c r="AY477" i="3"/>
  <c r="AY443" i="3"/>
  <c r="AY400" i="3"/>
  <c r="AY521" i="3"/>
  <c r="AY566" i="3"/>
  <c r="AY583" i="3"/>
  <c r="AY567" i="3"/>
  <c r="AY526" i="3"/>
  <c r="AY404" i="3"/>
  <c r="AY540" i="3"/>
  <c r="AY105" i="3"/>
  <c r="AY85" i="3"/>
  <c r="AY53" i="3"/>
  <c r="AY68" i="3"/>
  <c r="AY20" i="3"/>
  <c r="AY198" i="3"/>
  <c r="AY193" i="3"/>
  <c r="AY162" i="3"/>
  <c r="AY157" i="3"/>
  <c r="AY126" i="3"/>
  <c r="AY291" i="3"/>
  <c r="AY286" i="3"/>
  <c r="AY255" i="3"/>
  <c r="AY270" i="3"/>
  <c r="AY222" i="3"/>
  <c r="AY384" i="3"/>
  <c r="AY365" i="3"/>
  <c r="BS6" i="3"/>
  <c r="BI6" i="3"/>
  <c r="AY88" i="3"/>
  <c r="AY72" i="3"/>
  <c r="AY29" i="3"/>
  <c r="AY150" i="3"/>
  <c r="AY130" i="3"/>
  <c r="AY279" i="3"/>
  <c r="AY258" i="3"/>
  <c r="AY215" i="3"/>
  <c r="AY370" i="3"/>
  <c r="AY325" i="3"/>
  <c r="AY324" i="3"/>
  <c r="AY467" i="3"/>
  <c r="AY449" i="3"/>
  <c r="AY438" i="3"/>
  <c r="AY406" i="3"/>
  <c r="AY419" i="3"/>
  <c r="AY503" i="3"/>
  <c r="AY516" i="3"/>
  <c r="AY536" i="3"/>
  <c r="AY520" i="3"/>
  <c r="AY552" i="3"/>
  <c r="AY543" i="3"/>
  <c r="AY556" i="3"/>
  <c r="AY577" i="3"/>
  <c r="AY81" i="3"/>
  <c r="AY32" i="3"/>
  <c r="AY174" i="3"/>
  <c r="AY122" i="3"/>
  <c r="AY235" i="3"/>
  <c r="AY218" i="3"/>
  <c r="AY385" i="3"/>
  <c r="AY352" i="3"/>
  <c r="AY305" i="3"/>
  <c r="AY492" i="3"/>
  <c r="AY461" i="3"/>
  <c r="AY450" i="3"/>
  <c r="AY418" i="3"/>
  <c r="AY415" i="3"/>
  <c r="AY17" i="3"/>
  <c r="AY522" i="3"/>
  <c r="AY537" i="3"/>
  <c r="AY530" i="3"/>
  <c r="AY548" i="3"/>
  <c r="AY493" i="3"/>
  <c r="AY47" i="3"/>
  <c r="AY19" i="3"/>
  <c r="AY172" i="3"/>
  <c r="AY151" i="3"/>
  <c r="AY301" i="3"/>
  <c r="AY233" i="3"/>
  <c r="AY394" i="3"/>
  <c r="AY359" i="3"/>
  <c r="AY315" i="3"/>
  <c r="AY482" i="3"/>
  <c r="AY440" i="3"/>
  <c r="AY421" i="3"/>
  <c r="AY13" i="3"/>
  <c r="AY528" i="3"/>
  <c r="AY576" i="3"/>
  <c r="AY102" i="3"/>
  <c r="AY54" i="3"/>
  <c r="AY200" i="3"/>
  <c r="AY164" i="3"/>
  <c r="AY136" i="3"/>
  <c r="AY288" i="3"/>
  <c r="AY240" i="3"/>
  <c r="AY386" i="3"/>
  <c r="AY351" i="3"/>
  <c r="AY307" i="3"/>
  <c r="AY474" i="3"/>
  <c r="AY432" i="3"/>
  <c r="AY413" i="3"/>
  <c r="AY15" i="3"/>
  <c r="BT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30" i="43"/>
  <c r="E30" i="43" s="1"/>
  <c r="C27" i="43" s="1"/>
  <c r="G68" i="39"/>
  <c r="F70" i="39"/>
  <c r="C18" i="71"/>
  <c r="D19" i="71"/>
  <c r="C20" i="11"/>
  <c r="C28" i="11" s="1"/>
  <c r="C27" i="11" s="1"/>
  <c r="D17" i="12"/>
  <c r="C17" i="12" s="1"/>
  <c r="C14" i="12"/>
  <c r="C16" i="12" s="1"/>
  <c r="D10" i="11"/>
  <c r="C10" i="11" s="1"/>
  <c r="D20" i="12"/>
  <c r="C20" i="12" s="1"/>
  <c r="D10" i="68"/>
  <c r="D10" i="69"/>
  <c r="S19" i="6"/>
  <c r="S27" i="6" s="1"/>
  <c r="I27" i="6"/>
  <c r="B12" i="71"/>
  <c r="B11" i="71" s="1"/>
  <c r="B10" i="71" s="1"/>
  <c r="B9" i="71" s="1"/>
  <c r="S13"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C8" i="74"/>
  <c r="C7" i="74"/>
  <c r="C33" i="11"/>
  <c r="C39" i="11" s="1"/>
  <c r="C46" i="11" s="1"/>
  <c r="C45" i="1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42" i="11" l="1"/>
  <c r="C43" i="11"/>
  <c r="H27" i="6"/>
  <c r="C25" i="11"/>
  <c r="C22" i="11" s="1"/>
  <c r="C31" i="11" s="1"/>
  <c r="D16" i="6"/>
  <c r="E2" i="76"/>
  <c r="H68" i="39"/>
  <c r="G70" i="39"/>
  <c r="R26" i="6"/>
  <c r="D8" i="74"/>
  <c r="D7" i="74"/>
  <c r="R20" i="6"/>
  <c r="R21" i="6"/>
  <c r="C10" i="69"/>
  <c r="C8" i="69" s="1"/>
  <c r="C5" i="69" s="1"/>
  <c r="D19" i="69"/>
  <c r="R23" i="6"/>
  <c r="A7" i="51"/>
  <c r="B7" i="72" s="1"/>
  <c r="C4" i="52"/>
  <c r="B45" i="72" s="1"/>
  <c r="A10" i="51"/>
  <c r="B9" i="72" s="1"/>
  <c r="D27" i="6"/>
  <c r="D31" i="6" s="1"/>
  <c r="R19" i="6"/>
  <c r="R24" i="6"/>
  <c r="R22" i="6"/>
  <c r="R25" i="6"/>
  <c r="B8" i="71"/>
  <c r="B7" i="71" s="1"/>
  <c r="B6" i="71" s="1"/>
  <c r="B5" i="71" s="1"/>
  <c r="S9" i="71"/>
  <c r="C10" i="68"/>
  <c r="B29" i="1" s="1"/>
  <c r="C8" i="68" s="1"/>
  <c r="D19" i="68"/>
  <c r="D18" i="71"/>
  <c r="C1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B3" i="76" l="1"/>
  <c r="C41" i="11"/>
  <c r="C49" i="11" s="1"/>
  <c r="C51" i="11" s="1"/>
  <c r="C52" i="11" s="1"/>
  <c r="B2" i="11" s="1"/>
  <c r="B3" i="11" s="1"/>
  <c r="C18" i="12"/>
  <c r="C21" i="12" s="1"/>
  <c r="R27" i="6"/>
  <c r="R6" i="1"/>
  <c r="I68" i="39"/>
  <c r="H70" i="39"/>
  <c r="C16" i="71"/>
  <c r="T17" i="71"/>
  <c r="D17" i="71"/>
  <c r="U17" i="71" s="1"/>
  <c r="C19" i="68"/>
  <c r="D37" i="68"/>
  <c r="C37" i="68" s="1"/>
  <c r="C33" i="68" s="1"/>
  <c r="I6" i="6"/>
  <c r="I5" i="6"/>
  <c r="C19" i="69"/>
  <c r="C24" i="69" s="1"/>
  <c r="D37" i="69"/>
  <c r="C37" i="69" s="1"/>
  <c r="C33" i="69" s="1"/>
  <c r="C22" i="12"/>
  <c r="C30" i="12" s="1"/>
  <c r="C28" i="12" s="1"/>
  <c r="C23" i="6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F63" i="15" l="1"/>
  <c r="C62" i="15" s="1"/>
  <c r="C59" i="15" s="1"/>
  <c r="C58" i="15" s="1"/>
  <c r="C67" i="15" s="1"/>
  <c r="C68" i="15" s="1"/>
  <c r="C71" i="15" s="1"/>
  <c r="C34" i="15"/>
  <c r="C31" i="15" s="1"/>
  <c r="J20" i="15"/>
  <c r="J17" i="15" s="1"/>
  <c r="J16" i="15" s="1"/>
  <c r="J25" i="15" s="1"/>
  <c r="C30" i="15"/>
  <c r="C39" i="15" s="1"/>
  <c r="C80" i="15" s="1"/>
  <c r="C79" i="15" s="1"/>
  <c r="R16" i="1"/>
  <c r="C20" i="69"/>
  <c r="C25" i="69" s="1"/>
  <c r="C22" i="69" s="1"/>
  <c r="C27" i="12"/>
  <c r="C25" i="12" s="1"/>
  <c r="C32" i="12" s="1"/>
  <c r="B2" i="12" s="1"/>
  <c r="B3" i="12" s="1"/>
  <c r="I70" i="39"/>
  <c r="J68" i="39"/>
  <c r="C24" i="68"/>
  <c r="C39" i="69"/>
  <c r="C43" i="69" s="1"/>
  <c r="C42" i="69"/>
  <c r="C39" i="68"/>
  <c r="C42" i="68"/>
  <c r="C15" i="71"/>
  <c r="D16" i="71"/>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8" i="69" l="1"/>
  <c r="C27" i="69" s="1"/>
  <c r="C40" i="15"/>
  <c r="Q56" i="15" s="1"/>
  <c r="Q69" i="15"/>
  <c r="Q68" i="15" s="1"/>
  <c r="C41" i="69"/>
  <c r="C31" i="69"/>
  <c r="K68" i="39"/>
  <c r="J70" i="39"/>
  <c r="C14" i="71"/>
  <c r="D15" i="71"/>
  <c r="C46" i="68"/>
  <c r="C45" i="68" s="1"/>
  <c r="C43" i="68"/>
  <c r="C41" i="68" s="1"/>
  <c r="C46" i="69"/>
  <c r="C45" i="69"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Q65" i="15"/>
  <c r="C43" i="67"/>
  <c r="D2" i="67"/>
  <c r="Q47" i="67"/>
  <c r="Q53" i="67" s="1"/>
  <c r="Q56" i="67"/>
  <c r="Q65" i="67"/>
  <c r="C83" i="67"/>
  <c r="C82" i="67" s="1"/>
  <c r="L51" i="15"/>
  <c r="C46" i="15" l="1"/>
  <c r="Q47" i="15"/>
  <c r="Q53" i="15" s="1"/>
  <c r="B2" i="15"/>
  <c r="Q67" i="15"/>
  <c r="C83" i="15"/>
  <c r="C82" i="15" s="1"/>
  <c r="C43" i="15"/>
  <c r="C49" i="69"/>
  <c r="C51" i="69" s="1"/>
  <c r="C52" i="69" s="1"/>
  <c r="B2" i="69" s="1"/>
  <c r="B3" i="69" s="1"/>
  <c r="C49" i="68"/>
  <c r="C51" i="68" s="1"/>
  <c r="K70" i="39"/>
  <c r="L68"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B6" i="70" l="1"/>
  <c r="B2" i="70" s="1"/>
  <c r="B3" i="70" s="1"/>
  <c r="D21" i="9"/>
  <c r="D102" i="9"/>
  <c r="B3" i="15"/>
  <c r="L70" i="39"/>
  <c r="M68" i="39"/>
  <c r="C57" i="69"/>
  <c r="C56" i="69" s="1"/>
  <c r="C12" i="71"/>
  <c r="T13" i="71"/>
  <c r="D13" i="71"/>
  <c r="U13" i="71" s="1"/>
  <c r="R39" i="35"/>
  <c r="E38" i="35"/>
  <c r="M63" i="40"/>
  <c r="L65" i="40"/>
  <c r="D20" i="9"/>
  <c r="D103" i="9" l="1"/>
  <c r="M70" i="39"/>
  <c r="N68" i="39"/>
  <c r="D12" i="71"/>
  <c r="C11" i="71"/>
  <c r="C39" i="35"/>
  <c r="B2" i="35" s="1"/>
  <c r="B3" i="35" s="1"/>
  <c r="C38" i="35"/>
  <c r="N63" i="40"/>
  <c r="M65" i="40"/>
  <c r="E43" i="35"/>
  <c r="F43" i="35" s="1"/>
  <c r="E42" i="35"/>
  <c r="F42" i="35" s="1"/>
  <c r="I43" i="35"/>
  <c r="J43" i="35" s="1"/>
  <c r="N70" i="39" l="1"/>
  <c r="F7" i="39" s="1"/>
  <c r="O68" i="39"/>
  <c r="O70" i="39" s="1"/>
  <c r="H7" i="39"/>
  <c r="J7" i="39"/>
  <c r="D11" i="71"/>
  <c r="C10" i="71"/>
  <c r="O63" i="40"/>
  <c r="O65" i="40" s="1"/>
  <c r="N65" i="40"/>
  <c r="W7" i="39" l="1"/>
  <c r="AC7" i="39"/>
  <c r="V47" i="39" s="1"/>
  <c r="I47" i="39" s="1"/>
  <c r="U7" i="39"/>
  <c r="AB7" i="39"/>
  <c r="T47" i="39" s="1"/>
  <c r="G47" i="39" s="1"/>
  <c r="S7" i="39"/>
  <c r="AA7" i="39"/>
  <c r="R47" i="39" s="1"/>
  <c r="D10" i="71"/>
  <c r="C9" i="71"/>
  <c r="J7" i="40"/>
  <c r="F7" i="40"/>
  <c r="H7" i="40"/>
  <c r="E47" i="39" l="1"/>
  <c r="R48" i="39"/>
  <c r="G52" i="39"/>
  <c r="H52" i="39" s="1"/>
  <c r="G51" i="39"/>
  <c r="H51" i="39" s="1"/>
  <c r="I52" i="39"/>
  <c r="J52" i="39" s="1"/>
  <c r="I51" i="39"/>
  <c r="J51" i="39" s="1"/>
  <c r="C8" i="71"/>
  <c r="T9" i="71"/>
  <c r="D9" i="71"/>
  <c r="U9" i="71" s="1"/>
  <c r="U7" i="40"/>
  <c r="AB7" i="40"/>
  <c r="T42" i="40" s="1"/>
  <c r="G42" i="40" s="1"/>
  <c r="AA7" i="40"/>
  <c r="R42" i="40" s="1"/>
  <c r="S7" i="40"/>
  <c r="AC7" i="40"/>
  <c r="V42" i="40" s="1"/>
  <c r="I42" i="40" s="1"/>
  <c r="W7" i="40"/>
  <c r="C47" i="39" l="1"/>
  <c r="C48" i="39"/>
  <c r="E51" i="39"/>
  <c r="F51" i="39" s="1"/>
  <c r="E52" i="39"/>
  <c r="F52" i="39" s="1"/>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J19" i="9" l="1"/>
  <c r="C6" i="68" l="1"/>
  <c r="C7" i="68" l="1"/>
  <c r="C5" i="68" s="1"/>
  <c r="C23" i="68" l="1"/>
  <c r="C20" i="68"/>
  <c r="C25" i="68" s="1"/>
  <c r="C28" i="68" l="1"/>
  <c r="C27" i="68" s="1"/>
  <c r="C22" i="68"/>
  <c r="C31" i="68" l="1"/>
  <c r="C52" i="68" s="1"/>
  <c r="B2" i="68" l="1"/>
  <c r="C57" i="68"/>
  <c r="C56" i="68" s="1"/>
  <c r="C19" i="9"/>
  <c r="G19" i="9" l="1"/>
  <c r="C102" i="9"/>
  <c r="D22" i="9"/>
  <c r="C21" i="9"/>
  <c r="B3" i="68"/>
  <c r="D35" i="9"/>
  <c r="D34" i="9"/>
  <c r="C20" i="9"/>
  <c r="C103" i="9" l="1"/>
  <c r="G20" i="9"/>
  <c r="J20" i="9"/>
  <c r="C32" i="9"/>
  <c r="G21" i="9"/>
  <c r="J38" i="1" l="1"/>
  <c r="AK22" i="1"/>
  <c r="C35" i="9"/>
  <c r="H118" i="9"/>
  <c r="D14" i="74" l="1"/>
  <c r="H101" i="9"/>
  <c r="H119" i="9"/>
  <c r="H5" i="52" s="1"/>
  <c r="H4" i="52"/>
  <c r="C104" i="9"/>
  <c r="I118" i="9"/>
  <c r="C34" i="9"/>
  <c r="D118" i="9" s="1"/>
  <c r="F118" i="9"/>
  <c r="F4" i="52" l="1"/>
  <c r="B51" i="72" s="1"/>
  <c r="F119" i="9"/>
  <c r="F5" i="52" s="1"/>
  <c r="B53" i="72" s="1"/>
  <c r="G118" i="9"/>
  <c r="G4" i="52" s="1"/>
  <c r="B52" i="72" s="1"/>
  <c r="I4" i="52"/>
  <c r="H102" i="9"/>
  <c r="D7" i="53" s="1"/>
  <c r="B21" i="72" s="1"/>
  <c r="C105" i="9"/>
  <c r="D5" i="53"/>
  <c r="H107" i="9"/>
  <c r="M48" i="9"/>
  <c r="D45" i="9"/>
  <c r="D4" i="52"/>
  <c r="B47" i="72" s="1"/>
  <c r="D119" i="9"/>
  <c r="D5" i="52" s="1"/>
  <c r="B49" i="72" s="1"/>
  <c r="F14" i="74"/>
  <c r="E14" i="74"/>
  <c r="B5" i="74"/>
  <c r="E118" i="9" l="1"/>
  <c r="E4" i="52" s="1"/>
  <c r="B48" i="72" s="1"/>
  <c r="C5" i="74"/>
  <c r="D5" i="74"/>
  <c r="B20" i="72"/>
  <c r="D6" i="53"/>
  <c r="B22" i="72" s="1"/>
  <c r="D53" i="9"/>
  <c r="C78" i="9"/>
  <c r="C73" i="9" s="1"/>
  <c r="D52" i="9"/>
  <c r="D55" i="9"/>
  <c r="M53" i="9" s="1"/>
  <c r="C93" i="9"/>
  <c r="C86" i="9" s="1"/>
  <c r="C85" i="9"/>
  <c r="C72" i="9"/>
  <c r="C64" i="9"/>
  <c r="C63" i="9" s="1"/>
  <c r="C67" i="9" s="1"/>
  <c r="D13" i="53"/>
  <c r="D122" i="9"/>
  <c r="H108" i="9"/>
  <c r="D15" i="53" s="1"/>
  <c r="B31" i="72" s="1"/>
  <c r="M49" i="9"/>
  <c r="C95" i="9" l="1"/>
  <c r="L66" i="9"/>
  <c r="M66" i="9" s="1"/>
  <c r="L65" i="9"/>
  <c r="M65" i="9" s="1"/>
  <c r="L64" i="9"/>
  <c r="M64" i="9" s="1"/>
  <c r="L63" i="9"/>
  <c r="M63" i="9" s="1"/>
  <c r="L68" i="9"/>
  <c r="M68" i="9" s="1"/>
  <c r="L67" i="9"/>
  <c r="M67" i="9" s="1"/>
  <c r="D8" i="52"/>
  <c r="D123" i="9"/>
  <c r="D9" i="52" s="1"/>
  <c r="G14" i="74"/>
  <c r="B6" i="74" s="1"/>
  <c r="C68" i="9"/>
  <c r="D54" i="9" s="1"/>
  <c r="D59" i="9"/>
  <c r="M55" i="9" s="1"/>
  <c r="C96" i="9"/>
  <c r="E96" i="9" s="1"/>
  <c r="E97" i="9" s="1"/>
  <c r="B30" i="72"/>
  <c r="D14" i="53"/>
  <c r="B32" i="72" s="1"/>
  <c r="C79" i="9"/>
  <c r="C97" i="9" l="1"/>
  <c r="D58" i="9" s="1"/>
  <c r="D56" i="9" s="1"/>
  <c r="M54" i="9" s="1"/>
  <c r="N57" i="9" s="1"/>
  <c r="D6" i="74"/>
  <c r="C6" i="74"/>
  <c r="M69" i="9"/>
  <c r="N69"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<sst xmlns="http://schemas.openxmlformats.org/spreadsheetml/2006/main" count="7409" uniqueCount="3173">
  <si>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</si>
  <si>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</si>
  <si>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</si>
  <si>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</si>
  <si>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</si>
  <si>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</si>
  <si>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</si>
  <si>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</si>
  <si>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</si>
  <si>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</si>
  <si>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</si>
  <si>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</si>
  <si>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</si>
  <si>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</si>
  <si>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</si>
  <si>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</si>
  <si>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</si>
  <si>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</si>
  <si>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</si>
  <si>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</si>
  <si>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</si>
  <si>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</si>
  <si>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</si>
  <si>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</si>
  <si>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</si>
  <si>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</si>
  <si>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</si>
  <si>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</si>
  <si>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</si>
  <si>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</si>
  <si>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</si>
  <si>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</si>
  <si>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</si>
  <si>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</si>
  <si>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</si>
  <si>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</si>
  <si>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</si>
  <si>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</si>
  <si>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</si>
  <si>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</si>
  <si>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</si>
  <si>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</si>
  <si>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</si>
  <si>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</si>
  <si>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</si>
  <si>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</si>
  <si>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</si>
  <si>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</si>
  <si>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</si>
  <si>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</si>
  <si>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</si>
  <si>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</si>
  <si>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</si>
  <si>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</si>
  <si>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</si>
  <si>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</si>
  <si>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</si>
  <si>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</si>
  <si>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</si>
  <si>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</si>
  <si>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</si>
  <si>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</si>
  <si>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</si>
  <si>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</si>
  <si>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</si>
  <si>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</si>
  <si>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</si>
  <si>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</si>
  <si>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</si>
  <si>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</si>
  <si>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</si>
  <si>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</si>
  <si>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</si>
  <si>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</si>
  <si>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</si>
  <si>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</si>
  <si>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</si>
  <si>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</si>
  <si>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</si>
  <si>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</si>
  <si>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</si>
  <si>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</si>
  <si>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</si>
  <si>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</si>
  <si>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</si>
  <si>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</si>
  <si>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</si>
  <si>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</si>
  <si>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</si>
  <si>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</si>
  <si>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</si>
  <si>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</si>
  <si>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</si>
  <si>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</si>
  <si>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</si>
  <si>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</si>
  <si>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</si>
  <si>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</si>
  <si>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</si>
  <si>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</si>
  <si>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</si>
  <si>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</si>
  <si>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</si>
  <si>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</si>
  <si>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</si>
  <si>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</si>
  <si>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</si>
  <si>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</si>
  <si>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</si>
  <si>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</si>
  <si>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</si>
  <si>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</si>
  <si>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</si>
  <si>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</si>
  <si>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</si>
  <si>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</si>
  <si>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</si>
  <si>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</si>
  <si>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</si>
  <si>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</si>
  <si>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</si>
  <si>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</si>
  <si>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</si>
  <si>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</si>
  <si>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</si>
  <si>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</si>
  <si>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</si>
  <si>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</si>
  <si>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</si>
  <si>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</si>
  <si>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</si>
  <si>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</si>
  <si>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</si>
  <si>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</si>
  <si>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</si>
  <si>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</si>
  <si>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</si>
  <si>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</si>
  <si>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</si>
  <si>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</si>
  <si>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</si>
  <si>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</si>
  <si>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</si>
  <si>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</si>
  <si>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</si>
  <si>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</si>
  <si>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</si>
  <si>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</si>
  <si>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</si>
  <si>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</si>
  <si>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</si>
  <si>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</si>
  <si>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</si>
  <si>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</si>
  <si>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</si>
  <si>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</si>
  <si>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</si>
  <si>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</si>
  <si>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</si>
  <si>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</si>
  <si>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</si>
  <si>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</si>
  <si>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</si>
  <si>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</si>
  <si>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</si>
  <si>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</si>
  <si>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</si>
  <si>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</si>
  <si>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</si>
  <si>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</si>
  <si>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</si>
  <si>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</si>
  <si>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</si>
  <si>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</si>
  <si>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</si>
  <si>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</si>
  <si>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</si>
  <si>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</si>
  <si>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</si>
  <si>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</si>
  <si>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</si>
  <si>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</si>
  <si>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</si>
  <si>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</si>
  <si>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</si>
  <si>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</si>
  <si>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</si>
  <si>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</si>
  <si>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</si>
  <si>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</si>
  <si>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</si>
  <si>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</si>
  <si>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</si>
  <si>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</si>
  <si>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</si>
  <si>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</si>
  <si>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</si>
  <si>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</si>
  <si>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</si>
  <si>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</si>
  <si>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</si>
  <si>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</si>
  <si>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</si>
  <si>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</si>
  <si>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</si>
  <si>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</si>
  <si>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</si>
  <si>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</si>
  <si>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</si>
  <si>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</si>
  <si>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</si>
  <si>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</si>
  <si>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</si>
  <si>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</si>
  <si>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</si>
  <si>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</si>
  <si>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</si>
  <si>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</si>
  <si>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</si>
  <si>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</si>
  <si>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</si>
  <si>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</si>
  <si>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</si>
  <si>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</si>
  <si>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</si>
  <si>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</si>
  <si>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</si>
  <si>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</si>
  <si>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</si>
  <si>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</si>
  <si>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</si>
  <si>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</si>
  <si>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</si>
  <si>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</si>
  <si>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</si>
  <si>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</si>
  <si>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</si>
  <si>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</si>
  <si>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</si>
  <si>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</si>
  <si>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</si>
  <si>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</si>
  <si>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</si>
  <si>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</si>
  <si>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</si>
  <si>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</si>
  <si>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</si>
  <si>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</si>
  <si>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</si>
  <si>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</si>
  <si>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</si>
  <si>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</si>
  <si>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</si>
  <si>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</si>
  <si>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</si>
  <si>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</si>
  <si>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</si>
  <si>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</si>
  <si>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</si>
  <si>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</si>
  <si>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</si>
  <si>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</si>
  <si>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</si>
  <si>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</si>
  <si>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</si>
  <si>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</si>
  <si>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</si>
  <si>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</si>
  <si>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</si>
  <si>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</si>
  <si>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</si>
  <si>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</si>
  <si>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</si>
  <si>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</si>
  <si>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</si>
  <si>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</si>
  <si>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</si>
  <si>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</si>
  <si>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</si>
  <si>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</si>
  <si>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</si>
  <si>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</si>
  <si>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</si>
  <si>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</si>
  <si>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</si>
  <si>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</si>
  <si>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</si>
  <si>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</si>
  <si>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</si>
  <si>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</si>
  <si>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</si>
  <si>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</si>
  <si>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</si>
  <si>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</si>
  <si>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</si>
  <si>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</si>
  <si>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</si>
  <si>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</si>
  <si>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</si>
  <si>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</si>
  <si>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</si>
  <si>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</si>
  <si>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</si>
  <si>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</si>
  <si>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</si>
  <si>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</si>
  <si>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</si>
  <si>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</si>
  <si>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</si>
  <si>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</si>
  <si>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</si>
  <si>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</si>
  <si>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</si>
  <si>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</si>
  <si>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</si>
  <si>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</si>
  <si>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</si>
  <si>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</si>
  <si>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</si>
  <si>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</si>
  <si>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</si>
  <si>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</si>
  <si>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</si>
  <si>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</si>
  <si>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</si>
  <si>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</si>
  <si>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</si>
  <si>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</si>
  <si>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</si>
  <si>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</si>
  <si>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</si>
  <si>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</si>
  <si>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</si>
  <si>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</si>
  <si>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</si>
  <si>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</si>
  <si>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</si>
  <si>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</si>
  <si>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</si>
  <si>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</si>
  <si>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</si>
  <si>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</si>
  <si>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</si>
  <si>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</si>
  <si>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</si>
  <si>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</si>
  <si>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</si>
  <si>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</si>
  <si>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</si>
  <si>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</si>
  <si>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</si>
  <si>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</si>
  <si>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</si>
  <si>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</si>
  <si>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</si>
  <si>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</si>
  <si>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</si>
  <si>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</si>
  <si>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</si>
  <si>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</si>
  <si>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</si>
  <si>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</si>
  <si>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</si>
  <si>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</si>
  <si>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</si>
  <si>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</si>
  <si>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</si>
  <si>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</si>
  <si>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</si>
  <si>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</si>
  <si>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</si>
  <si>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</si>
  <si>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</si>
  <si>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</si>
  <si>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</si>
  <si>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</si>
  <si>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</si>
  <si>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</si>
  <si>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</si>
  <si>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</si>
  <si>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</si>
  <si>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</si>
  <si>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</si>
  <si>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</si>
  <si>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</si>
  <si>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</si>
  <si>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</si>
  <si>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</si>
  <si>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</si>
  <si>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</si>
  <si>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</si>
  <si>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</si>
  <si>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</si>
  <si>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</si>
  <si>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</si>
  <si>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</si>
  <si>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</si>
  <si>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</si>
  <si>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</si>
  <si>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</si>
  <si>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</si>
  <si>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</si>
  <si>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</si>
  <si>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</si>
  <si>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</si>
  <si>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</si>
  <si>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</si>
  <si>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</si>
  <si>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</si>
  <si>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</si>
  <si>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</si>
  <si>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</si>
  <si>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</si>
  <si>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</si>
  <si>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</si>
  <si>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</si>
  <si>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</si>
  <si>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</si>
  <si>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</si>
  <si>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</si>
  <si>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</si>
  <si>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</si>
  <si>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</si>
  <si>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</si>
  <si>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</si>
  <si>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</si>
  <si>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</si>
  <si>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</si>
  <si>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</si>
  <si>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</si>
  <si>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</si>
  <si>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</si>
  <si>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</si>
  <si>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</si>
  <si>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</si>
  <si>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</si>
  <si>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</si>
  <si>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</si>
  <si>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</si>
  <si>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</si>
  <si>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</si>
  <si>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</si>
  <si>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</si>
  <si>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</si>
  <si>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</si>
  <si>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</si>
  <si>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</si>
  <si>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</si>
  <si>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</si>
  <si>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</si>
  <si>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</si>
  <si>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</si>
  <si>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</si>
  <si>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</si>
  <si>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</si>
  <si>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</si>
  <si>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</si>
  <si>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</si>
  <si>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</si>
  <si>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</si>
  <si>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</si>
  <si>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</si>
  <si>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</si>
  <si>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</si>
  <si>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</si>
  <si>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</si>
  <si>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</si>
  <si>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</si>
  <si>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</si>
  <si>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</si>
  <si>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</si>
  <si>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</si>
  <si>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</si>
  <si>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</si>
  <si>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</si>
  <si>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</si>
  <si>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</si>
  <si>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</si>
  <si>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</si>
  <si>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</si>
  <si>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</si>
  <si>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</si>
  <si>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</si>
  <si>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</si>
  <si>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</si>
  <si>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</si>
  <si>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</si>
  <si>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</si>
  <si>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</si>
  <si>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</si>
  <si>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</si>
  <si>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</si>
  <si>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</si>
  <si>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</si>
  <si>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</si>
  <si>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</si>
  <si>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</si>
  <si>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</si>
  <si>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</si>
  <si>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</si>
  <si>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</si>
  <si>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</si>
  <si>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</si>
  <si>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</si>
  <si>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</si>
  <si>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</si>
  <si>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</si>
  <si>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</si>
  <si>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</si>
  <si>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</si>
  <si>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</si>
  <si>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</si>
  <si>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</si>
  <si>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</si>
  <si>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</si>
  <si>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</si>
  <si>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</si>
  <si>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</si>
  <si>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</si>
  <si>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</si>
  <si>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</si>
  <si>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</si>
  <si>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</si>
  <si>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</si>
  <si>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</si>
  <si>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</si>
  <si>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</si>
  <si>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</si>
  <si>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</si>
  <si>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</si>
  <si>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</si>
  <si>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</si>
  <si>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</si>
  <si>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</si>
  <si>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</si>
  <si>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</si>
  <si>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</si>
  <si>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</si>
  <si>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</si>
  <si>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</si>
  <si>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</si>
  <si>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</si>
  <si>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</si>
  <si>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</si>
  <si>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</si>
  <si>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</si>
  <si>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</si>
  <si>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</si>
  <si>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</si>
  <si>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</si>
  <si>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</si>
  <si>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</si>
  <si>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</si>
  <si>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</si>
  <si>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</si>
  <si>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</si>
  <si>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</si>
  <si>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</si>
  <si>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</si>
  <si>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</si>
  <si>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</si>
  <si>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</si>
  <si>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</si>
  <si>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</si>
  <si>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</si>
  <si>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</si>
  <si>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</si>
  <si>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</si>
  <si>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</si>
  <si>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</si>
  <si>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</si>
  <si>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</si>
  <si>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</si>
  <si>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</si>
  <si>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</si>
  <si>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</si>
  <si>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</si>
  <si>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</si>
  <si>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</si>
  <si>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</si>
  <si>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</si>
  <si>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</si>
  <si>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</si>
  <si>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</si>
  <si>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</si>
  <si>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</si>
  <si>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</si>
  <si>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</si>
  <si>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</si>
  <si>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</si>
  <si>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</si>
  <si>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</si>
  <si>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</si>
  <si>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</si>
  <si>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</si>
  <si>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</si>
  <si>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</si>
  <si>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</si>
  <si>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</si>
  <si>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</si>
  <si>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</si>
  <si>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</si>
  <si>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</si>
  <si>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</si>
  <si>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</si>
  <si>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</si>
  <si>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</si>
  <si>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</si>
  <si>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</si>
  <si>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</si>
  <si>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</si>
  <si>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</si>
  <si>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</si>
  <si>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</si>
  <si>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</si>
  <si>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</si>
  <si>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</si>
  <si>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</si>
  <si>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</si>
  <si>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</si>
  <si>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</si>
  <si>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</si>
  <si>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</si>
  <si>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</si>
  <si>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</si>
  <si>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</si>
  <si>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</si>
  <si>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</si>
  <si>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</si>
  <si>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</si>
  <si>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</si>
  <si>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</si>
  <si>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</si>
  <si>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</si>
  <si>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</si>
  <si>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</si>
  <si>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</si>
  <si>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</si>
  <si>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</si>
  <si>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</si>
  <si>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</si>
  <si>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</si>
  <si>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</si>
  <si>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</si>
  <si>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</si>
  <si>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</si>
  <si>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</si>
  <si>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</si>
  <si>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</si>
  <si>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</si>
  <si>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</si>
  <si>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</si>
  <si>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</si>
  <si>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</si>
  <si>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</si>
  <si>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</si>
  <si>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</si>
  <si>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</si>
  <si>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</si>
  <si>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</si>
  <si>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</si>
  <si>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</si>
  <si>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</si>
  <si>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</si>
  <si>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</si>
  <si>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</si>
  <si>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</si>
  <si>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</si>
  <si>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</si>
  <si>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</si>
  <si>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</si>
  <si>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</si>
  <si>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</si>
  <si>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</si>
  <si>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</si>
  <si>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</si>
  <si>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</si>
  <si>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</si>
  <si>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</si>
  <si>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</si>
  <si>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</si>
  <si>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</si>
  <si>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</si>
  <si>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</si>
  <si>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</si>
  <si>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</si>
  <si>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</si>
  <si>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</si>
  <si>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</si>
  <si>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</si>
  <si>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</si>
  <si>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</si>
  <si>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</si>
  <si>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</si>
  <si>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</si>
  <si>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</si>
  <si>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</si>
  <si>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</si>
  <si>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</si>
  <si>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</si>
  <si>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</si>
  <si>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</si>
  <si>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</si>
  <si>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</si>
  <si>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</si>
  <si>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</si>
  <si>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</si>
  <si>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</si>
  <si>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</si>
  <si>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</si>
  <si>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</si>
  <si>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</si>
  <si>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</si>
  <si>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</si>
  <si>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</si>
  <si>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</si>
  <si>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</si>
  <si>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</si>
  <si>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</si>
  <si>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</si>
  <si>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</si>
  <si>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</si>
  <si>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</si>
  <si>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</si>
  <si>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</si>
  <si>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</si>
  <si>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</si>
  <si>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</si>
  <si>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</si>
  <si>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</si>
  <si>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</si>
  <si>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</si>
  <si>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</si>
  <si>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</si>
  <si>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</si>
  <si>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</si>
  <si>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</si>
  <si>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</si>
  <si>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</si>
  <si>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</si>
  <si>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</si>
  <si>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</si>
  <si>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</si>
  <si>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</si>
  <si>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</si>
  <si>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</si>
  <si>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</si>
  <si>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</si>
  <si>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</si>
  <si>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</si>
  <si>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</si>
  <si>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</si>
  <si>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</si>
  <si>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</si>
  <si>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</si>
  <si>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</si>
  <si>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</si>
  <si>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</si>
  <si>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</si>
  <si>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</si>
  <si>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</si>
  <si>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</si>
  <si>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</si>
  <si>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</si>
  <si>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</si>
  <si>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</si>
  <si>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</si>
  <si>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</si>
  <si>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</si>
  <si>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</si>
  <si>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</si>
  <si>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</si>
  <si>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</si>
  <si>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</si>
  <si>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</si>
  <si>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</si>
  <si>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</si>
  <si>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</si>
  <si>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</si>
  <si>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</si>
  <si>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</si>
  <si>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</si>
  <si>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</si>
  <si>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</si>
  <si>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</si>
  <si>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</si>
  <si>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</si>
  <si>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</si>
  <si>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</si>
  <si>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</si>
  <si>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</si>
  <si>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</si>
  <si>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</si>
  <si>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</si>
  <si>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</si>
  <si>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</si>
  <si>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</si>
  <si>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</si>
  <si>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</si>
  <si>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</si>
  <si>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</si>
  <si>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</si>
  <si>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</si>
  <si>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</si>
  <si>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</si>
  <si>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</si>
  <si>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</si>
  <si>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</si>
  <si>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</si>
  <si>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</si>
  <si>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</si>
  <si>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</si>
  <si>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</si>
  <si>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</si>
  <si>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</si>
  <si>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</si>
  <si>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</si>
  <si>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</si>
  <si>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</si>
  <si>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</si>
  <si>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</si>
  <si>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</si>
  <si>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</si>
  <si>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</si>
  <si>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</si>
  <si>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</si>
  <si>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</si>
  <si>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</si>
  <si>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</si>
  <si>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</si>
  <si>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</si>
  <si>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</si>
  <si>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</si>
  <si>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</si>
  <si>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</si>
  <si>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</si>
  <si>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</si>
  <si>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</si>
  <si>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</si>
  <si>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</si>
  <si>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</si>
  <si>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</si>
  <si>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</si>
  <si>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</si>
  <si>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</si>
  <si>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</si>
  <si>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</si>
  <si>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</si>
  <si>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</si>
  <si>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</si>
  <si>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</si>
  <si>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</si>
  <si>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</si>
  <si>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</si>
  <si>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</si>
  <si>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</si>
  <si>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</si>
  <si>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</si>
  <si>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</si>
  <si>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</si>
  <si>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</si>
  <si>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</si>
  <si>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</si>
  <si>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</si>
  <si>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</si>
  <si>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</si>
  <si>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</si>
  <si>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</si>
  <si>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</si>
  <si>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</si>
  <si>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</si>
  <si>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</si>
  <si>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</si>
  <si>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</si>
  <si>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</si>
  <si>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</si>
  <si>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</si>
  <si>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</si>
  <si>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</si>
  <si>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</si>
  <si>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</si>
  <si>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</si>
  <si>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</si>
  <si>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</si>
  <si>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</si>
  <si>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</si>
  <si>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</si>
  <si>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</si>
  <si>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</si>
  <si>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</si>
  <si>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</si>
  <si>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</si>
  <si>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</si>
  <si>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</si>
  <si>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</si>
  <si>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</si>
  <si>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</si>
  <si>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</si>
  <si>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</si>
  <si>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</si>
  <si>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</si>
  <si>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</si>
  <si>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</si>
  <si>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</si>
  <si>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</si>
  <si>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</si>
  <si>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</si>
  <si>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</si>
  <si>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</si>
  <si>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</si>
  <si>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</si>
  <si>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</si>
  <si>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</si>
  <si>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</si>
  <si>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</si>
  <si>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</si>
  <si>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</si>
  <si>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</si>
  <si>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</si>
  <si>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</si>
  <si>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</si>
  <si>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</si>
  <si>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</si>
  <si>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</si>
  <si>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</si>
  <si>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</si>
  <si>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</si>
  <si>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</si>
  <si>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</si>
  <si>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</si>
  <si>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</si>
  <si>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</si>
  <si>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</si>
  <si>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</si>
  <si>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</si>
  <si>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</si>
  <si>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</si>
  <si>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</si>
  <si>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</si>
  <si>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</si>
  <si>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</si>
  <si>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</si>
  <si>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</si>
  <si>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</si>
  <si>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</si>
  <si>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</si>
  <si>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</si>
  <si>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</si>
  <si>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</si>
  <si>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</si>
  <si>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</si>
  <si>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</si>
  <si>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</si>
  <si>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</si>
  <si>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</si>
  <si>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</si>
  <si>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</si>
  <si>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</si>
  <si>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</si>
  <si>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</si>
  <si>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</si>
  <si>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</si>
  <si>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</si>
  <si>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</si>
  <si>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</si>
  <si>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</si>
  <si>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</si>
  <si>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</si>
  <si>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</si>
  <si>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</si>
  <si>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</si>
  <si>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</si>
  <si>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</si>
  <si>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</si>
  <si>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</si>
  <si>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</si>
  <si>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</si>
  <si>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</si>
  <si>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</si>
  <si>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</si>
  <si>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</si>
  <si>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</si>
  <si>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</si>
  <si>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</si>
  <si>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</si>
  <si>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</si>
  <si>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</si>
  <si>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</si>
  <si>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</si>
  <si>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</si>
  <si>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</si>
  <si>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</si>
  <si>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</si>
  <si>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</si>
  <si>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</si>
  <si>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</si>
  <si>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</si>
  <si>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</si>
  <si>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</si>
  <si>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</si>
  <si>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</si>
  <si>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</si>
  <si>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</si>
  <si>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</si>
  <si>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</si>
  <si>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</si>
  <si>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</si>
  <si>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</si>
  <si>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</si>
  <si>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</si>
  <si>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</si>
  <si>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</si>
  <si>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</si>
  <si>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</si>
  <si>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</si>
  <si>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</si>
  <si>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</si>
  <si>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</si>
  <si>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</si>
  <si>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</si>
  <si>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</si>
  <si>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</si>
  <si>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</si>
  <si>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</si>
  <si>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</si>
  <si>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</si>
  <si>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</si>
  <si>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</si>
  <si>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</si>
  <si>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</si>
  <si>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</si>
  <si>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</si>
  <si>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</si>
  <si>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</si>
  <si>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</si>
  <si>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</si>
  <si>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</si>
  <si>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</si>
  <si>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</si>
  <si>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</si>
  <si>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</si>
  <si>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</si>
  <si>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</si>
  <si>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</si>
  <si>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</si>
  <si>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</si>
  <si>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</si>
  <si>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</si>
  <si>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</si>
  <si>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</si>
  <si>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</si>
  <si>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</si>
  <si>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</si>
  <si>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</si>
  <si>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</si>
  <si>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</si>
  <si>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</si>
  <si>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</si>
  <si>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</si>
  <si>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</si>
  <si>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</si>
  <si>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</si>
  <si>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</si>
  <si>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</si>
  <si>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</si>
  <si>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</si>
  <si>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</si>
  <si>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</si>
  <si>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</si>
  <si>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</si>
  <si>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</si>
  <si>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</si>
  <si>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</si>
  <si>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</si>
  <si>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</si>
  <si>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</si>
  <si>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</si>
  <si>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</si>
  <si>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</si>
  <si>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</si>
  <si>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</si>
  <si>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</si>
  <si>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</si>
  <si>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</si>
  <si>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</si>
  <si>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</si>
  <si>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</si>
  <si>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</si>
  <si>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</si>
  <si>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</si>
  <si>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</si>
  <si>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</si>
  <si>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</si>
  <si>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</si>
  <si>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</si>
  <si>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</si>
  <si>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</si>
  <si>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</si>
  <si>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</si>
  <si>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</si>
  <si>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</si>
  <si>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</si>
  <si>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</si>
  <si>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</si>
  <si>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</si>
  <si>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</si>
  <si>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</si>
  <si>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</si>
  <si>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</si>
  <si>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</si>
  <si>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</si>
  <si>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</si>
  <si>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</si>
  <si>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</si>
  <si>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</si>
  <si>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</si>
  <si>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</si>
  <si>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</si>
  <si>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</si>
  <si>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</si>
  <si>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</si>
  <si>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</si>
  <si>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</si>
  <si>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</si>
  <si>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</si>
  <si>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</si>
  <si>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</si>
  <si>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</si>
  <si>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</si>
  <si>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</si>
  <si>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</si>
  <si>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</si>
  <si>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</si>
  <si>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</si>
  <si>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</si>
  <si>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</si>
  <si>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</si>
  <si>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</si>
  <si>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</si>
  <si>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</si>
  <si>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</si>
  <si>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</si>
  <si>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</si>
  <si>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</si>
  <si>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</si>
  <si>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</si>
  <si>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</si>
  <si>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</si>
  <si>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</si>
  <si>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</si>
  <si>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</si>
  <si>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</si>
  <si>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</si>
  <si>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</si>
  <si>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</si>
  <si>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</si>
  <si>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</si>
  <si>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</si>
  <si>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</si>
  <si>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</si>
  <si>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</si>
  <si>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</si>
  <si>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</si>
  <si>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</si>
  <si>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</si>
  <si>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</si>
  <si>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</si>
  <si>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</si>
  <si>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</si>
  <si>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</si>
  <si>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</si>
  <si>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</si>
  <si>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</si>
  <si>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</si>
  <si>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</si>
  <si>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</si>
  <si>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</si>
  <si>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</si>
  <si>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</si>
  <si>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</si>
  <si>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</si>
  <si>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</si>
  <si>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</si>
  <si>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</si>
  <si>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</si>
  <si>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</si>
  <si>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</si>
  <si>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</si>
  <si>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</si>
  <si>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</si>
  <si>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</si>
  <si>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</si>
  <si>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</si>
  <si>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</si>
  <si>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</si>
  <si>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</si>
  <si>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</si>
  <si>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</si>
  <si>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</si>
  <si>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</si>
  <si>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</si>
  <si>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</si>
  <si>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</si>
  <si>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</si>
  <si>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</si>
  <si>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</si>
  <si>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</si>
  <si>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</si>
  <si>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</si>
  <si>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</si>
  <si>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</si>
  <si>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</si>
  <si>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</si>
  <si>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</si>
  <si>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</si>
  <si>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</si>
  <si>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</si>
  <si>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</si>
  <si>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</si>
  <si>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</si>
  <si>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</si>
  <si>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</si>
  <si>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</si>
  <si>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</si>
  <si>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</si>
  <si>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</si>
  <si>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</si>
  <si>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</si>
  <si>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</si>
  <si>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</si>
  <si>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</si>
  <si>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</si>
  <si>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</si>
  <si>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</si>
  <si>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</si>
  <si>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</si>
  <si>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</si>
  <si>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</si>
  <si>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</si>
  <si>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</si>
  <si>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</si>
  <si>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</si>
  <si>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</si>
  <si>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</si>
  <si>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</si>
  <si>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</si>
  <si>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</si>
  <si>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</si>
  <si>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</si>
  <si>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</si>
  <si>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</si>
  <si>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</si>
  <si>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</si>
  <si>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</si>
  <si>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</si>
  <si>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</si>
  <si>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</si>
  <si>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</si>
  <si>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</si>
  <si>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</si>
  <si>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</si>
  <si>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</si>
  <si>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</si>
  <si>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</si>
  <si>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</si>
  <si>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</si>
  <si>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</si>
  <si>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</si>
  <si>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</si>
  <si>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</si>
  <si>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</si>
  <si>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</si>
  <si>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</si>
  <si>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</si>
  <si>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</si>
  <si>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</si>
  <si>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</si>
  <si>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</si>
  <si>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</si>
  <si>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</si>
  <si>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</si>
  <si>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</si>
  <si>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</si>
  <si>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</si>
  <si>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</si>
  <si>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</si>
  <si>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</si>
  <si>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</si>
  <si>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</si>
  <si>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</si>
  <si>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</si>
  <si>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</si>
  <si>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</si>
  <si>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</si>
  <si>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</si>
  <si>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</si>
  <si>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</si>
  <si>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</si>
  <si>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</si>
  <si>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</si>
  <si>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</si>
  <si>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</si>
  <si>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</si>
  <si>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</si>
  <si>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</si>
  <si>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</si>
  <si>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</si>
  <si>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</si>
  <si>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</si>
  <si>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</si>
  <si>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</si>
  <si>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</si>
  <si>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</si>
  <si>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</si>
  <si>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</si>
  <si>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</si>
  <si>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</si>
  <si>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</si>
  <si>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</si>
  <si>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</si>
  <si>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</si>
  <si>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</si>
  <si>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</si>
  <si>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</si>
  <si>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</si>
  <si>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</si>
  <si>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</si>
  <si>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</si>
  <si>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</si>
  <si>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</si>
  <si>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</si>
  <si>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</si>
  <si>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</si>
  <si>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</si>
  <si>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</si>
  <si>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</si>
  <si>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</si>
  <si>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</si>
  <si>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</si>
  <si>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</si>
  <si>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</si>
  <si>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</si>
  <si>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</si>
  <si>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</si>
  <si>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</si>
  <si>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</si>
  <si>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</si>
  <si>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</si>
  <si>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</si>
  <si>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</si>
  <si>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</si>
  <si>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</si>
  <si>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</si>
  <si>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</si>
  <si>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</si>
  <si>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</si>
  <si>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</si>
  <si>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</si>
  <si>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</si>
  <si>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</si>
  <si>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</si>
  <si>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</si>
  <si>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</si>
  <si>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</si>
  <si>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</si>
  <si>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</si>
  <si>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</si>
  <si>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</si>
  <si>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</si>
  <si>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</si>
  <si>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</si>
  <si>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</si>
  <si>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</si>
  <si>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</si>
  <si>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</si>
  <si>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</si>
  <si>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</si>
  <si>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</si>
  <si>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</si>
  <si>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</si>
  <si>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</si>
  <si>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</si>
  <si>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</si>
  <si>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</si>
  <si>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</si>
  <si>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</si>
  <si>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</si>
  <si>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</si>
  <si>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</si>
  <si>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</si>
  <si>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</si>
  <si>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</si>
  <si>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</si>
  <si>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</si>
  <si>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</si>
  <si>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</si>
  <si>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</si>
  <si>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</si>
  <si>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</si>
  <si>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</si>
  <si>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</si>
  <si>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</si>
  <si>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</si>
  <si>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</si>
  <si>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</si>
  <si>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</si>
  <si>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</si>
  <si>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</si>
  <si>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</si>
  <si>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</si>
  <si>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</si>
  <si>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</si>
  <si>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</si>
  <si>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</si>
  <si>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</si>
  <si>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</si>
  <si>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</si>
  <si>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</si>
  <si>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</si>
  <si>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</si>
  <si>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</si>
  <si>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</si>
  <si>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</si>
  <si>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</si>
  <si>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</si>
  <si>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</si>
  <si>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</si>
  <si>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</si>
  <si>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</si>
  <si>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</si>
  <si>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</si>
  <si>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</si>
  <si>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</si>
  <si>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</si>
  <si>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</si>
  <si>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</si>
  <si>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</si>
  <si>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</si>
  <si>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</si>
  <si>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</si>
  <si>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</si>
  <si>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</si>
  <si>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</si>
  <si>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</si>
  <si>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</si>
  <si>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</si>
  <si>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</si>
  <si>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</si>
  <si>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</si>
  <si>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</si>
  <si>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</si>
  <si>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</si>
  <si>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</si>
  <si>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</si>
  <si>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</si>
  <si>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</si>
  <si>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</si>
  <si>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</si>
  <si>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</si>
  <si>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</si>
  <si>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</si>
  <si>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</si>
  <si>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</si>
  <si>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</si>
  <si>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</si>
  <si>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</si>
  <si>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</si>
  <si>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</si>
  <si>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</si>
  <si>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</si>
  <si>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</si>
  <si>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</si>
  <si>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</si>
  <si>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</si>
  <si>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</si>
  <si>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</si>
  <si>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</si>
  <si>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</si>
  <si>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</si>
  <si>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</si>
  <si>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</si>
  <si>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</si>
  <si>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</si>
  <si>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</si>
  <si>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</si>
  <si>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</si>
  <si>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</si>
  <si>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</si>
  <si>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</si>
  <si>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</si>
  <si>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</si>
  <si>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</si>
  <si>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</si>
  <si>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</si>
  <si>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</si>
  <si>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</si>
  <si>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</si>
  <si>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</si>
  <si>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</si>
  <si>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</si>
  <si>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</si>
  <si>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</si>
  <si>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</si>
  <si>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</si>
  <si>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</si>
  <si>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</si>
  <si>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</si>
  <si>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</si>
  <si>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</si>
  <si>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</si>
  <si>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</si>
  <si>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</si>
  <si>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</si>
  <si>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</si>
  <si>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</si>
  <si>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</si>
  <si>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</si>
  <si>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</si>
  <si>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</si>
  <si>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</si>
  <si>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</si>
  <si>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</si>
  <si>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</si>
  <si>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</si>
  <si>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</si>
  <si>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</si>
  <si>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</si>
  <si>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</si>
  <si>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</si>
  <si>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</si>
  <si>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</si>
  <si>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</si>
  <si>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</si>
  <si>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</si>
  <si>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</si>
  <si>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</si>
  <si>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</si>
  <si>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</si>
  <si>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</si>
  <si>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</si>
  <si>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</si>
  <si>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</si>
  <si>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</si>
  <si>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</si>
  <si>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</si>
  <si>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</si>
  <si>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</si>
  <si>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</si>
  <si>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</si>
  <si>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</si>
  <si>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</si>
  <si>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</si>
  <si>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</si>
  <si>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</si>
  <si>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</si>
  <si>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</si>
  <si>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</si>
  <si>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</si>
  <si>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</si>
  <si>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</si>
  <si>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</si>
  <si>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</si>
  <si>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</si>
  <si>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</si>
  <si>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</si>
  <si>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</si>
  <si>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</si>
  <si>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</si>
  <si>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</si>
  <si>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</si>
  <si>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</si>
  <si>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</si>
  <si>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</si>
  <si>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</si>
  <si>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</si>
  <si>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</si>
  <si>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</si>
  <si>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</si>
  <si>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</si>
  <si>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</si>
  <si>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</si>
  <si>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</si>
  <si>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</si>
  <si>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</si>
  <si>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</si>
  <si>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</si>
  <si>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</si>
  <si>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</si>
  <si>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</si>
  <si>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</si>
  <si>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</si>
  <si>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</si>
  <si>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</si>
  <si>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</si>
  <si>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</si>
  <si>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</si>
  <si>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</si>
  <si>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</si>
  <si>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</si>
  <si>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</si>
  <si>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</si>
  <si>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</si>
  <si>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</si>
  <si>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</si>
  <si>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</si>
  <si>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</si>
  <si>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</si>
  <si>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</si>
  <si>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</si>
  <si>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</si>
  <si>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</si>
  <si>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</si>
  <si>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</si>
  <si>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</si>
  <si>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</si>
  <si>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</si>
  <si>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</si>
  <si>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</si>
  <si>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</si>
  <si>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</si>
  <si>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</si>
  <si>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</si>
  <si>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</si>
  <si>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</si>
  <si>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</si>
  <si>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</si>
  <si>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</si>
  <si>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</si>
  <si>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</si>
  <si>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</si>
  <si>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</si>
  <si>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</si>
  <si>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</si>
  <si>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</si>
  <si>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</si>
  <si>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</si>
  <si>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</si>
  <si>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</si>
  <si>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</si>
  <si>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</si>
  <si>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</si>
  <si>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</si>
  <si>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</si>
  <si>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</si>
  <si>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</si>
  <si>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</si>
  <si>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</si>
  <si>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</si>
  <si>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</si>
  <si>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</si>
  <si>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</si>
  <si>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</si>
  <si>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</si>
  <si>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</si>
  <si>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</si>
  <si>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</si>
  <si>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</si>
  <si>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</si>
  <si>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</si>
  <si>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</si>
  <si>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</si>
  <si>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</si>
  <si>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</si>
  <si>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</si>
  <si>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</si>
  <si>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</si>
  <si>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</si>
  <si>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</si>
  <si>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</si>
  <si>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</si>
  <si>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</si>
  <si>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</si>
  <si>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</si>
  <si>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</si>
  <si>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</si>
  <si>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</si>
  <si>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</si>
  <si>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</si>
  <si>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</si>
  <si>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</si>
  <si>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</si>
  <si>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</si>
  <si>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</si>
  <si>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</si>
  <si>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</si>
  <si>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</si>
  <si>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</si>
  <si>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</si>
  <si>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</si>
  <si>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</si>
  <si>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</si>
  <si>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</si>
  <si>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</si>
  <si>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</si>
  <si>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</si>
  <si>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</si>
  <si>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</si>
  <si>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</si>
  <si>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</si>
  <si>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</si>
  <si>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</si>
  <si>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</si>
  <si>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</si>
  <si>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</si>
  <si>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</si>
  <si>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</si>
  <si>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</si>
  <si>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</si>
  <si>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</si>
  <si>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</si>
  <si>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</si>
  <si>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</si>
  <si>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</si>
  <si>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</si>
  <si>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</si>
  <si>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</si>
  <si>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</si>
  <si>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</si>
  <si>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</si>
  <si>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</si>
  <si>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</si>
  <si>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</si>
  <si>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</si>
  <si>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</si>
  <si>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</si>
  <si>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</si>
  <si>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</si>
  <si>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</si>
  <si>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</si>
  <si>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</si>
  <si>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</si>
  <si>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</si>
  <si>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</si>
  <si>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</si>
  <si>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</si>
  <si>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</si>
  <si>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</si>
  <si>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</si>
  <si>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</si>
  <si>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</si>
  <si>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</si>
  <si>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</si>
  <si>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</si>
  <si>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</si>
  <si>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</si>
  <si>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</si>
  <si>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</si>
  <si>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</si>
  <si>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</si>
  <si>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</si>
  <si>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</si>
  <si>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</si>
  <si>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</si>
  <si>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</si>
  <si>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</si>
  <si>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</si>
  <si>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</si>
  <si>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</si>
  <si>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</si>
  <si>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</si>
  <si>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</si>
  <si>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</si>
  <si>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</si>
  <si>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</si>
  <si>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</si>
  <si>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</si>
  <si>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</si>
  <si>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</si>
  <si>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</si>
  <si>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</si>
  <si>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</si>
  <si>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</si>
  <si>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</si>
  <si>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</si>
  <si>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</si>
  <si>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</si>
  <si>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</si>
  <si>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</si>
  <si>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</si>
  <si>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</si>
  <si>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</si>
  <si>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</si>
  <si>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</si>
  <si>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</si>
  <si>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</si>
  <si>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</si>
  <si>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</si>
  <si>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</si>
  <si>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</si>
  <si>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</si>
  <si>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</si>
  <si>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</si>
  <si>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</si>
  <si>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</si>
  <si>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</si>
  <si>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</si>
  <si>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</si>
  <si>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</si>
  <si>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</si>
  <si>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</si>
  <si>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</si>
  <si>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</si>
  <si>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</si>
  <si>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</si>
  <si>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</si>
  <si>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</si>
  <si>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</si>
  <si>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</si>
  <si>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</si>
  <si>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</si>
  <si>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</si>
  <si>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</si>
  <si>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</si>
  <si>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</si>
  <si>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</si>
  <si>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</si>
  <si>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</si>
  <si>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</si>
  <si>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</si>
  <si>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</si>
  <si>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</si>
  <si>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</si>
  <si>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</si>
  <si>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</si>
  <si>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</si>
  <si>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</si>
  <si>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</si>
  <si>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</si>
  <si>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</si>
  <si>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</si>
  <si>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</si>
  <si>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</si>
  <si>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</si>
  <si>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</si>
  <si>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</si>
  <si>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</si>
  <si>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</si>
  <si>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</si>
  <si>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</si>
  <si>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</si>
  <si>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</si>
  <si>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</si>
  <si>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</si>
  <si>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</si>
  <si>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</si>
  <si>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</si>
  <si>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</si>
  <si>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</si>
  <si>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</si>
  <si>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</si>
  <si>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</si>
  <si>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</si>
  <si>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</si>
  <si>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</si>
  <si>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</si>
  <si>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</si>
  <si>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</si>
  <si>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</si>
  <si>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</si>
  <si>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</si>
  <si>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</si>
  <si>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</si>
  <si>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</si>
  <si>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</si>
  <si>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</si>
  <si>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</si>
  <si>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</si>
  <si>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</si>
  <si>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</si>
  <si>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</si>
  <si>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</si>
  <si>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</si>
  <si>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</si>
  <si>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</si>
  <si>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</si>
  <si>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</si>
  <si>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</si>
  <si>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</si>
  <si>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</si>
  <si>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</si>
  <si>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</si>
  <si>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</si>
  <si>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</si>
  <si>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</si>
  <si>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</si>
  <si>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</si>
  <si>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</si>
  <si>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</si>
  <si>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</si>
  <si>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</si>
  <si>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</si>
  <si>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</si>
  <si>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</si>
  <si>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</si>
  <si>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</si>
  <si>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</si>
  <si>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</si>
  <si>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</si>
  <si>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</si>
  <si>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</si>
  <si>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</si>
  <si>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</si>
  <si>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</si>
  <si>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</si>
  <si>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</si>
  <si>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</si>
  <si>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</si>
  <si>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</si>
  <si>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</si>
  <si>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</si>
  <si>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</si>
  <si>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</si>
  <si>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</si>
  <si>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</si>
  <si>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</si>
  <si>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</si>
  <si>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</si>
  <si>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</si>
  <si>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</si>
  <si>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</si>
  <si>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</si>
  <si>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</si>
  <si>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</si>
  <si>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</si>
  <si>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</si>
  <si>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</si>
  <si>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</si>
  <si>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</si>
  <si>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</si>
  <si>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</si>
  <si>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</si>
  <si>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</si>
  <si>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</si>
  <si>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</si>
  <si>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</si>
  <si>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</si>
  <si>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</si>
  <si>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</si>
  <si>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</si>
  <si>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</si>
  <si>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</si>
  <si>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</si>
  <si>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</si>
  <si>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</si>
  <si>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</si>
  <si>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</si>
  <si>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</si>
  <si>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</si>
  <si>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</si>
  <si>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</si>
  <si>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</si>
  <si>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</si>
  <si>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</si>
  <si>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</si>
  <si>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</si>
  <si>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</si>
  <si>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</si>
  <si>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</si>
  <si>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</si>
  <si>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</si>
  <si>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</si>
  <si>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</si>
  <si>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</si>
  <si>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</si>
  <si>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</si>
  <si>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</si>
  <si>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</si>
  <si>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</si>
  <si>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</si>
  <si>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</si>
  <si>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</si>
  <si>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</si>
  <si>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</si>
  <si>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</si>
  <si>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</si>
  <si>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</si>
  <si>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</si>
  <si>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</si>
  <si>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</si>
  <si>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</si>
  <si>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</si>
  <si>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</si>
  <si>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</si>
  <si>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</si>
  <si>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</si>
  <si>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</si>
  <si>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</si>
  <si>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</si>
  <si>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</si>
  <si>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</si>
  <si>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</si>
  <si>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</si>
  <si>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</si>
  <si>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</si>
  <si>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</si>
  <si>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</si>
  <si>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</si>
  <si>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</si>
  <si>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</si>
  <si>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</si>
  <si>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</si>
  <si>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</si>
  <si>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</si>
  <si>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</si>
  <si>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</si>
  <si>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</si>
  <si>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</si>
  <si>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</si>
  <si>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</si>
  <si>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</si>
  <si>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</si>
  <si>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</si>
  <si>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</si>
  <si>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</si>
  <si>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</si>
  <si>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</si>
  <si>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</si>
  <si>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</si>
  <si>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</si>
  <si>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</si>
  <si>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</si>
  <si>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</si>
  <si>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</si>
  <si>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</si>
  <si>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</si>
  <si>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</si>
  <si>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</si>
  <si>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</si>
  <si>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</si>
  <si>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</si>
  <si>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</si>
  <si>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</si>
  <si>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</si>
  <si>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</si>
  <si>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</si>
  <si>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</si>
  <si>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</si>
  <si>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</si>
  <si>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</si>
  <si>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</si>
  <si>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</si>
  <si>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</si>
  <si>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</si>
  <si>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</si>
  <si>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</si>
  <si>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</si>
  <si>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</si>
  <si>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</si>
  <si>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</si>
  <si>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</si>
  <si>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</si>
  <si>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</si>
  <si>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</si>
  <si>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</si>
  <si>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</si>
  <si>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</si>
  <si>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</si>
  <si>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</si>
  <si>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</si>
  <si>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</si>
  <si>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</si>
  <si>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</si>
  <si>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</si>
  <si>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</si>
  <si>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</si>
  <si>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</si>
  <si>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</si>
  <si>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</si>
  <si>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</si>
  <si>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</si>
  <si>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</si>
  <si>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</si>
  <si>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</si>
  <si>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</si>
  <si>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</si>
  <si>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</si>
  <si>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</si>
  <si>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</si>
  <si>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</si>
  <si>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</si>
  <si>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</si>
  <si>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</si>
  <si>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</si>
  <si>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</si>
  <si>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</si>
  <si>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</si>
  <si>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</si>
  <si>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</si>
  <si>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</si>
  <si>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</si>
  <si>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</si>
  <si>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</si>
  <si>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</si>
  <si>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</si>
  <si>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</si>
  <si>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</si>
  <si>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</si>
  <si>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</si>
  <si>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</si>
  <si>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</si>
  <si>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</si>
  <si>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</si>
  <si>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</si>
  <si>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</si>
  <si>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</si>
  <si>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</si>
  <si>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</si>
  <si>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</si>
  <si>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</si>
  <si>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</si>
  <si>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</si>
  <si>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</si>
  <si>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</si>
  <si>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</si>
  <si>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</si>
  <si>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</si>
  <si>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</si>
  <si>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</si>
  <si>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</si>
  <si>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</si>
  <si>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</si>
  <si>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</si>
  <si>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</si>
  <si>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</si>
  <si>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</si>
  <si>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</si>
  <si>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</si>
  <si>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</si>
  <si>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</si>
  <si>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</si>
  <si>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</si>
  <si>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</si>
  <si>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</si>
  <si>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</si>
  <si>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</si>
  <si>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</si>
  <si>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</si>
  <si>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</si>
  <si>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</si>
  <si>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</si>
  <si>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</si>
  <si>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</si>
  <si>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</si>
  <si>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</si>
  <si>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</si>
  <si>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</si>
  <si>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</si>
  <si>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</si>
  <si>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</si>
  <si>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</si>
  <si>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</si>
  <si>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</si>
  <si>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</si>
  <si>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</si>
  <si>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</si>
  <si>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</si>
  <si>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</si>
  <si>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</si>
  <si>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</si>
  <si>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</si>
  <si>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</si>
  <si>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</si>
  <si>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</si>
  <si>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</si>
  <si>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</si>
  <si>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</si>
  <si>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</si>
  <si>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</si>
  <si>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</si>
  <si>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</si>
  <si>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</si>
  <si>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</si>
  <si>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</si>
  <si>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</si>
  <si>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</si>
  <si>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</si>
  <si>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</si>
  <si>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</si>
  <si>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</si>
  <si>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</si>
  <si>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</si>
  <si>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</si>
  <si>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</si>
  <si>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</si>
  <si>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</si>
  <si>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</si>
  <si>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</si>
  <si>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</si>
  <si>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</si>
  <si>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</si>
  <si>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</si>
  <si>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</si>
  <si>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</si>
  <si>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</si>
  <si>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</si>
  <si>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</si>
  <si>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</si>
  <si>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</si>
  <si>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</si>
  <si>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</si>
  <si>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</si>
  <si>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</si>
  <si>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</si>
  <si>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</si>
  <si>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</si>
  <si>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</si>
  <si>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</si>
  <si>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</si>
  <si>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</si>
  <si>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</si>
  <si>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</si>
  <si>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</si>
  <si>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</si>
  <si>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</si>
  <si>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</si>
  <si>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</si>
  <si>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</si>
  <si>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</si>
  <si>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</si>
  <si>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</si>
  <si>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</si>
  <si>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</si>
  <si>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</si>
  <si>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</si>
  <si>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</si>
  <si>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</si>
  <si>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</si>
  <si>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</si>
  <si>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</si>
  <si>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</si>
  <si>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</si>
  <si>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</si>
  <si>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</si>
  <si>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</si>
  <si>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</si>
  <si>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</si>
  <si>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</si>
  <si>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</si>
  <si>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</si>
  <si>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</si>
  <si>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</si>
  <si>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</si>
  <si>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</si>
  <si>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</si>
  <si>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</si>
  <si>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</si>
  <si>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</si>
  <si>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</si>
  <si>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</si>
  <si>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</si>
  <si>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</si>
  <si>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</si>
  <si>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</si>
  <si>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</si>
  <si>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</si>
  <si>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</si>
  <si>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</si>
  <si>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</si>
  <si>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</si>
  <si>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</si>
  <si>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</si>
  <si>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</si>
  <si>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</si>
  <si>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</si>
  <si>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</si>
  <si>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</si>
  <si>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</si>
  <si>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</si>
  <si>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</si>
  <si>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</si>
  <si>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</si>
  <si>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</si>
  <si>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</si>
  <si>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</si>
  <si>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</si>
  <si>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</si>
  <si>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</si>
  <si>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</si>
  <si>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</si>
  <si>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</si>
  <si>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</si>
  <si>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</si>
  <si>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</si>
  <si>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</si>
  <si>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</si>
  <si>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</si>
  <si>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</si>
  <si>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</si>
  <si>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</si>
  <si>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</si>
  <si>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</si>
  <si>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</si>
  <si>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</si>
  <si>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</si>
  <si>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</si>
  <si>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</si>
  <si>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</si>
  <si>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</si>
  <si>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</si>
  <si>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</si>
  <si>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</si>
  <si>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</si>
  <si>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</si>
  <si>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</si>
  <si>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</si>
  <si>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</si>
  <si>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</si>
  <si>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</si>
  <si>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</si>
  <si>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</si>
  <si>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</si>
  <si>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</si>
  <si>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</si>
  <si>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</si>
  <si>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</si>
  <si>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</si>
  <si>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</si>
  <si>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</si>
  <si>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</si>
  <si>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</si>
  <si>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</si>
  <si>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</si>
  <si>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</si>
  <si>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</si>
  <si>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</si>
  <si>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</si>
  <si>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</si>
  <si>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</si>
  <si>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</si>
  <si>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</si>
  <si>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</si>
  <si>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</si>
  <si>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</si>
  <si>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</si>
  <si>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</si>
  <si>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</si>
  <si>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</si>
  <si>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</si>
  <si>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</si>
  <si>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</si>
  <si>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</si>
  <si>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</si>
  <si>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</si>
  <si>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</si>
  <si>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</si>
  <si>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</si>
  <si>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</si>
  <si>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</si>
  <si>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</si>
  <si>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</si>
  <si>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</si>
  <si>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</si>
  <si>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</si>
  <si>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</si>
  <si>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</si>
  <si>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</si>
  <si>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</si>
  <si>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</si>
  <si>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</si>
  <si>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</si>
  <si>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</si>
  <si>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</si>
  <si>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</si>
  <si>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</si>
  <si>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</si>
  <si>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</si>
  <si>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</si>
  <si>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</si>
  <si>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</si>
  <si>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</si>
  <si>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</si>
  <si>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</si>
  <si>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</si>
  <si>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</si>
  <si>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</si>
  <si>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</si>
  <si>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</si>
  <si>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</si>
  <si>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</si>
  <si>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</si>
  <si>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</si>
  <si>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</si>
  <si>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</si>
  <si>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</si>
  <si>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</si>
  <si>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</si>
  <si>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</si>
  <si>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</si>
  <si>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</si>
  <si>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</si>
  <si>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</si>
  <si>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</si>
  <si>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</si>
  <si>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</si>
  <si>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</si>
  <si>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</si>
  <si>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</si>
  <si>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</si>
  <si>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</si>
  <si>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</si>
  <si>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</si>
  <si>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</si>
  <si>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</si>
  <si>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</si>
  <si>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</si>
  <si>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</si>
  <si>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</si>
  <si>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</si>
  <si>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</si>
  <si>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</si>
  <si>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</si>
  <si>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</si>
  <si>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</si>
  <si>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</si>
  <si>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</si>
  <si>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</si>
  <si>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</si>
  <si>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</si>
  <si>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</si>
  <si>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</si>
  <si>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</si>
  <si>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</si>
  <si>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</si>
  <si>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</si>
  <si>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</si>
  <si>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</si>
  <si>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</si>
  <si>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</si>
  <si>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</si>
  <si>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</si>
  <si>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</si>
  <si>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</si>
  <si>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</si>
  <si>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</si>
  <si>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</si>
  <si>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</si>
  <si>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</si>
  <si>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</si>
  <si>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</si>
  <si>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</si>
  <si>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</si>
  <si>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</si>
  <si>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</si>
  <si>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</si>
  <si>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</si>
  <si>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</si>
  <si>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</si>
  <si>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</si>
  <si>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</si>
  <si>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</si>
  <si>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</si>
  <si>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</si>
  <si>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</si>
  <si>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</si>
  <si>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</si>
  <si>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</si>
  <si>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</si>
  <si>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</si>
  <si>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</si>
  <si>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</si>
  <si>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</si>
  <si>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</si>
  <si>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</si>
  <si>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</si>
  <si>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</si>
  <si>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</si>
  <si>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</si>
  <si>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</si>
  <si>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</si>
  <si>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</si>
  <si>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</si>
  <si>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</si>
  <si>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</si>
  <si>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</si>
  <si>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</si>
  <si>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</si>
  <si>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</si>
  <si>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</si>
  <si>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</si>
  <si>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</si>
  <si>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</si>
  <si>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</si>
  <si>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</si>
  <si>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</si>
  <si>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</si>
  <si>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</si>
  <si>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</si>
  <si>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</si>
  <si>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</si>
  <si>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</si>
  <si>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</si>
  <si>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</si>
  <si>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</si>
  <si>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</si>
  <si>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</si>
  <si>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</si>
  <si>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</si>
  <si>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</si>
  <si>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</si>
  <si>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</si>
  <si>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</si>
  <si>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</si>
  <si>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</si>
  <si>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</si>
  <si>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</si>
  <si>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</si>
  <si>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</si>
  <si>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</si>
  <si>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</si>
  <si>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</si>
  <si>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</si>
  <si>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</si>
  <si>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</si>
  <si>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</si>
  <si>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</si>
  <si>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</si>
  <si>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</si>
  <si>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</si>
  <si>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</si>
  <si>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</si>
  <si>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</si>
  <si>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</si>
  <si>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</si>
  <si>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</si>
  <si>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</si>
  <si>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</si>
  <si>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</si>
  <si>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</si>
  <si>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</si>
  <si>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</si>
  <si>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</si>
  <si>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</si>
  <si>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</si>
  <si>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</si>
  <si>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</si>
  <si>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</si>
  <si>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</si>
  <si>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</si>
  <si>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</si>
  <si>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</si>
  <si>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</si>
  <si>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</si>
  <si>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</si>
  <si>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</si>
  <si>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</si>
  <si>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</si>
  <si>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</si>
  <si>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</si>
  <si>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</si>
  <si>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</si>
  <si>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</si>
  <si>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</si>
  <si>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</si>
  <si>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</si>
  <si>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</si>
  <si>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</si>
  <si>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</si>
  <si>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</si>
  <si>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</si>
  <si>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</si>
  <si>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</si>
  <si>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</si>
  <si>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</si>
  <si>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</si>
  <si>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</si>
  <si>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</si>
  <si>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</si>
  <si>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</si>
  <si>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</si>
  <si>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</si>
  <si>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</si>
  <si>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</si>
  <si>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</si>
  <si>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</si>
  <si>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</si>
  <si>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</si>
  <si>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</si>
  <si>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</si>
  <si>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</si>
  <si>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</si>
  <si>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</si>
  <si>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</si>
  <si>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</si>
  <si>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</si>
  <si>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</si>
  <si>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</si>
  <si>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</si>
  <si>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</si>
  <si>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</si>
  <si>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</si>
  <si>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</si>
  <si>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</si>
  <si>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</si>
  <si>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</si>
  <si>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</si>
  <si>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</si>
  <si>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</si>
  <si>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</si>
  <si>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</si>
  <si>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</si>
  <si>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</si>
  <si>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</si>
  <si>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</si>
  <si>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</si>
  <si>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</si>
  <si>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</si>
  <si>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</si>
  <si>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</si>
  <si>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</si>
  <si>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</si>
  <si>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</si>
  <si>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</si>
  <si>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</si>
  <si>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</si>
  <si>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</si>
  <si>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</si>
  <si>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</si>
  <si>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</si>
  <si>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</si>
  <si>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</si>
  <si>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</si>
  <si>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</si>
  <si>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</si>
  <si>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</si>
  <si>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</si>
  <si>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</si>
  <si>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</si>
  <si>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</si>
  <si>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</si>
  <si>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</si>
  <si>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</si>
  <si>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</si>
  <si>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</si>
  <si>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</si>
  <si>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</si>
  <si>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</si>
  <si>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</si>
  <si>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</si>
  <si>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</si>
  <si>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</si>
  <si>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</si>
  <si>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</si>
  <si>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</si>
  <si>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</si>
  <si>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</si>
  <si>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</si>
  <si>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</si>
  <si>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</si>
  <si>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</si>
  <si>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</si>
  <si>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</si>
  <si>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</si>
  <si>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</si>
  <si>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</si>
  <si>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</si>
  <si>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</si>
  <si>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</si>
  <si>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</si>
  <si>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</si>
  <si>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</si>
  <si>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</si>
  <si>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</si>
  <si>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</si>
  <si>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</si>
  <si>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</si>
  <si>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</si>
  <si>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</si>
  <si>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</si>
  <si>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</si>
  <si>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</si>
  <si>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</si>
  <si>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</si>
  <si>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</si>
  <si>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</si>
  <si>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</si>
  <si>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</si>
  <si>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</si>
  <si>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</si>
  <si>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</si>
  <si>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</si>
  <si>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</si>
  <si>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</si>
  <si>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</si>
  <si>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</si>
  <si>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</si>
  <si>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</si>
  <si>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</si>
  <si>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</si>
  <si>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</si>
  <si>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</si>
  <si>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</si>
  <si>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</si>
  <si>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</si>
  <si>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</si>
  <si>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</si>
  <si>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</si>
  <si>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</si>
  <si>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</si>
  <si>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</si>
  <si>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</si>
  <si>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</si>
  <si>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</si>
  <si>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</si>
  <si>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</si>
  <si>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</si>
  <si>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</si>
  <si>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</si>
  <si>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</si>
  <si>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</si>
  <si>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</si>
  <si>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</si>
  <si>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</si>
  <si>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</si>
  <si>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</si>
  <si>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</si>
  <si>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</si>
  <si>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</si>
  <si>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</si>
  <si>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</si>
  <si>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</si>
  <si>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</si>
  <si>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</si>
  <si>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</si>
  <si>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</si>
  <si>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</si>
  <si>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</si>
  <si>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</si>
  <si>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</si>
  <si>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</si>
  <si>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</si>
  <si>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</si>
  <si>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</si>
  <si>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</si>
  <si>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</si>
  <si>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</si>
  <si>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</si>
  <si>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</si>
  <si>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</si>
  <si>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</si>
  <si>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</si>
  <si>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</si>
  <si>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</si>
  <si>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</si>
  <si>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</si>
  <si>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</si>
  <si>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</si>
  <si>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</si>
  <si>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</si>
  <si>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</si>
  <si>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</si>
  <si>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</si>
  <si>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</si>
  <si>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</si>
  <si>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</si>
  <si>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</si>
  <si>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</si>
  <si>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</si>
  <si>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</si>
  <si>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</si>
  <si>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</si>
  <si>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</si>
  <si>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</si>
  <si>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</si>
  <si>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</si>
  <si>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</si>
  <si>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</si>
  <si>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</si>
  <si>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</si>
  <si>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</si>
  <si>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</si>
  <si>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</si>
  <si>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</si>
  <si>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</si>
  <si>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</si>
  <si>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</si>
  <si>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</si>
  <si>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</si>
  <si>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</si>
  <si>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</si>
  <si>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</si>
  <si>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</si>
  <si>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</si>
  <si>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</si>
  <si>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</si>
  <si>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</si>
  <si>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</si>
  <si>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</si>
  <si>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</si>
  <si>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</si>
  <si>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</si>
  <si>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</si>
  <si>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</si>
  <si>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</si>
  <si>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</si>
  <si>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</si>
  <si>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</si>
  <si>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</si>
  <si>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</si>
  <si>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</si>
  <si>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</si>
  <si>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</si>
  <si>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</si>
  <si>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</si>
  <si>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</si>
  <si>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</si>
  <si>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</si>
  <si>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</si>
  <si>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</si>
  <si>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</si>
  <si>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</si>
  <si>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</si>
  <si>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</si>
  <si>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</si>
  <si>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</si>
  <si>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</si>
  <si>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</si>
  <si>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</si>
  <si>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</si>
  <si>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</si>
  <si>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</si>
  <si>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</si>
  <si>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</si>
  <si>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</si>
  <si>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</si>
  <si>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</si>
  <si>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</si>
  <si>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</si>
  <si>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</si>
  <si>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</si>
  <si>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</si>
  <si>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</si>
  <si>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</si>
  <si>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</si>
  <si>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</si>
  <si>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</si>
  <si>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</si>
  <si>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</si>
  <si>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</si>
  <si>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</si>
  <si>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</si>
  <si>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</si>
  <si>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</si>
  <si>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</si>
  <si>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</si>
  <si>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</si>
  <si>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</si>
  <si>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</si>
  <si>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</si>
  <si>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</si>
  <si>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</si>
  <si>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</si>
  <si>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</si>
  <si>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</si>
  <si>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</si>
  <si>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</si>
  <si>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</si>
  <si>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</si>
  <si>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</si>
  <si>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</si>
  <si>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</si>
  <si>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</si>
  <si>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</si>
  <si>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</si>
  <si>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</si>
  <si>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</si>
  <si>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</si>
  <si>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</si>
  <si>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</si>
  <si>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</si>
  <si>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</si>
  <si>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</si>
  <si>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</si>
  <si>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</si>
  <si>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</si>
  <si>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</si>
  <si>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</si>
  <si>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</si>
  <si>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</si>
  <si>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</si>
  <si>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</si>
  <si>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</si>
  <si>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</si>
  <si>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</si>
  <si>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</si>
  <si>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</si>
  <si>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</si>
  <si>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</si>
  <si>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</si>
  <si>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</si>
  <si>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</si>
  <si>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</si>
  <si>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</si>
  <si>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</si>
  <si>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</si>
  <si>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</si>
  <si>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</si>
  <si>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</si>
  <si>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</si>
  <si>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</si>
  <si>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</si>
  <si>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</si>
  <si>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</si>
  <si>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</si>
  <si>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</si>
  <si>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</si>
  <si>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</si>
  <si>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</si>
  <si>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</si>
  <si>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</si>
  <si>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</si>
  <si>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</si>
  <si>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</si>
  <si>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</si>
  <si>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</si>
  <si>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</si>
  <si>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</si>
  <si>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</si>
  <si>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</si>
  <si>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</si>
  <si>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</si>
  <si>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</si>
  <si>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</si>
  <si>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</si>
  <si>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</si>
  <si>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</si>
  <si>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</si>
  <si>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</si>
  <si>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</si>
  <si>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</si>
  <si>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</si>
  <si>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</si>
  <si>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</si>
  <si>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</si>
  <si>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</si>
  <si>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</si>
  <si>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</si>
  <si>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</si>
  <si>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</si>
  <si>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</si>
  <si>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</si>
  <si>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</si>
  <si>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</si>
  <si>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</si>
  <si>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</si>
  <si>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</si>
  <si>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</si>
  <si>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</si>
  <si>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</si>
  <si>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</si>
  <si>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</si>
  <si>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</si>
  <si>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</si>
  <si>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</si>
  <si>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</si>
  <si>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</si>
  <si>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</si>
  <si>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</si>
  <si>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</si>
  <si>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</si>
  <si>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</si>
  <si>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</si>
  <si>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</si>
  <si>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</si>
  <si>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</si>
  <si>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</si>
  <si>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</si>
  <si>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</si>
  <si>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</si>
  <si>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</si>
  <si>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</si>
  <si>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</si>
  <si>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</si>
  <si>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</si>
  <si>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</si>
  <si>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</si>
  <si>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</si>
  <si>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</si>
  <si>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</si>
  <si>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</si>
  <si>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</si>
  <si>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</si>
  <si>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</si>
  <si>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</si>
  <si>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</si>
  <si>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</si>
  <si>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</si>
  <si>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</si>
  <si>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</si>
  <si>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</si>
  <si>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</si>
  <si>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</si>
  <si>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</si>
  <si>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</si>
  <si>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</si>
  <si>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</si>
  <si>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</si>
  <si>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</si>
  <si>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</si>
  <si>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</si>
  <si>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</si>
  <si>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</si>
  <si>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</si>
  <si>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</si>
  <si>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</si>
  <si>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</si>
  <si>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</si>
  <si>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</si>
  <si>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</si>
  <si>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</si>
  <si>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</si>
  <si>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</si>
  <si>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</si>
  <si>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</si>
  <si>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</si>
  <si>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</si>
  <si>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</si>
  <si>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</si>
  <si>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</si>
  <si>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</si>
  <si>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</si>
  <si>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</si>
  <si>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</si>
  <si>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</si>
  <si>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</si>
  <si>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</si>
  <si>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</si>
  <si>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</si>
  <si>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</si>
  <si>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</si>
  <si>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</si>
  <si>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</si>
  <si>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</si>
  <si>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</si>
  <si>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</si>
  <si>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</si>
  <si>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</si>
  <si>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</si>
  <si>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</si>
  <si>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</si>
  <si>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</si>
  <si>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</si>
  <si>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</si>
  <si>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</si>
  <si>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</si>
  <si>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</si>
  <si>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</si>
  <si>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</si>
  <si>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</si>
  <si>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</si>
  <si>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</si>
  <si>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</si>
  <si>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</si>
  <si>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</si>
  <si>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</si>
  <si>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</si>
  <si>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</si>
  <si>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</si>
  <si>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</si>
  <si>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</si>
  <si>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</si>
  <si>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</si>
  <si>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</si>
  <si>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</si>
  <si>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</si>
  <si>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</si>
  <si>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</si>
  <si>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</si>
  <si>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</si>
  <si>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</si>
  <si>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</si>
  <si>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</si>
  <si>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</si>
  <si>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</si>
  <si>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</si>
  <si>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</si>
  <si>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</si>
  <si>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</si>
  <si>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</si>
  <si>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</si>
  <si>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</si>
  <si>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</si>
  <si>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</si>
  <si>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</si>
  <si>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</si>
  <si>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</si>
  <si>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</si>
  <si>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</si>
  <si>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</si>
  <si>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</si>
  <si>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</si>
  <si>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</si>
  <si>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</si>
  <si>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</si>
  <si>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</si>
  <si>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</si>
  <si>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</si>
  <si>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</si>
  <si>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</si>
  <si>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</si>
  <si>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</si>
  <si>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</si>
  <si>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</si>
  <si>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</si>
  <si>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</si>
  <si>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</si>
  <si>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</si>
  <si>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</si>
  <si>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</si>
  <si>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</si>
  <si>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</si>
  <si>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</si>
  <si>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</si>
  <si>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</si>
  <si>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</si>
  <si>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</si>
  <si>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</si>
  <si>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</si>
  <si>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</si>
  <si>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</si>
  <si>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</si>
  <si>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</si>
  <si>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</si>
  <si>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</si>
  <si>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</si>
  <si>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</si>
  <si>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</si>
  <si>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</si>
  <si>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</si>
  <si>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</si>
  <si>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</si>
  <si>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</si>
  <si>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</si>
  <si>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Ⅵ-BDA核心</t>
  </si>
  <si>
    <t>出让</t>
  </si>
  <si>
    <t>北京德鑫泉物联网科技股份有限公司</t>
    <phoneticPr fontId="140" type="noConversion"/>
  </si>
  <si>
    <t>坐落</t>
    <phoneticPr fontId="140" type="noConversion"/>
  </si>
  <si>
    <r>
      <t>北京经济技术开发区永昌东四路6号院</t>
    </r>
    <r>
      <rPr>
        <sz val="11"/>
        <color theme="1"/>
        <rFont val="宋体"/>
        <family val="3"/>
        <charset val="134"/>
        <scheme val="minor"/>
      </rPr>
      <t>4号1层01等4套</t>
    </r>
    <phoneticPr fontId="140" type="noConversion"/>
  </si>
  <si>
    <t>用途</t>
    <phoneticPr fontId="140" type="noConversion"/>
  </si>
  <si>
    <t>工业用地</t>
    <phoneticPr fontId="140" type="noConversion"/>
  </si>
  <si>
    <t>门房、研发楼、生产车间</t>
    <phoneticPr fontId="140" type="noConversion"/>
  </si>
  <si>
    <t>面积</t>
    <phoneticPr fontId="140" type="noConversion"/>
  </si>
  <si>
    <t>土地终止年期</t>
    <phoneticPr fontId="140" type="noConversion"/>
  </si>
  <si>
    <t>建筑面积</t>
    <phoneticPr fontId="140" type="noConversion"/>
  </si>
  <si>
    <t>地下</t>
    <phoneticPr fontId="140" type="noConversion"/>
  </si>
  <si>
    <t>地上</t>
    <phoneticPr fontId="140" type="noConversion"/>
  </si>
  <si>
    <t>地上其他</t>
    <phoneticPr fontId="140" type="noConversion"/>
  </si>
  <si>
    <t>1号楼</t>
    <phoneticPr fontId="140" type="noConversion"/>
  </si>
  <si>
    <r>
      <t>5（</t>
    </r>
    <r>
      <rPr>
        <sz val="11"/>
        <color theme="1"/>
        <rFont val="宋体"/>
        <family val="3"/>
        <charset val="134"/>
        <scheme val="minor"/>
      </rPr>
      <t>-01</t>
    </r>
    <r>
      <rPr>
        <sz val="11"/>
        <color theme="1"/>
        <rFont val="宋体"/>
        <family val="3"/>
        <charset val="134"/>
        <scheme val="minor"/>
      </rPr>
      <t>）</t>
    </r>
    <phoneticPr fontId="140" type="noConversion"/>
  </si>
  <si>
    <t>钢混</t>
    <phoneticPr fontId="140" type="noConversion"/>
  </si>
  <si>
    <t>2号楼</t>
    <phoneticPr fontId="140" type="noConversion"/>
  </si>
  <si>
    <r>
      <t>4（</t>
    </r>
    <r>
      <rPr>
        <sz val="11"/>
        <color theme="1"/>
        <rFont val="宋体"/>
        <family val="3"/>
        <charset val="134"/>
        <scheme val="minor"/>
      </rPr>
      <t>-01</t>
    </r>
    <r>
      <rPr>
        <sz val="11"/>
        <color theme="1"/>
        <rFont val="宋体"/>
        <family val="3"/>
        <charset val="134"/>
        <scheme val="minor"/>
      </rPr>
      <t>）</t>
    </r>
    <phoneticPr fontId="140" type="noConversion"/>
  </si>
  <si>
    <t>3号楼</t>
    <phoneticPr fontId="140" type="noConversion"/>
  </si>
  <si>
    <t>4号</t>
    <phoneticPr fontId="140" type="noConversion"/>
  </si>
  <si>
    <t>是</t>
  </si>
  <si>
    <t>地上</t>
  </si>
  <si>
    <t>地下</t>
  </si>
  <si>
    <t>工业</t>
    <phoneticPr fontId="7" type="noConversion"/>
  </si>
  <si>
    <t>利息：取LPR加浮动点数</t>
  </si>
  <si>
    <t>成新度</t>
  </si>
  <si>
    <t>收益法</t>
  </si>
  <si>
    <t>未包含在土地购买价格中</t>
  </si>
  <si>
    <t>全部缴纳</t>
  </si>
  <si>
    <t>已包含在土地取得成本中</t>
  </si>
  <si>
    <t>总价</t>
  </si>
  <si>
    <t>押一</t>
  </si>
  <si>
    <t>按租金收入计税</t>
  </si>
  <si>
    <t>钢混</t>
  </si>
  <si>
    <t>非生产用房</t>
  </si>
  <si>
    <t>否</t>
  </si>
  <si>
    <t>成本法</t>
  </si>
  <si>
    <t>崔锴</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</si>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</sst>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31"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4;&#24196;&#39033;&#3044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31616;&#3492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信息"/>
      <sheetName val="抵押物清单（分楼）"/>
      <sheetName val="数据-汇总表"/>
      <sheetName val="数据-取费表"/>
      <sheetName val="估价对象房地状况"/>
      <sheetName val="系统读取表"/>
      <sheetName val="结果表"/>
      <sheetName val="成本法"/>
      <sheetName val="基准地价修正"/>
      <sheetName val="收益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31355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4386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估价对象为北京市房地产，为所有。根据《国有土地使用证》[]，估价对象（分摊）出让国有建设用地使用权面积为13382.27平方米，建筑面积为24804.47平方米。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估价对象为北京市房地产,属开发建设的，该项目尚在开发建设中。根据《国有土地使用证》[]，估价对象（分摊）出让国有建设用地使用权面积为13382.27平方米，规划建筑面积为24804.47平方米。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2022年3月22日</v>
      </c>
    </row>
    <row r="13" spans="1:2" s="1337" customFormat="1">
      <c r="A13" s="1335" t="s">
        <v>1135</v>
      </c>
      <c r="B13" s="1336"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31626</v>
      </c>
    </row>
    <row r="21" spans="1:2" s="1337" customFormat="1">
      <c r="A21" s="1335" t="s">
        <v>1143</v>
      </c>
      <c r="B21" s="1336">
        <f ca="1">'预评函-2'!D7</f>
        <v>12750</v>
      </c>
    </row>
    <row r="22" spans="1:2" s="1337" customFormat="1">
      <c r="A22" s="1335" t="s">
        <v>1144</v>
      </c>
      <c r="B22" s="1336" t="str">
        <f ca="1">'预评函-2'!D6</f>
        <v>叁亿壹仟陆佰贰拾陆万元整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31626</v>
      </c>
    </row>
    <row r="31" spans="1:2" s="1337" customFormat="1">
      <c r="A31" s="1335" t="s">
        <v>1182</v>
      </c>
      <c r="B31" s="1336">
        <f ca="1">'预评函-2'!D15</f>
        <v>12750</v>
      </c>
    </row>
    <row r="32" spans="1:2" s="1337" customFormat="1">
      <c r="A32" s="1335" t="s">
        <v>1149</v>
      </c>
      <c r="B32" s="1336" t="str">
        <f ca="1">'预评函-2'!D14</f>
        <v>叁亿壹仟陆佰贰拾陆万元整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24804.469999999998</v>
      </c>
    </row>
    <row r="44" spans="1:2" s="1337" customFormat="1">
      <c r="A44" s="1335" t="s">
        <v>1181</v>
      </c>
      <c r="B44" s="1336" t="str">
        <f>'预评函-3'!C2</f>
        <v>(分摊)土地面积</v>
      </c>
    </row>
    <row r="45" spans="1:2" s="1337" customFormat="1">
      <c r="A45" s="1335" t="s">
        <v>1153</v>
      </c>
      <c r="B45" s="1336">
        <f>'预评函-3'!C4</f>
        <v>13382.27</v>
      </c>
    </row>
    <row r="46" spans="1:2" s="1337" customFormat="1">
      <c r="A46" s="1335" t="s">
        <v>1179</v>
      </c>
      <c r="B46" s="1336" t="str">
        <f>'预评函-3'!D2</f>
        <v>出让国有建设用地使用权价值</v>
      </c>
    </row>
    <row r="47" spans="1:2" s="1337" customFormat="1">
      <c r="A47" s="1335" t="s">
        <v>1154</v>
      </c>
      <c r="B47" s="1336">
        <f ca="1">'预评函-3'!D4</f>
        <v>11543</v>
      </c>
    </row>
    <row r="48" spans="1:2" s="1337" customFormat="1">
      <c r="A48" s="1335" t="s">
        <v>1155</v>
      </c>
      <c r="B48" s="1336">
        <f ca="1">'预评函-3'!E4</f>
        <v>4653</v>
      </c>
    </row>
    <row r="49" spans="1:2" s="1337" customFormat="1">
      <c r="A49" s="1335" t="s">
        <v>1156</v>
      </c>
      <c r="B49" s="1336" t="str">
        <f ca="1">'预评函-3'!D5</f>
        <v>壹亿壹仟伍佰肆拾叁万元整</v>
      </c>
    </row>
    <row r="50" spans="1:2" s="1337" customFormat="1">
      <c r="A50" s="1335" t="s">
        <v>1180</v>
      </c>
      <c r="B50" s="1336" t="str">
        <f>'预评函-3'!F2</f>
        <v>在建建筑物价值</v>
      </c>
    </row>
    <row r="51" spans="1:2" s="1337" customFormat="1">
      <c r="A51" s="1335" t="s">
        <v>1157</v>
      </c>
      <c r="B51" s="1336">
        <f ca="1">'预评函-3'!F4</f>
        <v>20083</v>
      </c>
    </row>
    <row r="52" spans="1:2" s="1337" customFormat="1">
      <c r="A52" s="1335" t="s">
        <v>1158</v>
      </c>
      <c r="B52" s="1336">
        <f ca="1">'预评函-3'!G4</f>
        <v>8097</v>
      </c>
    </row>
    <row r="53" spans="1:2" s="1337" customFormat="1">
      <c r="A53" s="1335" t="s">
        <v>1186</v>
      </c>
      <c r="B53" s="1336" t="str">
        <f ca="1">'预评函-3'!F5</f>
        <v>贰亿零捌拾叁万元整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H22" sqref="H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44642</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3170</v>
      </c>
      <c r="C4" s="2570">
        <f ca="1">SUMIF(注册房地产估价师,B4,估价师及机构信息!B3:B24)</f>
        <v>1120100036</v>
      </c>
      <c r="D4" s="2569" t="s">
        <v>3171</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64"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65"/>
      <c r="E9" s="2588"/>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3133</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59665</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41.15</v>
      </c>
      <c r="J15" s="2635"/>
      <c r="K15" s="2814"/>
      <c r="L15" s="2647"/>
      <c r="M15" s="2647"/>
      <c r="N15" s="2705"/>
      <c r="O15" s="2647"/>
      <c r="P15" s="2705"/>
      <c r="Q15" s="2635"/>
      <c r="R15" s="2635"/>
    </row>
    <row r="16" spans="1:28">
      <c r="A16" s="2594" t="s">
        <v>2879</v>
      </c>
      <c r="B16" s="3271"/>
      <c r="C16" s="3272"/>
      <c r="D16" s="3273"/>
      <c r="E16" s="2609" t="s">
        <v>2880</v>
      </c>
      <c r="F16" s="3274"/>
      <c r="G16" s="3275"/>
      <c r="H16" s="3275"/>
      <c r="I16" s="3276"/>
      <c r="J16" s="2635"/>
      <c r="K16" s="2814"/>
      <c r="L16" s="2647"/>
      <c r="M16" s="2647"/>
      <c r="N16" s="2705"/>
      <c r="O16" s="2647"/>
      <c r="P16" s="2705"/>
      <c r="Q16" s="2635"/>
      <c r="R16" s="2635"/>
    </row>
    <row r="17" spans="1:28">
      <c r="A17" s="319" t="s">
        <v>2881</v>
      </c>
      <c r="B17" s="308" t="s">
        <v>2882</v>
      </c>
      <c r="C17" s="11">
        <f>'数据-汇总表'!E3</f>
        <v>24804.469999999998</v>
      </c>
      <c r="D17" s="2515" t="s">
        <v>2883</v>
      </c>
      <c r="E17" s="3277" t="s">
        <v>2884</v>
      </c>
      <c r="F17" s="3278"/>
      <c r="G17" s="3278"/>
      <c r="H17" s="3278"/>
      <c r="I17" s="3279"/>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13382.27</v>
      </c>
      <c r="D18" s="1224" t="s">
        <v>2887</v>
      </c>
      <c r="E18" s="3280" t="s">
        <v>2888</v>
      </c>
      <c r="F18" s="3281"/>
      <c r="G18" s="3281"/>
      <c r="H18" s="3281"/>
      <c r="I18" s="3282"/>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7" t="s">
        <v>2892</v>
      </c>
      <c r="C20" s="3268"/>
      <c r="D20" s="3269" t="s">
        <v>2893</v>
      </c>
      <c r="E20" s="3270"/>
      <c r="F20" s="2844" t="s">
        <v>1682</v>
      </c>
      <c r="G20" s="2861"/>
      <c r="H20" s="2861"/>
      <c r="I20" s="2861"/>
      <c r="J20" s="2635"/>
      <c r="K20" s="326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4"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4"/>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4"/>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5"/>
      <c r="B30" s="308" t="s">
        <v>2904</v>
      </c>
      <c r="C30" s="3256"/>
      <c r="D30" s="3257"/>
      <c r="E30" s="2861"/>
      <c r="F30" s="2861"/>
      <c r="G30" s="2861"/>
      <c r="H30" s="2861"/>
      <c r="I30" s="2861"/>
      <c r="J30" s="2635"/>
      <c r="K30" s="2812"/>
      <c r="L30" s="2809"/>
      <c r="M30" s="2809"/>
      <c r="N30" s="2635"/>
      <c r="O30" s="2646"/>
      <c r="P30" s="2635"/>
      <c r="Q30" s="2635"/>
      <c r="R30" s="2635"/>
      <c r="S30" s="2635"/>
      <c r="T30" s="2635"/>
      <c r="U30" s="2635"/>
      <c r="V30" s="2635"/>
    </row>
    <row r="31" spans="1:28">
      <c r="A31" s="3258"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3" t="s">
        <v>2914</v>
      </c>
      <c r="T34" s="2624" t="str">
        <f>NUMBERSTRING(7-K34,1)&amp;"通"</f>
        <v>七通</v>
      </c>
      <c r="U34" s="2635"/>
      <c r="V34" s="2635"/>
    </row>
    <row r="35" spans="1:30">
      <c r="A35" s="2625"/>
      <c r="B35" s="3260" t="s">
        <v>2915</v>
      </c>
      <c r="C35" s="3260"/>
      <c r="D35" s="3260"/>
      <c r="E35" s="326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3"/>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56</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3132</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A3" sqref="AA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Sheet1!B4</f>
        <v>13788.6</v>
      </c>
      <c r="B3" s="14">
        <f>IF(C3="否",G5-AT5,G5)</f>
        <v>25557.609999999997</v>
      </c>
      <c r="C3" s="1735" t="s">
        <v>3153</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25557.609999999997</v>
      </c>
      <c r="H5" s="16">
        <f t="shared" ref="H5:AT5" si="0">SUM(H13:H656)</f>
        <v>24438.69</v>
      </c>
      <c r="I5" s="16">
        <f t="shared" si="0"/>
        <v>19966.57</v>
      </c>
      <c r="J5" s="16">
        <f t="shared" si="0"/>
        <v>0</v>
      </c>
      <c r="K5" s="16">
        <f t="shared" si="0"/>
        <v>4472.12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365.78</v>
      </c>
      <c r="AM5" s="16">
        <f t="shared" si="0"/>
        <v>0</v>
      </c>
      <c r="AN5" s="16">
        <f t="shared" si="0"/>
        <v>0</v>
      </c>
      <c r="AO5" s="16">
        <f t="shared" si="0"/>
        <v>0</v>
      </c>
      <c r="AP5" s="16">
        <f t="shared" si="0"/>
        <v>0</v>
      </c>
      <c r="AQ5" s="16">
        <f t="shared" si="0"/>
        <v>0</v>
      </c>
      <c r="AR5" s="16">
        <f t="shared" si="0"/>
        <v>0</v>
      </c>
      <c r="AS5" s="16">
        <f t="shared" si="0"/>
        <v>0</v>
      </c>
      <c r="AT5" s="16">
        <f t="shared" si="0"/>
        <v>753.14</v>
      </c>
      <c r="AU5" s="1500"/>
      <c r="AV5" s="15" t="s">
        <v>1696</v>
      </c>
      <c r="AW5" s="1501"/>
      <c r="AX5" s="1501"/>
      <c r="AY5" s="17" t="s">
        <v>3</v>
      </c>
      <c r="AZ5" s="18">
        <f t="shared" ref="AZ5:BT5" si="1">SUM(AZ13:AZ656)</f>
        <v>24804.469999999998</v>
      </c>
      <c r="BA5" s="18">
        <f t="shared" si="1"/>
        <v>24438.69</v>
      </c>
      <c r="BB5" s="18">
        <f t="shared" si="1"/>
        <v>19966.57</v>
      </c>
      <c r="BC5" s="18">
        <f t="shared" si="1"/>
        <v>4472.12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365.78</v>
      </c>
      <c r="BM5" s="18">
        <f t="shared" si="1"/>
        <v>0</v>
      </c>
      <c r="BN5" s="18">
        <f t="shared" si="1"/>
        <v>0</v>
      </c>
      <c r="BO5" s="18">
        <f t="shared" si="1"/>
        <v>0</v>
      </c>
      <c r="BP5" s="18">
        <f t="shared" si="1"/>
        <v>0</v>
      </c>
      <c r="BQ5" s="18">
        <f t="shared" si="1"/>
        <v>365.78</v>
      </c>
      <c r="BR5" s="18">
        <f t="shared" si="1"/>
        <v>0</v>
      </c>
      <c r="BS5" s="18">
        <f t="shared" si="1"/>
        <v>0</v>
      </c>
      <c r="BT5" s="19">
        <f t="shared" si="1"/>
        <v>0</v>
      </c>
    </row>
    <row r="6" spans="1:72" s="1744" customFormat="1" ht="12.75">
      <c r="A6" s="15" t="s">
        <v>1697</v>
      </c>
      <c r="B6" s="1741"/>
      <c r="C6" s="1741"/>
      <c r="D6" s="1742"/>
      <c r="E6" s="16">
        <f>H6+AC6+AT6</f>
        <v>13788.6</v>
      </c>
      <c r="F6" s="16" t="s">
        <v>1</v>
      </c>
      <c r="G6" s="16" t="s">
        <v>2</v>
      </c>
      <c r="H6" s="20">
        <f>SUMIF(I$12:AB$12,"总值",I6:AB6)</f>
        <v>13184.93</v>
      </c>
      <c r="I6" s="16">
        <f t="shared" ref="I6:AB6" si="2">ROUND($A$3*I5/$B$3,2)</f>
        <v>10772.17</v>
      </c>
      <c r="J6" s="16">
        <f t="shared" si="2"/>
        <v>0</v>
      </c>
      <c r="K6" s="16">
        <f t="shared" si="2"/>
        <v>2412.7600000000002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197.34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197.34</v>
      </c>
      <c r="AM6" s="16">
        <f t="shared" si="3"/>
        <v>0</v>
      </c>
      <c r="AN6" s="16">
        <f t="shared" si="3"/>
        <v>0</v>
      </c>
      <c r="AO6" s="16">
        <f t="shared" si="3"/>
        <v>0</v>
      </c>
      <c r="AP6" s="16">
        <f t="shared" si="3"/>
        <v>0</v>
      </c>
      <c r="AQ6" s="16">
        <f t="shared" si="3"/>
        <v>0</v>
      </c>
      <c r="AR6" s="16">
        <f t="shared" si="3"/>
        <v>0</v>
      </c>
      <c r="AS6" s="16">
        <f t="shared" si="3"/>
        <v>0</v>
      </c>
      <c r="AT6" s="20">
        <f>IF(C3="是",ROUND($A$3*AT5/$B$3,2),0)</f>
        <v>406.33</v>
      </c>
      <c r="AU6" s="1743"/>
      <c r="AV6" s="15" t="s">
        <v>1697</v>
      </c>
      <c r="AW6" s="1741"/>
      <c r="AX6" s="1741"/>
      <c r="AY6" s="21">
        <f>IF(AY3&gt;0,AY3,ROUND($A$3*AZ5/$B$3,2))</f>
        <v>13382.27</v>
      </c>
      <c r="AZ6" s="16" t="s">
        <v>3</v>
      </c>
      <c r="BA6" s="16">
        <f>ROUND($AY$6*BA5/$AZ$5,2)</f>
        <v>13184.93</v>
      </c>
      <c r="BB6" s="16">
        <f>ROUND($AY$6*BB5/$AZ$5,2)</f>
        <v>10772.17</v>
      </c>
      <c r="BC6" s="16">
        <f t="shared" ref="BC6:BH6" si="4">ROUND($AY$6*BC5/$AZ$5,2)</f>
        <v>2412.7600000000002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197.34</v>
      </c>
      <c r="BM6" s="16">
        <f t="shared" si="5"/>
        <v>0</v>
      </c>
      <c r="BN6" s="16">
        <f t="shared" si="5"/>
        <v>0</v>
      </c>
      <c r="BO6" s="16">
        <f t="shared" si="5"/>
        <v>0</v>
      </c>
      <c r="BP6" s="16">
        <f t="shared" si="5"/>
        <v>0</v>
      </c>
      <c r="BQ6" s="16">
        <f t="shared" si="5"/>
        <v>197.34</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3154</v>
      </c>
      <c r="J9" s="918"/>
      <c r="K9" s="1758" t="s">
        <v>3155</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3153</v>
      </c>
      <c r="E13" s="16">
        <f>IF($C$3="是",ROUND($A$3*G13/$B$3,2),ROUND($A$3*(G13-AT13)/$B$3,2))</f>
        <v>13788.6</v>
      </c>
      <c r="F13" s="32"/>
      <c r="G13" s="33">
        <f>H13+AC13+AT13</f>
        <v>25557.609999999997</v>
      </c>
      <c r="H13" s="20">
        <f>SUMIF(I$12:AB$12,"总值",I13:AB13)</f>
        <v>24438.69</v>
      </c>
      <c r="I13" s="1781">
        <f>Sheet1!F13</f>
        <v>19966.57</v>
      </c>
      <c r="J13" s="1781"/>
      <c r="K13" s="1781">
        <f>Sheet1!E13</f>
        <v>4472.12</v>
      </c>
      <c r="L13" s="1781"/>
      <c r="M13" s="1781"/>
      <c r="N13" s="1781"/>
      <c r="O13" s="1781"/>
      <c r="P13" s="1781"/>
      <c r="Q13" s="1781"/>
      <c r="R13" s="1781"/>
      <c r="S13" s="1781"/>
      <c r="T13" s="1781"/>
      <c r="U13" s="1781"/>
      <c r="V13" s="1781"/>
      <c r="W13" s="1781"/>
      <c r="X13" s="1781"/>
      <c r="Y13" s="1781"/>
      <c r="Z13" s="1781"/>
      <c r="AA13" s="1781"/>
      <c r="AB13" s="1781"/>
      <c r="AC13" s="16">
        <f>SUMIF(AD$12:AS$12,"总值",AD13:AS13)</f>
        <v>365.78</v>
      </c>
      <c r="AD13" s="1782"/>
      <c r="AE13" s="1782"/>
      <c r="AF13" s="1782"/>
      <c r="AG13" s="1782"/>
      <c r="AH13" s="1782"/>
      <c r="AI13" s="1782"/>
      <c r="AJ13" s="1782"/>
      <c r="AK13" s="1782"/>
      <c r="AL13" s="1782">
        <f>Sheet1!G13</f>
        <v>365.78</v>
      </c>
      <c r="AM13" s="1782"/>
      <c r="AN13" s="1782"/>
      <c r="AO13" s="1782"/>
      <c r="AP13" s="1782"/>
      <c r="AQ13" s="1782"/>
      <c r="AR13" s="1782"/>
      <c r="AS13" s="1782"/>
      <c r="AT13" s="1783">
        <v>753.14</v>
      </c>
      <c r="AU13" s="1784"/>
      <c r="AV13" s="11">
        <f t="shared" ref="AV13:AX17" si="6">A13</f>
        <v>0</v>
      </c>
      <c r="AW13" s="11">
        <f t="shared" si="6"/>
        <v>0</v>
      </c>
      <c r="AX13" s="11">
        <f t="shared" si="6"/>
        <v>0</v>
      </c>
      <c r="AY13" s="1503">
        <f>ROUND($AY$6*AZ13/$AZ$5,2)</f>
        <v>13382.27</v>
      </c>
      <c r="AZ13" s="16">
        <f>BA13+BL13</f>
        <v>24804.469999999998</v>
      </c>
      <c r="BA13" s="16">
        <f>SUM(BB13:BK13)</f>
        <v>24438.69</v>
      </c>
      <c r="BB13" s="16">
        <f>IF($D13="是",I13-J13,0)</f>
        <v>19966.57</v>
      </c>
      <c r="BC13" s="16">
        <f>IF($D13="是",K13-L13,0)</f>
        <v>4472.12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365.78</v>
      </c>
      <c r="BM13" s="16">
        <f>IF($D13="是",AD13-AE13,0)</f>
        <v>0</v>
      </c>
      <c r="BN13" s="16">
        <f>IF($D13="是",AF13-AG13,0)</f>
        <v>0</v>
      </c>
      <c r="BO13" s="16">
        <f>IF($D13="是",AH13-AI13,0)</f>
        <v>0</v>
      </c>
      <c r="BP13" s="16">
        <f>IF($D13="是",AJ13-AK13,0)</f>
        <v>0</v>
      </c>
      <c r="BQ13" s="16">
        <f>IF($D13="是",AL13-AM13,0)</f>
        <v>365.78</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topLeftCell="D1" workbookViewId="0">
      <selection activeCell="J14" sqref="J14"/>
    </sheetView>
  </sheetViews>
  <sheetFormatPr defaultRowHeight="13.5"/>
  <cols>
    <col min="2" max="2" width="13.5" bestFit="1" customWidth="1"/>
    <col min="3" max="3" width="23.5" bestFit="1" customWidth="1"/>
  </cols>
  <sheetData>
    <row r="1" spans="1:10">
      <c r="B1" s="3207" t="s">
        <v>3134</v>
      </c>
    </row>
    <row r="2" spans="1:10">
      <c r="A2" s="3207" t="s">
        <v>3135</v>
      </c>
      <c r="B2" s="3207" t="s">
        <v>3136</v>
      </c>
    </row>
    <row r="3" spans="1:10">
      <c r="A3" s="3207" t="s">
        <v>3137</v>
      </c>
      <c r="B3" s="3207" t="s">
        <v>3138</v>
      </c>
      <c r="C3" s="3207" t="s">
        <v>3139</v>
      </c>
    </row>
    <row r="4" spans="1:10">
      <c r="A4" s="3207" t="s">
        <v>3140</v>
      </c>
      <c r="B4">
        <v>13788.6</v>
      </c>
      <c r="C4">
        <v>24804.47</v>
      </c>
    </row>
    <row r="5" spans="1:10">
      <c r="A5" s="3207" t="s">
        <v>3141</v>
      </c>
      <c r="B5" s="3208">
        <v>59665</v>
      </c>
    </row>
    <row r="8" spans="1:10">
      <c r="D8" s="3207" t="s">
        <v>3142</v>
      </c>
      <c r="E8" s="3207" t="s">
        <v>3143</v>
      </c>
      <c r="F8" s="3207" t="s">
        <v>3144</v>
      </c>
      <c r="G8" s="3207" t="s">
        <v>3145</v>
      </c>
    </row>
    <row r="9" spans="1:10">
      <c r="A9" s="3207" t="s">
        <v>3146</v>
      </c>
      <c r="B9" s="3207" t="s">
        <v>3147</v>
      </c>
      <c r="C9" s="3207" t="s">
        <v>3148</v>
      </c>
      <c r="D9">
        <v>9709.74</v>
      </c>
      <c r="E9">
        <v>1464.46</v>
      </c>
      <c r="F9">
        <v>8135.63</v>
      </c>
      <c r="G9">
        <v>109.65</v>
      </c>
      <c r="J9">
        <v>5238.5069999999996</v>
      </c>
    </row>
    <row r="10" spans="1:10">
      <c r="A10" s="3207" t="s">
        <v>3149</v>
      </c>
      <c r="B10" s="3207" t="s">
        <v>3150</v>
      </c>
      <c r="C10" s="3207" t="s">
        <v>3148</v>
      </c>
      <c r="D10">
        <v>10420.23</v>
      </c>
      <c r="E10">
        <v>2782.79</v>
      </c>
      <c r="F10">
        <v>7429.78</v>
      </c>
      <c r="G10">
        <v>207.66</v>
      </c>
      <c r="J10">
        <v>5621.8239999999996</v>
      </c>
    </row>
    <row r="11" spans="1:10">
      <c r="A11" s="3207" t="s">
        <v>3151</v>
      </c>
      <c r="B11" s="3207" t="s">
        <v>3147</v>
      </c>
      <c r="C11" s="3207" t="s">
        <v>3148</v>
      </c>
      <c r="D11">
        <v>4662.12</v>
      </c>
      <c r="E11">
        <v>224.87</v>
      </c>
      <c r="F11">
        <v>4388.78</v>
      </c>
      <c r="G11">
        <v>48.47</v>
      </c>
      <c r="J11">
        <v>2515.2629999999999</v>
      </c>
    </row>
    <row r="12" spans="1:10">
      <c r="A12" s="3207" t="s">
        <v>3152</v>
      </c>
      <c r="B12">
        <v>1</v>
      </c>
      <c r="C12" s="3207" t="s">
        <v>3148</v>
      </c>
      <c r="D12">
        <v>12.38</v>
      </c>
      <c r="F12">
        <v>12.38</v>
      </c>
      <c r="J12">
        <v>6.6790000000000003</v>
      </c>
    </row>
    <row r="13" spans="1:10">
      <c r="C13" s="3207"/>
      <c r="D13">
        <f>SUM(D9:D12)</f>
        <v>24804.47</v>
      </c>
      <c r="E13">
        <f>SUM(E9:E12)</f>
        <v>4472.12</v>
      </c>
      <c r="F13">
        <f>SUM(F9:F12)</f>
        <v>19966.57</v>
      </c>
      <c r="G13">
        <f>SUM(G9:G12)</f>
        <v>365.78</v>
      </c>
      <c r="H13">
        <f>SUM(E13:G13)</f>
        <v>24804.469999999998</v>
      </c>
      <c r="J13">
        <f>SUM(J9:J12)</f>
        <v>13382.272999999997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4" t="s">
        <v>1756</v>
      </c>
      <c r="B2" s="3294"/>
      <c r="C2" s="3294"/>
      <c r="D2" s="904" t="s">
        <v>1732</v>
      </c>
      <c r="E2" s="1794" t="s">
        <v>1733</v>
      </c>
      <c r="F2" s="2856"/>
      <c r="G2" s="2847"/>
      <c r="H2" s="2848"/>
      <c r="I2" s="2518" t="s">
        <v>1757</v>
      </c>
      <c r="J2" s="2856"/>
      <c r="K2" s="2856"/>
      <c r="L2" s="2856"/>
      <c r="M2" s="2856"/>
      <c r="N2" s="2858"/>
      <c r="O2" s="2856"/>
      <c r="P2" s="2856"/>
    </row>
    <row r="3" spans="1:16" ht="15.75" thickBot="1">
      <c r="A3" s="3295" t="s">
        <v>1730</v>
      </c>
      <c r="B3" s="3295"/>
      <c r="C3" s="3295"/>
      <c r="D3" s="46">
        <f>'数据-基础表'!AY6</f>
        <v>13382.27</v>
      </c>
      <c r="E3" s="46">
        <f>'数据-基础表'!AZ5</f>
        <v>24804.469999999998</v>
      </c>
      <c r="F3" s="2856"/>
      <c r="G3" s="1279"/>
      <c r="H3" s="1157" t="s">
        <v>1731</v>
      </c>
      <c r="I3" s="964">
        <f>ROUND('数据-基础表'!B3/'数据-基础表'!A3,2)</f>
        <v>1.85</v>
      </c>
      <c r="J3" s="2856"/>
      <c r="K3" s="2856"/>
      <c r="L3" s="2856"/>
      <c r="M3" s="2856"/>
      <c r="N3" s="2858"/>
      <c r="O3" s="2856"/>
      <c r="P3" s="2856"/>
    </row>
    <row r="4" spans="1:16" ht="15">
      <c r="A4" s="3296"/>
      <c r="B4" s="3297"/>
      <c r="C4" s="3298"/>
      <c r="D4" s="1796" t="s">
        <v>1732</v>
      </c>
      <c r="E4" s="1797" t="s">
        <v>1733</v>
      </c>
      <c r="F4" s="2856"/>
      <c r="G4" s="2849" t="s">
        <v>1758</v>
      </c>
      <c r="H4" s="1157" t="s">
        <v>1738</v>
      </c>
      <c r="I4" s="964">
        <f>ROUND(SUMIF('数据-基础表'!I9:AS9,"地上",'数据-基础表'!I5:AS5)/'数据-基础表'!A3,2)</f>
        <v>1.47</v>
      </c>
      <c r="J4" s="2856"/>
      <c r="K4" s="2856"/>
      <c r="L4" s="2856"/>
      <c r="M4" s="2856"/>
      <c r="N4" s="2858"/>
      <c r="O4" s="2856"/>
      <c r="P4" s="2856"/>
    </row>
    <row r="5" spans="1:16">
      <c r="A5" s="47" t="s">
        <v>1734</v>
      </c>
      <c r="B5" s="3299" t="s">
        <v>1735</v>
      </c>
      <c r="C5" s="3299"/>
      <c r="D5" s="48">
        <f>ROUND($D$3*E5/$E$3,2)</f>
        <v>0</v>
      </c>
      <c r="E5" s="49">
        <f>SUMIF('数据-基础表'!$11:$11,"住宅",'数据-基础表'!$5:$5)</f>
        <v>0</v>
      </c>
      <c r="F5" s="2856"/>
      <c r="G5" s="1279"/>
      <c r="H5" s="1157" t="s">
        <v>1731</v>
      </c>
      <c r="I5" s="964">
        <f>ROUND(E31/D31,2)</f>
        <v>1.85</v>
      </c>
      <c r="J5" s="2856"/>
      <c r="K5" s="2856"/>
      <c r="L5" s="2856"/>
      <c r="M5" s="2856"/>
      <c r="N5" s="2856"/>
      <c r="O5" s="2856"/>
      <c r="P5" s="2856"/>
    </row>
    <row r="6" spans="1:16" ht="15" thickBot="1">
      <c r="A6" s="1799"/>
      <c r="B6" s="3299" t="s">
        <v>1736</v>
      </c>
      <c r="C6" s="3299"/>
      <c r="D6" s="48">
        <f>ROUND($D$3*E6/$E$3,2)</f>
        <v>13382.27</v>
      </c>
      <c r="E6" s="49">
        <f>E3-E5</f>
        <v>24804.469999999998</v>
      </c>
      <c r="F6" s="2856"/>
      <c r="G6" s="2850" t="s">
        <v>1737</v>
      </c>
      <c r="H6" s="1280" t="s">
        <v>1738</v>
      </c>
      <c r="I6" s="2851">
        <f>ROUND(F31/D31,2)</f>
        <v>1.52</v>
      </c>
      <c r="J6" s="2856"/>
      <c r="K6" s="2856"/>
      <c r="L6" s="2856"/>
      <c r="M6" s="2856"/>
      <c r="N6" s="2856"/>
      <c r="O6" s="2856"/>
      <c r="P6" s="2856"/>
    </row>
    <row r="7" spans="1:16" ht="15.75" thickBot="1">
      <c r="A7" s="3291"/>
      <c r="B7" s="3292"/>
      <c r="C7" s="3293"/>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10772.17</v>
      </c>
      <c r="E8" s="51">
        <f>SUMIF('数据-基础表'!BB10:BK10,"地上",'数据-基础表'!BB5:BK5)</f>
        <v>19966.57</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10772.17</v>
      </c>
      <c r="E16" s="53">
        <f>SUM(E8:E15)</f>
        <v>19966.57</v>
      </c>
      <c r="F16" s="2856"/>
      <c r="G16" s="2857"/>
      <c r="H16" s="1803" t="s">
        <v>1760</v>
      </c>
      <c r="I16" s="1804"/>
      <c r="J16" s="1273"/>
      <c r="K16" s="3288" t="s">
        <v>1760</v>
      </c>
      <c r="L16" s="3289"/>
      <c r="M16" s="3289"/>
      <c r="N16" s="3289"/>
      <c r="O16" s="3289"/>
      <c r="P16" s="3290"/>
    </row>
    <row r="17" spans="1:19" ht="15">
      <c r="A17" s="1805" t="s">
        <v>1761</v>
      </c>
      <c r="B17" s="1806" t="s">
        <v>1762</v>
      </c>
      <c r="C17" s="1807" t="s">
        <v>1763</v>
      </c>
      <c r="D17" s="1808" t="s">
        <v>1751</v>
      </c>
      <c r="E17" s="1809" t="s">
        <v>1752</v>
      </c>
      <c r="F17" s="1810"/>
      <c r="G17" s="1811"/>
      <c r="H17" s="1812" t="s">
        <v>1764</v>
      </c>
      <c r="I17" s="1813" t="s">
        <v>1749</v>
      </c>
      <c r="J17" s="1273"/>
      <c r="K17" s="3285" t="s">
        <v>1765</v>
      </c>
      <c r="L17" s="3286"/>
      <c r="M17" s="3287"/>
      <c r="N17" s="3285" t="s">
        <v>1766</v>
      </c>
      <c r="O17" s="3286"/>
      <c r="P17" s="3287"/>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9" t="s">
        <v>3156</v>
      </c>
      <c r="D19" s="48">
        <f>ROUND($D$3*E19/$E$3,2)</f>
        <v>13184.93</v>
      </c>
      <c r="E19" s="56">
        <f t="shared" ref="E19:E26" si="1">SUM(F19:G19)</f>
        <v>24438.69</v>
      </c>
      <c r="F19" s="2996">
        <f>'数据-基础表'!I13</f>
        <v>19966.57</v>
      </c>
      <c r="G19" s="2997">
        <f>'数据-基础表'!K13</f>
        <v>4472.12</v>
      </c>
      <c r="H19" s="679">
        <f>ROUND($D$3*I19/$E$3,2)</f>
        <v>197.34</v>
      </c>
      <c r="I19" s="51">
        <f t="shared" ref="I19:I26" si="2">IF($I$17="自定义",P19,M19)</f>
        <v>365.78</v>
      </c>
      <c r="J19" s="1273"/>
      <c r="K19" s="1272">
        <f t="shared" ref="K19:K26" si="3">ROUND(E$28*E19/E$27,2)</f>
        <v>365.78</v>
      </c>
      <c r="L19" s="1157">
        <f t="shared" ref="L19:L26" si="4">ROUND(IF(COUNTIF(C19,"*住宅*")&gt;0,E$29*E19/E$32,0),2)</f>
        <v>0</v>
      </c>
      <c r="M19" s="1284">
        <f>K19+L19</f>
        <v>365.78</v>
      </c>
      <c r="N19" s="1824"/>
      <c r="O19" s="1825"/>
      <c r="P19" s="1284">
        <f>N19+O19</f>
        <v>0</v>
      </c>
      <c r="R19" s="1157">
        <f t="shared" ref="R19:S26" si="5">D19+H19</f>
        <v>13382.27</v>
      </c>
      <c r="S19" s="1158">
        <f t="shared" si="5"/>
        <v>24804.469999999998</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13184.93</v>
      </c>
      <c r="E27" s="1275">
        <f>IF(SUM(E19:E26)='数据-基础表'!BA5,SUM(E19:E26),IF(F27="地上面积有误","面积有误","地下面积有误"))</f>
        <v>24438.69</v>
      </c>
      <c r="F27" s="1274">
        <f>IF(SUM(F19:F26)=E8,SUM(F19:F26),"地上面积有误")</f>
        <v>19966.57</v>
      </c>
      <c r="G27" s="1276">
        <f>SUM(G19:G26)</f>
        <v>4472.12</v>
      </c>
      <c r="H27" s="1277">
        <f>SUM(H19:H26)</f>
        <v>197.34</v>
      </c>
      <c r="I27" s="1278">
        <f>SUM(I19:I26)</f>
        <v>365.78</v>
      </c>
      <c r="J27" s="1273"/>
      <c r="K27" s="1281">
        <f>SUM(K19:K26)</f>
        <v>365.78</v>
      </c>
      <c r="L27" s="1282">
        <f>SUM(L19:L26)</f>
        <v>0</v>
      </c>
      <c r="M27" s="1285">
        <f>SUM(M19:M26)</f>
        <v>365.78</v>
      </c>
      <c r="N27" s="1281">
        <f t="shared" ref="N27:O27" si="10">SUM(N19:N26)</f>
        <v>0</v>
      </c>
      <c r="O27" s="1282">
        <f t="shared" si="10"/>
        <v>0</v>
      </c>
      <c r="P27" s="1283">
        <f>SUM(P19:P26)</f>
        <v>0</v>
      </c>
      <c r="R27" s="1159">
        <f>IF(SUM(R19:R26)=$D$3,SUM(R19:R26),SUM(R19:R26)&amp;"误差"&amp;ROUND(SUM(R19:R26)-$D$3,2))</f>
        <v>13382.27</v>
      </c>
      <c r="S27" s="1157">
        <f>IF(SUM(S19:S26)=$E$3,SUM(S19:S26),SUM(S19:S26)&amp;"误差"&amp;ROUND(SUM(S19:S26)-E3,2))</f>
        <v>24804.469999999998</v>
      </c>
    </row>
    <row r="28" spans="1:19">
      <c r="A28" s="1826"/>
      <c r="B28" s="50" t="s">
        <v>1780</v>
      </c>
      <c r="C28" s="1169" t="s">
        <v>1781</v>
      </c>
      <c r="D28" s="48">
        <f>ROUND($D$3*E28/$E$3,2)</f>
        <v>197.34</v>
      </c>
      <c r="E28" s="56">
        <f>SUM(F28:G28)</f>
        <v>365.78</v>
      </c>
      <c r="F28" s="60">
        <f>'数据-基础表'!BQ5+'数据-基础表'!BS5</f>
        <v>365.78</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197.34</v>
      </c>
      <c r="E30" s="1274">
        <f>SUM(E28:E29)</f>
        <v>365.78</v>
      </c>
      <c r="F30" s="1274">
        <f>SUM(F28:F29)</f>
        <v>365.78</v>
      </c>
      <c r="G30" s="1276">
        <f>SUM(G28:G29)</f>
        <v>0</v>
      </c>
      <c r="H30" s="2856"/>
      <c r="I30" s="2856"/>
      <c r="J30" s="2856"/>
      <c r="K30" s="2856"/>
      <c r="L30" s="2856"/>
      <c r="M30" s="2856"/>
      <c r="N30" s="2856"/>
      <c r="O30" s="2856"/>
      <c r="P30" s="2856"/>
    </row>
    <row r="31" spans="1:19" ht="15.75" thickBot="1">
      <c r="A31" s="1832"/>
      <c r="B31" s="1833"/>
      <c r="C31" s="944" t="s">
        <v>1783</v>
      </c>
      <c r="D31" s="685">
        <f>D27+D30</f>
        <v>13382.27</v>
      </c>
      <c r="E31" s="685">
        <f>E27+E30</f>
        <v>24804.469999999998</v>
      </c>
      <c r="F31" s="686">
        <f>F27+F30</f>
        <v>20332.349999999999</v>
      </c>
      <c r="G31" s="687">
        <f>G27+G30</f>
        <v>4472.12</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C6" activePane="bottomRight" state="frozen"/>
      <selection activeCell="C50" sqref="C50"/>
      <selection pane="topRight" activeCell="C50" sqref="C50"/>
      <selection pane="bottomLeft" activeCell="C50" sqref="C50"/>
      <selection pane="bottomRight" activeCell="AQ23" sqref="AQ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44642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3158</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59665</v>
      </c>
      <c r="F6" s="68">
        <f>SUMIF(项目基本情况!D$12:I$12,C6,项目基本情况!D$15:I$15)</f>
        <v>41.15</v>
      </c>
      <c r="G6" s="69">
        <f>IF(ISERROR(ROUND(POWER(1+H6,D6-F6)*(POWER(1+H6,F6)-1)/(POWER(1+H6,D6)-1),3)),0,ROUND(POWER(1+H6,D6-F6)*(POWER(1+H6,F6)-1)/(POWER(1+H6,D6)-1),3))</f>
        <v>0.94099999999999995</v>
      </c>
      <c r="H6" s="741">
        <v>4.4999999999999998E-2</v>
      </c>
      <c r="I6" s="741">
        <v>0.05</v>
      </c>
      <c r="J6" s="70">
        <v>6.5000000000000002E-2</v>
      </c>
      <c r="K6" s="1161">
        <f>SUMIF('数据-汇总表'!C$19:C$33,A6,'数据-汇总表'!E$19:E$33)</f>
        <v>24438.69</v>
      </c>
      <c r="L6" s="742">
        <v>3500</v>
      </c>
      <c r="M6" s="71">
        <f t="shared" ref="M6:M14" si="0">ROUND(K6*L6/10000,0)</f>
        <v>8554</v>
      </c>
      <c r="N6" s="740">
        <f>ROUND(1-(2022-2019)/60,2)</f>
        <v>0.95</v>
      </c>
      <c r="O6" s="71" t="str">
        <f>IF($N$5="成新度","——",ROUND(M6*N6,0))</f>
        <v>——</v>
      </c>
      <c r="P6" s="72" t="str">
        <f>IF($N$5="成新度","——",M6-O6)</f>
        <v>——</v>
      </c>
      <c r="Q6" s="743">
        <v>0.15</v>
      </c>
      <c r="R6" s="73">
        <f ca="1">SUMIF('数据-汇总表'!C$19:C$33,A6,'数据-汇总表'!R$19:R$27)</f>
        <v>13382.27</v>
      </c>
      <c r="S6" s="54">
        <f>IF('数据-汇总表'!$I$17="按面积比例",SUMIF('数据-汇总表'!C$19:C$33,A6,'数据-汇总表'!K$19:K$33),SUMIF('数据-汇总表'!C$19:C$33,A6,'数据-汇总表'!N$19:N$33))</f>
        <v>365.78</v>
      </c>
      <c r="T6" s="1306">
        <f>ROUND($L$14*S6/10000,0)</f>
        <v>128</v>
      </c>
      <c r="U6" s="74">
        <f>U25</f>
        <v>2.19</v>
      </c>
      <c r="V6" s="75">
        <v>0.03</v>
      </c>
      <c r="W6" s="75">
        <v>0.1</v>
      </c>
      <c r="X6" s="1171"/>
      <c r="Y6" s="76">
        <f>N6</f>
        <v>0.95</v>
      </c>
      <c r="Z6" s="77"/>
      <c r="AA6" s="70"/>
      <c r="AB6" s="70"/>
      <c r="AC6" s="1171"/>
      <c r="AD6" s="78"/>
      <c r="AE6" s="1172">
        <f ca="1">IF(AN6="",0,SUMIF(INDIRECT("'"&amp;AN6&amp;"'"&amp;"!E:E"),$AE$5,INDIRECT("'"&amp;AN6&amp;"'"&amp;"!F:F")))</f>
        <v>41.15</v>
      </c>
      <c r="AF6" s="1502"/>
      <c r="AG6" s="143">
        <f>IF(AF6="",0,AE6-AF6)</f>
        <v>0</v>
      </c>
      <c r="AH6" s="79"/>
      <c r="AI6" s="81">
        <v>365</v>
      </c>
      <c r="AJ6" s="82"/>
      <c r="AK6" s="83">
        <v>5.0000000000000001E-3</v>
      </c>
      <c r="AL6" s="84">
        <v>1E-3</v>
      </c>
      <c r="AM6" s="85">
        <v>0.02</v>
      </c>
      <c r="AN6" s="1871" t="s">
        <v>3159</v>
      </c>
      <c r="AO6" s="55">
        <f ca="1">SUMIF(INDIRECT("'"&amp;AN6&amp;"'"&amp;"!A:A"),"总价",INDIRECT("'"&amp;AN6&amp;"'"&amp;"!B:B"))</f>
        <v>37297</v>
      </c>
      <c r="AP6" s="1872">
        <f>IF(C6="住宅",K6*L6,0)</f>
        <v>0</v>
      </c>
      <c r="AQ6" s="55">
        <f>ROUND($L$14*$N$14*S6/10000,0)</f>
        <v>0</v>
      </c>
      <c r="AR6" s="55">
        <f>ROUND($L$14*(1-$N$14)*S6/10000,0)</f>
        <v>128</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365.78</v>
      </c>
      <c r="L14" s="87">
        <v>3500</v>
      </c>
      <c r="M14" s="71">
        <f t="shared" si="0"/>
        <v>128</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0.94099999999999995</v>
      </c>
      <c r="H16" s="95">
        <f>ROUND(SUMPRODUCT(H6:H13,K6:K13)/SUMPRODUCT((H6:H13&gt;0)*(K6:K13)),3)</f>
        <v>4.4999999999999998E-2</v>
      </c>
      <c r="I16" s="96"/>
      <c r="J16" s="96"/>
      <c r="K16" s="97">
        <f>SUM(K6:K15)</f>
        <v>24804.469999999998</v>
      </c>
      <c r="L16" s="98">
        <f>ROUND(M16*10000/SUM(K6:K14),0)</f>
        <v>3500</v>
      </c>
      <c r="M16" s="98">
        <f>SUM(M6:M14)</f>
        <v>8682</v>
      </c>
      <c r="N16" s="99">
        <f>ROUND(SUMPRODUCT(M6:M14,N6:N14)/M16,3)</f>
        <v>0.93600000000000005</v>
      </c>
      <c r="O16" s="98">
        <f>SUM(O6:O14)</f>
        <v>0</v>
      </c>
      <c r="P16" s="98">
        <f>SUM(P6:P14)</f>
        <v>0</v>
      </c>
      <c r="Q16" s="100">
        <f>ROUND(SUMPRODUCT(Q6:Q13,K6:K13)/SUMPRODUCT((Q6:Q13&gt;0)*(K6:K13)),2)</f>
        <v>0.15</v>
      </c>
      <c r="R16" s="1165">
        <f ca="1">SUM(R6:R13)</f>
        <v>13382.27</v>
      </c>
      <c r="S16" s="101">
        <f>SUM(S6:S13)</f>
        <v>365.78</v>
      </c>
      <c r="T16" s="102">
        <f>IF(SUMIF(T6:T13,"&lt;9E307")=M14,SUMIF(T6:T13,"&lt;9E307"),"有误，请检查")</f>
        <v>128</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2989</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f ca="1">结果表!J20</f>
        <v>271</v>
      </c>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2870"/>
      <c r="O23" s="2870"/>
      <c r="P23" s="2870"/>
      <c r="Q23" s="2870"/>
      <c r="R23" s="2870"/>
      <c r="S23" s="2870"/>
      <c r="T23" s="2870">
        <f>'数据-汇总表'!F19</f>
        <v>19966.57</v>
      </c>
      <c r="U23" s="2870">
        <v>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f>'数据-汇总表'!G19</f>
        <v>4472.12</v>
      </c>
      <c r="U24" s="2870">
        <v>0.8</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f>T23+T24</f>
        <v>24438.69</v>
      </c>
      <c r="U25" s="2870">
        <f>ROUND((U23*T23+U24*T24)/T25,2)</f>
        <v>2.19</v>
      </c>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160</v>
      </c>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496</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2985</v>
      </c>
      <c r="D38" s="2875"/>
      <c r="E38" s="2872"/>
      <c r="F38" s="2872"/>
      <c r="G38" s="2872"/>
      <c r="H38" s="2872"/>
      <c r="I38" s="2872"/>
      <c r="J38" s="2872">
        <f ca="1">结果表!J20</f>
        <v>271</v>
      </c>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3157</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3</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523</v>
      </c>
      <c r="C53" s="2858" t="s">
        <v>1871</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2972</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24804.469999999998</v>
      </c>
      <c r="C1" s="2885"/>
      <c r="D1" s="2885"/>
      <c r="E1" s="2885"/>
      <c r="F1" s="2885"/>
      <c r="G1" s="2886"/>
      <c r="H1" s="2887"/>
      <c r="I1" s="2887"/>
      <c r="J1" s="2887"/>
      <c r="K1" s="2887"/>
    </row>
    <row r="2" spans="1:11" ht="16.5">
      <c r="A2" s="2708" t="s">
        <v>1259</v>
      </c>
      <c r="B2" s="2708">
        <f>SUM(C14:C23)</f>
        <v>13382.27</v>
      </c>
      <c r="C2" s="2885"/>
      <c r="D2" s="2885"/>
      <c r="E2" s="2885"/>
      <c r="F2" s="2885"/>
      <c r="G2" s="2886"/>
      <c r="H2" s="2887"/>
      <c r="I2" s="2887"/>
      <c r="J2" s="2887"/>
      <c r="K2" s="2887"/>
    </row>
    <row r="3" spans="1:11" ht="16.5">
      <c r="A3" s="2708" t="s">
        <v>1268</v>
      </c>
      <c r="B3" s="2710">
        <f>项目基本情况!D3</f>
        <v>44642</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31626</v>
      </c>
      <c r="C5" s="2708">
        <f ca="1">ROUND(B5*10000/$B$1,0)</f>
        <v>12750</v>
      </c>
      <c r="D5" s="2708">
        <f ca="1">ROUND(B5*10000/$B$2,0)</f>
        <v>23633</v>
      </c>
      <c r="E5" s="2885"/>
      <c r="F5" s="2886"/>
      <c r="G5" s="2886"/>
      <c r="H5" s="2887"/>
      <c r="I5" s="2887"/>
      <c r="J5" s="2887"/>
      <c r="K5" s="2887"/>
    </row>
    <row r="6" spans="1:11" ht="16.5">
      <c r="A6" s="2708" t="s">
        <v>1262</v>
      </c>
      <c r="B6" s="2708">
        <f ca="1">SUM(G14:G23)</f>
        <v>31626</v>
      </c>
      <c r="C6" s="2708">
        <f ca="1">ROUND(B6*10000/$B$1,0)</f>
        <v>12750</v>
      </c>
      <c r="D6" s="2708">
        <f ca="1">ROUND(B6*10000/$B$2,0)</f>
        <v>23633</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24804.469999999998</v>
      </c>
      <c r="C14" s="2714">
        <f>结果表!C118</f>
        <v>13382.27</v>
      </c>
      <c r="D14" s="2714">
        <f ca="1">结果表!H118</f>
        <v>31626</v>
      </c>
      <c r="E14" s="2714">
        <f ca="1">ROUND(D14*10000/B14,0)</f>
        <v>12750</v>
      </c>
      <c r="F14" s="2714">
        <f ca="1">ROUND(D14*10000/C14,0)</f>
        <v>23633</v>
      </c>
      <c r="G14" s="2714">
        <f ca="1">结果表!D122</f>
        <v>31626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70" zoomScaleNormal="100" zoomScaleSheetLayoutView="70" zoomScalePageLayoutView="80" workbookViewId="0">
      <selection activeCell="A96" sqref="A9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6" t="str">
        <f>项目基本情况!S2</f>
        <v>北京市房地产</v>
      </c>
      <c r="B2" s="3337"/>
      <c r="C2" s="3337"/>
      <c r="D2" s="3337"/>
      <c r="E2" s="3337"/>
      <c r="F2" s="3337"/>
      <c r="G2" s="3337"/>
      <c r="H2" s="3337"/>
      <c r="I2" s="3338"/>
    </row>
    <row r="3" spans="1:12" ht="12.75">
      <c r="A3" s="3340" t="s">
        <v>1889</v>
      </c>
      <c r="B3" s="3341"/>
      <c r="C3" s="3341"/>
      <c r="D3" s="3341"/>
      <c r="E3" s="3341"/>
      <c r="F3" s="3341"/>
      <c r="G3" s="3341"/>
      <c r="H3" s="3341"/>
      <c r="I3" s="3341"/>
    </row>
    <row r="4" spans="1:12" ht="14.25">
      <c r="A4" s="1910" t="s">
        <v>1890</v>
      </c>
      <c r="B4" s="1911" t="s">
        <v>1891</v>
      </c>
      <c r="C4" s="1912" t="s">
        <v>3169</v>
      </c>
      <c r="D4" s="1912" t="s">
        <v>3159</v>
      </c>
      <c r="E4" s="3342" t="s">
        <v>1892</v>
      </c>
      <c r="F4" s="3343"/>
      <c r="G4" s="3343"/>
      <c r="H4" s="3343"/>
      <c r="I4" s="33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1893</v>
      </c>
      <c r="B5" s="3303">
        <v>25</v>
      </c>
      <c r="C5" s="3319"/>
      <c r="D5" s="3339"/>
      <c r="E5" s="136" t="s">
        <v>1894</v>
      </c>
      <c r="F5" s="1913"/>
      <c r="G5" s="1913"/>
      <c r="H5" s="1913"/>
      <c r="I5" s="1527"/>
    </row>
    <row r="6" spans="1:12" ht="12.75">
      <c r="A6" s="3316"/>
      <c r="B6" s="3303"/>
      <c r="C6" s="3320"/>
      <c r="D6" s="3339"/>
      <c r="E6" s="136" t="s">
        <v>1895</v>
      </c>
      <c r="F6" s="1913"/>
      <c r="G6" s="1913"/>
      <c r="H6" s="1913"/>
      <c r="I6" s="1527"/>
    </row>
    <row r="7" spans="1:12" ht="12.75">
      <c r="A7" s="3316"/>
      <c r="B7" s="3303"/>
      <c r="C7" s="3321"/>
      <c r="D7" s="3339"/>
      <c r="E7" s="136" t="s">
        <v>1896</v>
      </c>
      <c r="F7" s="1913"/>
      <c r="G7" s="1913"/>
      <c r="H7" s="1913"/>
      <c r="I7" s="1527"/>
    </row>
    <row r="8" spans="1:12" ht="12.75">
      <c r="A8" s="3316" t="s">
        <v>1897</v>
      </c>
      <c r="B8" s="3303">
        <v>15</v>
      </c>
      <c r="C8" s="3319"/>
      <c r="D8" s="3339"/>
      <c r="E8" s="136" t="s">
        <v>1898</v>
      </c>
      <c r="F8" s="1913"/>
      <c r="G8" s="1913"/>
      <c r="H8" s="1913"/>
      <c r="I8" s="1527"/>
    </row>
    <row r="9" spans="1:12" ht="12.75">
      <c r="A9" s="3316"/>
      <c r="B9" s="3303"/>
      <c r="C9" s="3321"/>
      <c r="D9" s="3339"/>
      <c r="E9" s="136" t="s">
        <v>1899</v>
      </c>
      <c r="F9" s="1913"/>
      <c r="G9" s="1913"/>
      <c r="H9" s="1913"/>
      <c r="I9" s="1527"/>
    </row>
    <row r="10" spans="1:12" ht="12.75">
      <c r="A10" s="3316" t="s">
        <v>1900</v>
      </c>
      <c r="B10" s="3303">
        <v>15</v>
      </c>
      <c r="C10" s="3319"/>
      <c r="D10" s="3339"/>
      <c r="E10" s="136" t="s">
        <v>1901</v>
      </c>
      <c r="F10" s="1913"/>
      <c r="G10" s="1913"/>
      <c r="H10" s="1913"/>
      <c r="I10" s="1527"/>
    </row>
    <row r="11" spans="1:12" ht="12.75">
      <c r="A11" s="3316"/>
      <c r="B11" s="3303"/>
      <c r="C11" s="3321"/>
      <c r="D11" s="3339"/>
      <c r="E11" s="136" t="s">
        <v>1902</v>
      </c>
      <c r="F11" s="1913"/>
      <c r="G11" s="1913"/>
      <c r="H11" s="1913"/>
      <c r="I11" s="1527"/>
    </row>
    <row r="12" spans="1:12" ht="12.75">
      <c r="A12" s="3316" t="s">
        <v>1903</v>
      </c>
      <c r="B12" s="3303">
        <v>15</v>
      </c>
      <c r="C12" s="3319"/>
      <c r="D12" s="3339"/>
      <c r="E12" s="136" t="s">
        <v>1904</v>
      </c>
      <c r="F12" s="1913"/>
      <c r="G12" s="1913"/>
      <c r="H12" s="1913"/>
      <c r="I12" s="1527"/>
    </row>
    <row r="13" spans="1:12" ht="12.75">
      <c r="A13" s="3316"/>
      <c r="B13" s="3303"/>
      <c r="C13" s="3321"/>
      <c r="D13" s="3339"/>
      <c r="E13" s="136" t="s">
        <v>1905</v>
      </c>
      <c r="F13" s="1913"/>
      <c r="G13" s="1913"/>
      <c r="H13" s="1913"/>
      <c r="I13" s="1527"/>
    </row>
    <row r="14" spans="1:12" ht="12.75">
      <c r="A14" s="3316" t="s">
        <v>1906</v>
      </c>
      <c r="B14" s="3303">
        <v>30</v>
      </c>
      <c r="C14" s="3319">
        <v>3</v>
      </c>
      <c r="D14" s="3339">
        <v>7</v>
      </c>
      <c r="E14" s="136" t="s">
        <v>1907</v>
      </c>
      <c r="F14" s="1913"/>
      <c r="G14" s="1913"/>
      <c r="H14" s="1913"/>
      <c r="I14" s="1527"/>
    </row>
    <row r="15" spans="1:12" ht="12.75">
      <c r="A15" s="3316"/>
      <c r="B15" s="3303"/>
      <c r="C15" s="3320"/>
      <c r="D15" s="3339"/>
      <c r="E15" s="136" t="s">
        <v>1908</v>
      </c>
      <c r="F15" s="1913"/>
      <c r="G15" s="1913"/>
      <c r="H15" s="1913"/>
      <c r="I15" s="1527"/>
    </row>
    <row r="16" spans="1:12" ht="12.75">
      <c r="A16" s="3316"/>
      <c r="B16" s="3303"/>
      <c r="C16" s="3321"/>
      <c r="D16" s="3339"/>
      <c r="E16" s="136" t="s">
        <v>1909</v>
      </c>
      <c r="F16" s="1913"/>
      <c r="G16" s="1913"/>
      <c r="H16" s="1913"/>
      <c r="I16" s="1527"/>
    </row>
    <row r="17" spans="1:36" ht="15">
      <c r="A17" s="1914" t="s">
        <v>1910</v>
      </c>
      <c r="B17" s="60"/>
      <c r="C17" s="137">
        <f>SUM(C5:C16)</f>
        <v>3</v>
      </c>
      <c r="D17" s="137">
        <f>SUM(D5:D16)</f>
        <v>7</v>
      </c>
      <c r="E17" s="134"/>
      <c r="F17" s="134"/>
      <c r="G17" s="134"/>
      <c r="H17" s="134"/>
      <c r="I17" s="134"/>
      <c r="K17" s="308"/>
      <c r="L17" s="308" t="s">
        <v>1911</v>
      </c>
      <c r="M17" s="308" t="s">
        <v>1912</v>
      </c>
    </row>
    <row r="18" spans="1:36" ht="31.9" customHeight="1" thickBot="1">
      <c r="A18" s="1915" t="s">
        <v>1913</v>
      </c>
      <c r="B18" s="1916"/>
      <c r="C18" s="138">
        <f>ROUND(C17/SUM(C17:D17),2)</f>
        <v>0.3</v>
      </c>
      <c r="D18" s="138">
        <f>1-C18</f>
        <v>0.7</v>
      </c>
      <c r="E18" s="3326" t="s">
        <v>2813</v>
      </c>
      <c r="F18" s="3327"/>
      <c r="G18" s="3327"/>
      <c r="H18" s="3327"/>
      <c r="I18" s="3327"/>
      <c r="K18" s="308" t="s">
        <v>1914</v>
      </c>
      <c r="L18" s="308">
        <f>IF(C1="",'数据-汇总表'!E3,SUMIF(项目类型,C1,'数据-汇总表'!E17:E26)+SUMIF(项目类型,C1,'数据-汇总表'!I17:I26))</f>
        <v>24804.469999999998</v>
      </c>
      <c r="M18" s="308">
        <f>IF(C1="",'数据-汇总表'!E3,SUMIF(项目类型,C1,'数据-汇总表'!E17:E26))</f>
        <v>24804.469999999998</v>
      </c>
    </row>
    <row r="19" spans="1:36" ht="15">
      <c r="A19" s="1917" t="s">
        <v>1915</v>
      </c>
      <c r="B19" s="1918" t="s">
        <v>1916</v>
      </c>
      <c r="C19" s="139">
        <f ca="1">SUMIF(INDIRECT("'"&amp;C4&amp;"'"&amp;"!A:A"),结果表!B19,INDIRECT("'"&amp;C4&amp;"'"&amp;"!B:B"))</f>
        <v>18393</v>
      </c>
      <c r="D19" s="140">
        <f ca="1">SUMIF(INDIRECT("'"&amp;D4&amp;"'"&amp;"!A:A"),结果表!B19,INDIRECT("'"&amp;D4&amp;"'"&amp;"!B:B"))</f>
        <v>37297</v>
      </c>
      <c r="E19" s="1917" t="s">
        <v>1917</v>
      </c>
      <c r="F19" s="1918" t="s">
        <v>1916</v>
      </c>
      <c r="G19" s="141">
        <f ca="1">ROUND(C19*$C$18+D19*$D$18,0)</f>
        <v>31626</v>
      </c>
      <c r="H19" s="1919" t="s">
        <v>1918</v>
      </c>
      <c r="I19" s="134"/>
      <c r="J19" s="734">
        <f>[2]结果表!$G$19</f>
        <v>31355</v>
      </c>
      <c r="K19" s="308" t="s">
        <v>1919</v>
      </c>
      <c r="L19" s="308">
        <f>IF(C1="",'数据-汇总表'!D3,SUMIF(项目类型,C1,'数据-汇总表'!D17:D26)+SUMIF(项目类型,C1,'数据-汇总表'!H17:H27))</f>
        <v>13382.27</v>
      </c>
      <c r="M19" s="308">
        <f>IF(C1="",'数据-汇总表'!D3,SUMIF(项目类型,C1,'数据-汇总表'!D17:D26))</f>
        <v>13382.27</v>
      </c>
    </row>
    <row r="20" spans="1:36" ht="15">
      <c r="A20" s="1920"/>
      <c r="B20" s="1157" t="s">
        <v>1920</v>
      </c>
      <c r="C20" s="142">
        <f ca="1">SUMIF(INDIRECT("'"&amp;C4&amp;"'"&amp;"!A:A"),结果表!B20,INDIRECT("'"&amp;C4&amp;"'"&amp;"!B:B"))</f>
        <v>7415</v>
      </c>
      <c r="D20" s="143">
        <f ca="1">SUMIF(INDIRECT("'"&amp;D4&amp;"'"&amp;"!A:A"),结果表!B20,INDIRECT("'"&amp;D4&amp;"'"&amp;"!B:B"))</f>
        <v>15261</v>
      </c>
      <c r="E20" s="1920"/>
      <c r="F20" s="1157" t="s">
        <v>1920</v>
      </c>
      <c r="G20" s="144">
        <f ca="1">ROUND(C20*$C$18+D20*$D$18,0)</f>
        <v>12907</v>
      </c>
      <c r="H20" s="917" t="s">
        <v>1921</v>
      </c>
      <c r="I20" s="134"/>
      <c r="J20" s="734">
        <f ca="1">G19-J19</f>
        <v>271</v>
      </c>
    </row>
    <row r="21" spans="1:36" ht="15" customHeight="1" thickBot="1">
      <c r="A21" s="937"/>
      <c r="B21" s="1921" t="s">
        <v>1922</v>
      </c>
      <c r="C21" s="728">
        <f ca="1">ROUND(C19*10000/L19,0)</f>
        <v>13744</v>
      </c>
      <c r="D21" s="729">
        <f ca="1">ROUND(D19*10000/L19,0)</f>
        <v>27870</v>
      </c>
      <c r="E21" s="937"/>
      <c r="F21" s="1921" t="s">
        <v>1922</v>
      </c>
      <c r="G21" s="145">
        <f ca="1">ROUND(G19*10000/L19,0)</f>
        <v>23633</v>
      </c>
      <c r="H21" s="1922" t="s">
        <v>1921</v>
      </c>
      <c r="I21" s="134"/>
    </row>
    <row r="22" spans="1:36" ht="15" thickBot="1">
      <c r="A22" s="1844" t="s">
        <v>1923</v>
      </c>
      <c r="B22" s="1923"/>
      <c r="C22" s="1924"/>
      <c r="D22" s="730">
        <f ca="1">IF(C19&lt;D19,D19/C19-1,C19/D19-1)</f>
        <v>1.0277823084869242</v>
      </c>
      <c r="E22" s="134"/>
      <c r="F22" s="134"/>
      <c r="G22" s="134"/>
      <c r="H22" s="134"/>
      <c r="I22" s="134"/>
    </row>
    <row r="23" spans="1:36" ht="13.5" thickBot="1">
      <c r="A23" s="1903"/>
      <c r="B23" s="1903"/>
      <c r="C23" s="1903"/>
      <c r="D23" s="1903"/>
      <c r="E23" s="134"/>
      <c r="F23" s="134"/>
      <c r="G23" s="134"/>
      <c r="H23" s="134"/>
      <c r="I23" s="134"/>
    </row>
    <row r="24" spans="1:36" ht="14.25">
      <c r="A24" s="3310" t="s">
        <v>1924</v>
      </c>
      <c r="B24" s="1918" t="s">
        <v>1916</v>
      </c>
      <c r="C24" s="141">
        <f>IF(B30=0,0,D30)</f>
        <v>0</v>
      </c>
      <c r="D24" s="1925"/>
      <c r="E24" s="134"/>
      <c r="F24" s="134"/>
      <c r="G24" s="134"/>
      <c r="H24" s="134"/>
      <c r="I24" s="134"/>
    </row>
    <row r="25" spans="1:36" ht="14.25">
      <c r="A25" s="3311"/>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31626</v>
      </c>
      <c r="D32" s="1931" t="s">
        <v>3163</v>
      </c>
      <c r="E32" s="134"/>
      <c r="F32" s="134"/>
      <c r="G32" s="134"/>
      <c r="H32" s="134"/>
      <c r="I32" s="134"/>
    </row>
    <row r="33" spans="1:15" ht="15">
      <c r="A33" s="894" t="s">
        <v>1931</v>
      </c>
      <c r="B33" s="1932"/>
      <c r="C33" s="1933" t="s">
        <v>3172</v>
      </c>
      <c r="D33" s="1934" t="s">
        <v>3169</v>
      </c>
      <c r="E33" s="1935" t="s">
        <v>1932</v>
      </c>
      <c r="F33" s="1936" t="str">
        <f>IF(D32="楼面单价","取值（单价）","取值（总价）")</f>
        <v>取值（总价）</v>
      </c>
      <c r="G33" s="134"/>
      <c r="H33" s="134"/>
      <c r="I33" s="134"/>
    </row>
    <row r="34" spans="1:15" ht="15">
      <c r="A34" s="1937"/>
      <c r="B34" s="1938" t="s">
        <v>1933</v>
      </c>
      <c r="C34" s="153">
        <f ca="1">IF(C33="自定义",F34,C32-C35)</f>
        <v>11543</v>
      </c>
      <c r="D34" s="970">
        <f ca="1">IF(C33="自定义",ROUND(C34/C32,3),IF(C33="收益比率",SUMIF(INDIRECT("'"&amp;D33&amp;"'"&amp;"!b:b"),"土地收益比率",INDIRECT("'"&amp;D33&amp;"'"&amp;"!c:c")),SUMIF(INDIRECT("'"&amp;D33&amp;"'"&amp;"!b:b"),"土地成本比率",INDIRECT("'"&amp;D33&amp;"'"&amp;"!c:c"))))</f>
        <v>0.36499999999999999</v>
      </c>
      <c r="E34" s="1939" t="s">
        <v>1934</v>
      </c>
      <c r="F34" s="1470"/>
      <c r="G34" s="134"/>
      <c r="H34" s="134"/>
      <c r="I34" s="134"/>
    </row>
    <row r="35" spans="1:15" ht="15.75" thickBot="1">
      <c r="A35" s="1940"/>
      <c r="B35" s="1941" t="s">
        <v>1935</v>
      </c>
      <c r="C35" s="1304">
        <f ca="1">IF(C33="自定义",F35,ROUND(C32*D35,0))</f>
        <v>20083</v>
      </c>
      <c r="D35" s="1305">
        <f ca="1">IF(C33="自定义",ROUND(C35/C32,3),IF(C33="收益比率",SUMIF(INDIRECT("'"&amp;D33&amp;"'"&amp;"!b:b"),"建筑物收益比率",INDIRECT("'"&amp;D33&amp;"'"&amp;"!c:c")),SUMIF(INDIRECT("'"&amp;D33&amp;"'"&amp;"!b:b"),"建筑物成本比率",INDIRECT("'"&amp;D33&amp;"'"&amp;"!c:c"))))</f>
        <v>0.63500000000000001</v>
      </c>
      <c r="E35" s="1942" t="s">
        <v>1936</v>
      </c>
      <c r="F35" s="159"/>
      <c r="G35" s="134"/>
      <c r="H35" s="134"/>
      <c r="I35" s="134"/>
    </row>
    <row r="36" spans="1:15" ht="15.75" thickBot="1">
      <c r="A36" s="3330" t="s">
        <v>1937</v>
      </c>
      <c r="B36" s="1943" t="s">
        <v>1938</v>
      </c>
      <c r="C36" s="150"/>
      <c r="D36" s="1944"/>
      <c r="E36" s="1945"/>
      <c r="F36" s="1946"/>
      <c r="G36" s="134"/>
      <c r="H36" s="134"/>
      <c r="I36" s="134"/>
    </row>
    <row r="37" spans="1:15" ht="15.75" thickBot="1">
      <c r="A37" s="3331"/>
      <c r="B37" s="1830" t="s">
        <v>1939</v>
      </c>
      <c r="C37" s="152"/>
      <c r="D37" s="1273"/>
      <c r="E37" s="1273"/>
      <c r="F37" s="1946"/>
      <c r="G37" s="134"/>
      <c r="H37" s="134"/>
      <c r="I37" s="134"/>
    </row>
    <row r="38" spans="1:15" ht="15.75" thickBot="1">
      <c r="A38" s="333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07" t="s">
        <v>1951</v>
      </c>
      <c r="B45" s="3308"/>
      <c r="C45" s="3309"/>
      <c r="D45" s="160">
        <f ca="1">ROUND(H101*F45,0)</f>
        <v>31626</v>
      </c>
      <c r="E45" s="161" t="s">
        <v>1952</v>
      </c>
      <c r="F45" s="162">
        <v>1</v>
      </c>
      <c r="G45" s="163" t="s">
        <v>1953</v>
      </c>
      <c r="H45" s="134"/>
      <c r="I45" s="134"/>
      <c r="J45" s="3388" t="s">
        <v>1954</v>
      </c>
      <c r="K45" s="3388"/>
      <c r="L45" s="3388"/>
      <c r="M45" s="3388"/>
      <c r="N45" s="3388"/>
      <c r="O45" s="3388"/>
    </row>
    <row r="46" spans="1:15" ht="14.25" customHeight="1">
      <c r="A46" s="3304" t="s">
        <v>1955</v>
      </c>
      <c r="B46" s="3305"/>
      <c r="C46" s="3305"/>
      <c r="D46" s="3305"/>
      <c r="E46" s="3305"/>
      <c r="F46" s="3305"/>
      <c r="G46" s="3306"/>
      <c r="H46" s="1962"/>
      <c r="I46" s="164"/>
      <c r="J46" s="2719">
        <v>1</v>
      </c>
      <c r="K46" s="3369" t="s">
        <v>1956</v>
      </c>
      <c r="L46" s="3369"/>
      <c r="M46" s="3389"/>
      <c r="N46" s="3389"/>
      <c r="O46" s="3389"/>
    </row>
    <row r="47" spans="1:15" ht="12" customHeight="1">
      <c r="A47" s="165" t="s">
        <v>1957</v>
      </c>
      <c r="B47" s="166"/>
      <c r="C47" s="167"/>
      <c r="D47" s="1219" t="s">
        <v>1958</v>
      </c>
      <c r="E47" s="308" t="s">
        <v>1959</v>
      </c>
      <c r="F47" s="168" t="s">
        <v>1960</v>
      </c>
      <c r="G47" s="2742" t="s">
        <v>1961</v>
      </c>
      <c r="H47" s="2743"/>
      <c r="I47" s="164"/>
      <c r="J47" s="2719">
        <v>2</v>
      </c>
      <c r="K47" s="3369" t="s">
        <v>1962</v>
      </c>
      <c r="L47" s="3369"/>
      <c r="M47" s="3390">
        <f>'数据-取费表'!B2</f>
        <v>44642</v>
      </c>
      <c r="N47" s="3390"/>
      <c r="O47" s="3390"/>
    </row>
    <row r="48" spans="1:15" ht="25.5">
      <c r="A48" s="3335" t="s">
        <v>1963</v>
      </c>
      <c r="B48" s="3318"/>
      <c r="C48" s="3318"/>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69" t="s">
        <v>1965</v>
      </c>
      <c r="L48" s="3369"/>
      <c r="M48" s="3391">
        <f ca="1">H101</f>
        <v>31626</v>
      </c>
      <c r="N48" s="3391"/>
      <c r="O48" s="3391"/>
    </row>
    <row r="49" spans="1:35" ht="25.5" customHeight="1">
      <c r="A49" s="2526" t="s">
        <v>1966</v>
      </c>
      <c r="B49" s="3302" t="s">
        <v>1967</v>
      </c>
      <c r="C49" s="3302"/>
      <c r="D49" s="1745">
        <v>0</v>
      </c>
      <c r="E49" s="330" t="s">
        <v>1968</v>
      </c>
      <c r="F49" s="2620" t="s">
        <v>34</v>
      </c>
      <c r="G49" s="3375"/>
      <c r="H49" s="2498" t="s">
        <v>2816</v>
      </c>
      <c r="I49" s="2499"/>
      <c r="J49" s="2719">
        <v>4</v>
      </c>
      <c r="K49" s="3369" t="str">
        <f>IF(项目基本情况!E8="房地产抵押价值","房地产抵押价值","抵押担保权已注销时的房地产抵押价值")</f>
        <v>房地产抵押价值</v>
      </c>
      <c r="L49" s="3369"/>
      <c r="M49" s="3391">
        <f ca="1">IF(项目基本情况!E8="房地产抵押价值",H107,H109)</f>
        <v>31626</v>
      </c>
      <c r="N49" s="3391"/>
      <c r="O49" s="3391"/>
    </row>
    <row r="50" spans="1:35" ht="25.5" customHeight="1">
      <c r="A50" s="2747"/>
      <c r="B50" s="3302" t="s">
        <v>1969</v>
      </c>
      <c r="C50" s="3302"/>
      <c r="D50" s="2748"/>
      <c r="E50" s="338"/>
      <c r="F50" s="2620"/>
      <c r="G50" s="3376"/>
      <c r="H50" s="2500" t="s">
        <v>2817</v>
      </c>
      <c r="I50" s="2499"/>
      <c r="J50" s="3388" t="s">
        <v>1970</v>
      </c>
      <c r="K50" s="3388"/>
      <c r="L50" s="3388"/>
      <c r="M50" s="3388"/>
      <c r="N50" s="3388"/>
      <c r="O50" s="3388"/>
    </row>
    <row r="51" spans="1:35" ht="20.45" customHeight="1">
      <c r="A51" s="2749"/>
      <c r="B51" s="3302" t="s">
        <v>1971</v>
      </c>
      <c r="C51" s="3302"/>
      <c r="D51" s="1219"/>
      <c r="E51" s="333"/>
      <c r="F51" s="2620"/>
      <c r="G51" s="3377"/>
      <c r="H51" s="2500" t="s">
        <v>2818</v>
      </c>
      <c r="I51" s="2499"/>
      <c r="J51" s="2720" t="s">
        <v>1972</v>
      </c>
      <c r="K51" s="3369" t="s">
        <v>1973</v>
      </c>
      <c r="L51" s="3369"/>
      <c r="M51" s="2720" t="s">
        <v>1974</v>
      </c>
      <c r="N51" s="2720" t="s">
        <v>1975</v>
      </c>
      <c r="O51" s="2720" t="s">
        <v>1976</v>
      </c>
    </row>
    <row r="52" spans="1:35" ht="24" customHeight="1">
      <c r="A52" s="2528" t="s">
        <v>1977</v>
      </c>
      <c r="B52" s="3302" t="s">
        <v>1978</v>
      </c>
      <c r="C52" s="3302"/>
      <c r="D52" s="1219">
        <f ca="1">ROUND(D45*'数据-取费表'!B41/(1+'数据-取费表'!C42),0)</f>
        <v>1657</v>
      </c>
      <c r="E52" s="2527" t="s">
        <v>1979</v>
      </c>
      <c r="F52" s="2750">
        <f>'数据-取费表'!B41</f>
        <v>5.5000000000000007E-2</v>
      </c>
      <c r="G52" s="2751"/>
      <c r="H52" s="2740"/>
      <c r="I52" s="1963"/>
      <c r="J52" s="2719">
        <v>1</v>
      </c>
      <c r="K52" s="3370" t="s">
        <v>1980</v>
      </c>
      <c r="L52" s="3370"/>
      <c r="M52" s="2721" t="b">
        <f>D48</f>
        <v>0</v>
      </c>
      <c r="N52" s="2719" t="str">
        <f>E48</f>
        <v>销售额×税（费）率</v>
      </c>
      <c r="O52" s="2722">
        <f>F48</f>
        <v>5.5000000000000007E-2</v>
      </c>
    </row>
    <row r="53" spans="1:35" ht="12" customHeight="1">
      <c r="A53" s="2528" t="s">
        <v>1981</v>
      </c>
      <c r="B53" s="3328" t="s">
        <v>2977</v>
      </c>
      <c r="C53" s="3329"/>
      <c r="D53" s="1219">
        <f ca="1">ROUND(D45*'数据-取费表'!B41/(1+'数据-取费表'!C42),0)</f>
        <v>1657</v>
      </c>
      <c r="E53" s="2527" t="s">
        <v>1979</v>
      </c>
      <c r="F53" s="2750">
        <f>'数据-取费表'!B41</f>
        <v>5.5000000000000007E-2</v>
      </c>
      <c r="G53" s="2751"/>
      <c r="H53" s="2740"/>
      <c r="I53" s="1963"/>
      <c r="J53" s="2719">
        <v>2</v>
      </c>
      <c r="K53" s="3370" t="s">
        <v>1982</v>
      </c>
      <c r="L53" s="3370"/>
      <c r="M53" s="2721">
        <f t="shared" ref="M53:O54" ca="1" si="0">D55</f>
        <v>16</v>
      </c>
      <c r="N53" s="2719" t="str">
        <f t="shared" si="0"/>
        <v>销售额×税（费）率</v>
      </c>
      <c r="O53" s="2722" t="str">
        <f t="shared" si="0"/>
        <v>免征</v>
      </c>
    </row>
    <row r="54" spans="1:35" ht="12" customHeight="1">
      <c r="A54" s="2528" t="s">
        <v>1983</v>
      </c>
      <c r="B54" s="3328" t="s">
        <v>2978</v>
      </c>
      <c r="C54" s="3329"/>
      <c r="D54" s="1219">
        <f ca="1">C68</f>
        <v>1657</v>
      </c>
      <c r="E54" s="333" t="s">
        <v>1984</v>
      </c>
      <c r="F54" s="2750">
        <f>'数据-取费表'!B41</f>
        <v>5.5000000000000007E-2</v>
      </c>
      <c r="G54" s="2751"/>
      <c r="H54" s="2752"/>
      <c r="I54" s="1963"/>
      <c r="J54" s="2719">
        <v>3</v>
      </c>
      <c r="K54" s="3370" t="s">
        <v>1985</v>
      </c>
      <c r="L54" s="3370"/>
      <c r="M54" s="2721">
        <f t="shared" ca="1" si="0"/>
        <v>17929</v>
      </c>
      <c r="N54" s="2719" t="str">
        <f t="shared" si="0"/>
        <v>增值额×税（费）率</v>
      </c>
      <c r="O54" s="2723" t="str">
        <f t="shared" si="0"/>
        <v>免征</v>
      </c>
    </row>
    <row r="55" spans="1:35" ht="24" customHeight="1">
      <c r="A55" s="3317" t="s">
        <v>1986</v>
      </c>
      <c r="B55" s="3318"/>
      <c r="C55" s="3318"/>
      <c r="D55" s="2517">
        <f ca="1">IF(H55="个人住宅",0,ROUND(D45*I55,0))</f>
        <v>16</v>
      </c>
      <c r="E55" s="2527" t="s">
        <v>1987</v>
      </c>
      <c r="F55" s="2750" t="str">
        <f>IF(H55="正常",I55,"免征")</f>
        <v>免征</v>
      </c>
      <c r="G55" s="2751"/>
      <c r="H55" s="2746"/>
      <c r="I55" s="170">
        <f>'数据-取费表'!B49</f>
        <v>5.0000000000000001E-4</v>
      </c>
      <c r="J55" s="2719">
        <f>IF(H59="非个人房产","",4)</f>
        <v>4</v>
      </c>
      <c r="K55" s="3370" t="str">
        <f>IF(H59="非个人房产","——","个人所得税")</f>
        <v>个人所得税</v>
      </c>
      <c r="L55" s="3370"/>
      <c r="M55" s="2724">
        <f ca="1">D59</f>
        <v>301</v>
      </c>
      <c r="N55" s="2198" t="str">
        <f>E59</f>
        <v>差额计税</v>
      </c>
      <c r="O55" s="2725">
        <f>F59</f>
        <v>0.01</v>
      </c>
    </row>
    <row r="56" spans="1:35" ht="24.75">
      <c r="A56" s="3317" t="s">
        <v>1988</v>
      </c>
      <c r="B56" s="3318"/>
      <c r="C56" s="3318"/>
      <c r="D56" s="2517">
        <f ca="1">IF(H56="个人住宅",D57,D58)</f>
        <v>17929</v>
      </c>
      <c r="E56" s="2527" t="s">
        <v>1989</v>
      </c>
      <c r="F56" s="2750" t="str">
        <f>IF(H56="正常",F58,"免征")</f>
        <v>免征</v>
      </c>
      <c r="G56" s="2753" t="s">
        <v>1990</v>
      </c>
      <c r="H56" s="2754"/>
      <c r="I56" s="1964"/>
      <c r="J56" s="2719" t="str">
        <f>IF(项目基本情况!K6="上海银行",IF(J55="",4,J55+1),"")</f>
        <v/>
      </c>
      <c r="K56" s="3393" t="str">
        <f>IF(项目基本情况!K6="上海银行","其他处置费用","")</f>
        <v/>
      </c>
      <c r="L56" s="3394"/>
      <c r="M56" s="2721" t="str">
        <f>IF(项目基本情况!K6="上海银行",M69,"")</f>
        <v/>
      </c>
      <c r="N56" s="3393" t="str">
        <f>IF(项目基本情况!K6="上海银行","包含处置中涉及的律师、诉讼、拍卖、评估等费用","")</f>
        <v/>
      </c>
      <c r="O56" s="3396"/>
    </row>
    <row r="57" spans="1:35" ht="12.75">
      <c r="A57" s="2528" t="s">
        <v>1966</v>
      </c>
      <c r="B57" s="3328" t="s">
        <v>1991</v>
      </c>
      <c r="C57" s="3329"/>
      <c r="D57" s="1745">
        <v>0</v>
      </c>
      <c r="E57" s="330" t="s">
        <v>1968</v>
      </c>
      <c r="F57" s="308"/>
      <c r="G57" s="2751"/>
      <c r="H57" s="2755"/>
      <c r="I57" s="1964"/>
      <c r="J57" s="3370">
        <f>IF(AND(J55="",J56=""),4,IF(项目基本情况!K6="上海银行",结果表!J56+1,结果表!J55+1))</f>
        <v>5</v>
      </c>
      <c r="K57" s="3370" t="s">
        <v>1992</v>
      </c>
      <c r="L57" s="2726" t="s">
        <v>1993</v>
      </c>
      <c r="M57" s="2727"/>
      <c r="N57" s="2728">
        <f ca="1">SUMIF(M52:M56,"&lt;9e307")</f>
        <v>18246</v>
      </c>
      <c r="O57" s="2729"/>
      <c r="P57" s="2889">
        <f ca="1">N57/M49</f>
        <v>0.57693037374312273</v>
      </c>
    </row>
    <row r="58" spans="1:35" ht="24.75">
      <c r="A58" s="2528" t="s">
        <v>1977</v>
      </c>
      <c r="B58" s="3328" t="s">
        <v>1994</v>
      </c>
      <c r="C58" s="3302"/>
      <c r="D58" s="2517">
        <f ca="1">IF(H58="转让取得",C81,C97)</f>
        <v>17929</v>
      </c>
      <c r="E58" s="2527" t="s">
        <v>1989</v>
      </c>
      <c r="F58" s="308" t="s">
        <v>34</v>
      </c>
      <c r="G58" s="2751"/>
      <c r="H58" s="2754"/>
      <c r="I58" s="1964"/>
      <c r="J58" s="3370"/>
      <c r="K58" s="3370"/>
      <c r="L58" s="2726" t="s">
        <v>1995</v>
      </c>
      <c r="M58" s="2730"/>
      <c r="N58" s="2731" t="str">
        <f ca="1">NUMBERSTRING(INT(N57*10000),2)&amp;"元整"</f>
        <v>壹亿捌仟贰佰肆拾陆万元整</v>
      </c>
      <c r="O58" s="2732"/>
    </row>
    <row r="59" spans="1:35" ht="24.75" thickBot="1">
      <c r="A59" s="3373" t="s">
        <v>1996</v>
      </c>
      <c r="B59" s="3374"/>
      <c r="C59" s="3374"/>
      <c r="D59" s="2756">
        <f ca="1">IF(H59="非个人房产","——",IF(H59="个人住宅（满五唯一有凭证）",0,IF(H59="个人其他（无凭证）",ROUND(D45*F59,0),ROUND(C67*F59,0))))</f>
        <v>301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2819</v>
      </c>
      <c r="J59" s="3371">
        <f>J57+1</f>
        <v>6</v>
      </c>
      <c r="K59" s="3370" t="s">
        <v>1997</v>
      </c>
      <c r="L59" s="2719" t="s">
        <v>1993</v>
      </c>
      <c r="M59" s="2733"/>
      <c r="N59" s="2734">
        <f ca="1">M49-N57</f>
        <v>13380</v>
      </c>
      <c r="O59" s="2735"/>
    </row>
    <row r="60" spans="1:35" ht="12" customHeight="1">
      <c r="A60" s="1965"/>
      <c r="B60" s="1903"/>
      <c r="C60" s="1903"/>
      <c r="D60" s="1903"/>
      <c r="E60" s="1733"/>
      <c r="F60" s="1964"/>
      <c r="G60" s="1964"/>
      <c r="H60" s="1966"/>
      <c r="I60" s="134"/>
      <c r="J60" s="3372"/>
      <c r="K60" s="3370"/>
      <c r="L60" s="2726" t="s">
        <v>1995</v>
      </c>
      <c r="M60" s="2730"/>
      <c r="N60" s="2731" t="str">
        <f ca="1">NUMBERSTRING(INT(N59*10000),2)&amp;"元整"</f>
        <v>壹亿叁仟叁佰捌拾万元整</v>
      </c>
      <c r="O60" s="2732"/>
    </row>
    <row r="61" spans="1:35" ht="13.5" thickBot="1">
      <c r="A61" s="3315" t="s">
        <v>1998</v>
      </c>
      <c r="B61" s="3315"/>
      <c r="C61" s="3315"/>
      <c r="D61" s="3315"/>
      <c r="E61" s="3315"/>
      <c r="F61" s="1964"/>
      <c r="G61" s="1964"/>
      <c r="H61" s="1966"/>
      <c r="I61" s="134"/>
      <c r="J61" s="2719">
        <f>J59+1</f>
        <v>7</v>
      </c>
      <c r="K61" s="3370" t="s">
        <v>1999</v>
      </c>
      <c r="L61" s="3370"/>
      <c r="M61" s="2736"/>
      <c r="N61" s="2737">
        <f ca="1">ROUND(N59*10000/'数据-汇总表'!E3,0)</f>
        <v>5394</v>
      </c>
      <c r="O61" s="2738"/>
    </row>
    <row r="62" spans="1:35" ht="12.75">
      <c r="A62" s="3333" t="s">
        <v>2000</v>
      </c>
      <c r="B62" s="3334"/>
      <c r="C62" s="2179"/>
      <c r="D62" s="2179" t="s">
        <v>2001</v>
      </c>
      <c r="E62" s="171" t="s">
        <v>2002</v>
      </c>
      <c r="F62" s="1964"/>
      <c r="G62" s="1964"/>
      <c r="H62" s="1966"/>
      <c r="I62" s="134"/>
    </row>
    <row r="63" spans="1:35" ht="12.75">
      <c r="A63" s="178" t="s">
        <v>775</v>
      </c>
      <c r="B63" s="172" t="s">
        <v>2003</v>
      </c>
      <c r="C63" s="2760">
        <f ca="1">ROUND((C64+C65)/(1+'数据-取费表'!C42),0)</f>
        <v>30120</v>
      </c>
      <c r="D63" s="172"/>
      <c r="E63" s="173"/>
      <c r="F63" s="1964"/>
      <c r="G63" s="1964"/>
      <c r="H63" s="1966"/>
      <c r="I63" s="134"/>
      <c r="J63" s="3395" t="s">
        <v>2004</v>
      </c>
      <c r="K63" s="1472" t="s">
        <v>2005</v>
      </c>
      <c r="L63" s="1472">
        <f ca="1">IF(M49&gt;10000,M49*0.5%,IF(AND(M49&gt;1000,M49&lt;=10000),M49*1%,IF(AND(M49&gt;100,M49&lt;=1000),M49*3%,IF(AND(M49&gt;10,M49&lt;=100),M49*5%,M49*8%))))</f>
        <v>158.13</v>
      </c>
      <c r="M63" s="308">
        <f ca="1">ROUND(L63,1)</f>
        <v>158.1</v>
      </c>
      <c r="N63" s="2739"/>
      <c r="Z63" s="1908"/>
      <c r="AI63" s="1909"/>
    </row>
    <row r="64" spans="1:35" ht="14.25" customHeight="1">
      <c r="A64" s="174" t="s">
        <v>770</v>
      </c>
      <c r="B64" s="175" t="s">
        <v>2006</v>
      </c>
      <c r="C64" s="2761">
        <f ca="1">D45</f>
        <v>31626</v>
      </c>
      <c r="D64" s="175" t="s">
        <v>32</v>
      </c>
      <c r="E64" s="177"/>
      <c r="F64" s="1964"/>
      <c r="G64" s="1964"/>
      <c r="H64" s="1966"/>
      <c r="I64" s="134"/>
      <c r="J64" s="3395"/>
      <c r="K64" s="1472" t="s">
        <v>2007</v>
      </c>
      <c r="L64" s="1472">
        <f ca="1">IF(M49&gt;2000,M49*0.5%,IF(AND(M49&gt;1000,M49&lt;=2000),M49*0.6%,IF(AND(M49&gt;500,M49&lt;=1000),M49*0.7%,IF(AND(M49&gt;200,M49&lt;=500),M49*0.8%,IF(AND(M49&gt;100,M49&lt;=200),M49*0.9%,IF(AND(M49&gt;50,M49&lt;=100),M49*1%,IF(AND(M49&gt;20,M49&lt;=50),M49*1.5%,IF(AND(M49&gt;10,M49&lt;=20),M49*2%,IF(AND(M49&gt;1,M49&lt;=10),M49*2.5%)))))))))</f>
        <v>158.13</v>
      </c>
      <c r="M64" s="308">
        <f t="shared" ref="M64:M65" ca="1" si="1">ROUND(L64,1)</f>
        <v>158.1</v>
      </c>
      <c r="N64" s="2740" t="s">
        <v>2008</v>
      </c>
      <c r="Z64" s="1908"/>
      <c r="AI64" s="1909"/>
    </row>
    <row r="65" spans="1:35" ht="14.25" customHeight="1">
      <c r="A65" s="174" t="s">
        <v>771</v>
      </c>
      <c r="B65" s="175" t="s">
        <v>2009</v>
      </c>
      <c r="C65" s="2762"/>
      <c r="D65" s="175"/>
      <c r="E65" s="177"/>
      <c r="F65" s="1964"/>
      <c r="G65" s="1964"/>
      <c r="H65" s="1966"/>
      <c r="I65" s="134"/>
      <c r="J65" s="3395"/>
      <c r="K65" s="1472" t="s">
        <v>2010</v>
      </c>
      <c r="L65" s="1472">
        <f ca="1">IF(M49&gt;1000,M49*0.1%,IF(AND(M49&gt;500,M49&lt;=1000),M49*0.5%,IF(AND(M49&gt;50,M49&lt;=500),M49*1%,IF(AND(M49&gt;1,M49&lt;=50),M49*1.5%))))</f>
        <v>31.626000000000001</v>
      </c>
      <c r="M65" s="308">
        <f t="shared" ca="1" si="1"/>
        <v>31.6</v>
      </c>
      <c r="N65" s="2740" t="s">
        <v>2008</v>
      </c>
      <c r="Z65" s="1908"/>
      <c r="AI65" s="1909"/>
    </row>
    <row r="66" spans="1:35" ht="14.25" customHeight="1">
      <c r="A66" s="178" t="s">
        <v>772</v>
      </c>
      <c r="B66" s="179" t="s">
        <v>2011</v>
      </c>
      <c r="C66" s="2763"/>
      <c r="D66" s="179" t="s">
        <v>32</v>
      </c>
      <c r="E66" s="1479" t="s">
        <v>1277</v>
      </c>
      <c r="F66" s="1964"/>
      <c r="G66" s="1964"/>
      <c r="H66" s="1966"/>
      <c r="I66" s="134"/>
      <c r="J66" s="3395"/>
      <c r="K66" s="1472" t="s">
        <v>2012</v>
      </c>
      <c r="L66" s="1472">
        <f ca="1">M49*0.5%</f>
        <v>158.13</v>
      </c>
      <c r="M66" s="308">
        <f ca="1">IF(L66&gt;0.5,0.5,ROUND(L66,0))</f>
        <v>0.5</v>
      </c>
      <c r="N66" s="2740" t="s">
        <v>2013</v>
      </c>
      <c r="Z66" s="1908"/>
      <c r="AI66" s="1909"/>
    </row>
    <row r="67" spans="1:35" ht="14.25" customHeight="1">
      <c r="A67" s="178" t="s">
        <v>773</v>
      </c>
      <c r="B67" s="179" t="s">
        <v>2014</v>
      </c>
      <c r="C67" s="2764">
        <f ca="1">C63-C66</f>
        <v>30120</v>
      </c>
      <c r="D67" s="175" t="s">
        <v>32</v>
      </c>
      <c r="E67" s="177"/>
      <c r="F67" s="1964"/>
      <c r="G67" s="1964"/>
      <c r="H67" s="1966"/>
      <c r="I67" s="134"/>
      <c r="J67" s="3395"/>
      <c r="K67" s="1472" t="s">
        <v>2015</v>
      </c>
      <c r="L67" s="1472">
        <f ca="1">IF(M49&gt;=10000,(8.25+(M49-10000)*0.01%),IF(AND(M49&gt;=8000,M49&lt;10000),(7.85+(M49-8000)*0.02%),IF(AND(M49&gt;=5000,M49&lt;8000),(6.65+(M49-5000)*0.04%),IF(AND(M49&gt;=2000,M49&lt;5000),(4.25+(PM49-2000)*0.08%),IF(AND(M49&gt;=1000,M49&lt;2000),(2.75+(M49-1000)*0.15%),IF(AND(M49&gt;=100,M49&lt;1000),(0.5+(M49-100)*0.25%),IF(AND(M49&gt;0,M49&lt;100),M49*0.5%)))))))</f>
        <v>10.412600000000001</v>
      </c>
      <c r="M67" s="308">
        <f ca="1">ROUND(L67*0.9,1)</f>
        <v>9.4</v>
      </c>
      <c r="N67" s="2739"/>
      <c r="Z67" s="1908"/>
      <c r="AI67" s="1909"/>
    </row>
    <row r="68" spans="1:35" ht="14.25" customHeight="1" thickBot="1">
      <c r="A68" s="181" t="s">
        <v>774</v>
      </c>
      <c r="B68" s="182" t="s">
        <v>2016</v>
      </c>
      <c r="C68" s="2765">
        <f ca="1">IF(C67&lt;=0,0,ROUND(C67*D68,0))</f>
        <v>1657</v>
      </c>
      <c r="D68" s="2766">
        <f>'数据-取费表'!B41</f>
        <v>5.5000000000000007E-2</v>
      </c>
      <c r="E68" s="184"/>
      <c r="F68" s="1964"/>
      <c r="G68" s="1964"/>
      <c r="H68" s="1966"/>
      <c r="I68" s="134"/>
      <c r="J68" s="3395"/>
      <c r="K68" s="1472" t="s">
        <v>2017</v>
      </c>
      <c r="L68" s="1472">
        <f ca="1">IF(M49&gt;10000,M49*0.5%,IF(AND(M49&gt;5000,M49&lt;=10000),M49*1%,IF(AND(M49&gt;1000,M49&lt;=5000),M49*2%,IF(AND(M49&gt;200,M49&lt;=1000),M49*3%,M49*5%))))</f>
        <v>158.13</v>
      </c>
      <c r="M68" s="308">
        <f ca="1">ROUND(L68,1)</f>
        <v>158.1</v>
      </c>
      <c r="N68" s="2739"/>
      <c r="Z68" s="1908"/>
      <c r="AI68" s="1909"/>
    </row>
    <row r="69" spans="1:35" s="1928" customFormat="1" ht="16.5" customHeight="1">
      <c r="A69" s="1967"/>
      <c r="B69" s="1968"/>
      <c r="C69" s="1969"/>
      <c r="D69" s="1970"/>
      <c r="E69" s="1971"/>
      <c r="F69" s="1733"/>
      <c r="G69" s="1733"/>
      <c r="H69" s="1732"/>
      <c r="I69" s="1903"/>
      <c r="J69" s="3395"/>
      <c r="K69" s="1472" t="s">
        <v>2018</v>
      </c>
      <c r="L69" s="1472"/>
      <c r="M69" s="308">
        <f ca="1">ROUND(SUM(M63:M68),0)</f>
        <v>516</v>
      </c>
      <c r="N69" s="2741">
        <f ca="1">M69/M49</f>
        <v>1.6315689622462531E-2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2019</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3" t="s">
        <v>2000</v>
      </c>
      <c r="B71" s="3334"/>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30120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151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28" t="s">
        <v>2027</v>
      </c>
      <c r="F76" s="3302"/>
      <c r="G76" s="3302"/>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151</v>
      </c>
      <c r="D78" s="2773">
        <f>'数据-取费表'!B43</f>
        <v>5.000000000000001E-3</v>
      </c>
      <c r="E78" s="3312" t="s">
        <v>2031</v>
      </c>
      <c r="F78" s="3313"/>
      <c r="G78" s="3313"/>
      <c r="H78" s="332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29969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198.47019867549668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17929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2035</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3" t="s">
        <v>2000</v>
      </c>
      <c r="B84" s="3334"/>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30120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151</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97" t="s">
        <v>2811</v>
      </c>
      <c r="H90" s="3398"/>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2" t="s">
        <v>2044</v>
      </c>
      <c r="F91" s="3313"/>
      <c r="G91" s="331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2" t="s">
        <v>2047</v>
      </c>
      <c r="F92" s="3313"/>
      <c r="G92" s="3313"/>
      <c r="H92" s="3322"/>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151</v>
      </c>
      <c r="D93" s="2773">
        <f>'数据-取费表'!B43</f>
        <v>5.000000000000001E-3</v>
      </c>
      <c r="E93" s="3312" t="s">
        <v>2031</v>
      </c>
      <c r="F93" s="3313"/>
      <c r="G93" s="3313"/>
      <c r="H93" s="332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3" t="s">
        <v>2051</v>
      </c>
      <c r="F94" s="3324"/>
      <c r="G94" s="3324"/>
      <c r="H94" s="332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29969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198.47019867549668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17929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6" t="s">
        <v>2053</v>
      </c>
      <c r="B100" s="3297"/>
      <c r="C100" s="3297"/>
      <c r="D100" s="3314"/>
      <c r="E100" s="3297" t="s">
        <v>2054</v>
      </c>
      <c r="F100" s="3297"/>
      <c r="G100" s="3297"/>
      <c r="H100" s="3314"/>
      <c r="I100" s="134"/>
    </row>
    <row r="101" spans="1:35" ht="18.75" customHeight="1">
      <c r="A101" s="3378" t="s">
        <v>2055</v>
      </c>
      <c r="B101" s="3379"/>
      <c r="C101" s="2781" t="str">
        <f>C4</f>
        <v>成本法</v>
      </c>
      <c r="D101" s="2782" t="str">
        <f>D4</f>
        <v>收益法</v>
      </c>
      <c r="E101" s="3392" t="s">
        <v>2056</v>
      </c>
      <c r="F101" s="3346"/>
      <c r="G101" s="1983" t="s">
        <v>2057</v>
      </c>
      <c r="H101" s="2791">
        <f ca="1">H118</f>
        <v>31626</v>
      </c>
      <c r="I101" s="134"/>
    </row>
    <row r="102" spans="1:35" ht="18.75" customHeight="1">
      <c r="A102" s="3348" t="s">
        <v>2058</v>
      </c>
      <c r="B102" s="2780" t="s">
        <v>2057</v>
      </c>
      <c r="C102" s="2781">
        <f ca="1">C19</f>
        <v>18393</v>
      </c>
      <c r="D102" s="2782">
        <f ca="1">D19</f>
        <v>37297</v>
      </c>
      <c r="E102" s="3392"/>
      <c r="F102" s="3346"/>
      <c r="G102" s="1983" t="s">
        <v>2059</v>
      </c>
      <c r="H102" s="2751">
        <f ca="1">I118</f>
        <v>12750</v>
      </c>
      <c r="I102" s="134"/>
    </row>
    <row r="103" spans="1:35" ht="42.75" customHeight="1">
      <c r="A103" s="3348"/>
      <c r="B103" s="2780" t="s">
        <v>2059</v>
      </c>
      <c r="C103" s="2783">
        <f ca="1">C20</f>
        <v>7415</v>
      </c>
      <c r="D103" s="2784">
        <f ca="1">D20</f>
        <v>15261</v>
      </c>
      <c r="E103" s="3386" t="s">
        <v>2060</v>
      </c>
      <c r="F103" s="3387"/>
      <c r="G103" s="1984" t="s">
        <v>2061</v>
      </c>
      <c r="H103" s="2791">
        <f>IF(D36="正常操作",H104+H105+H106,H105+H106)</f>
        <v>0</v>
      </c>
      <c r="I103" s="134"/>
    </row>
    <row r="104" spans="1:35" ht="18.75" customHeight="1">
      <c r="A104" s="3348" t="s">
        <v>2062</v>
      </c>
      <c r="B104" s="2785" t="s">
        <v>2057</v>
      </c>
      <c r="C104" s="2786">
        <f ca="1">H118</f>
        <v>31626</v>
      </c>
      <c r="D104" s="2787"/>
      <c r="E104" s="1830" t="s">
        <v>2063</v>
      </c>
      <c r="F104" s="1821"/>
      <c r="G104" s="1984" t="s">
        <v>2061</v>
      </c>
      <c r="H104" s="2792">
        <f>IF(D36="同一抵押权人同一抵押物续贷",C36&amp;"（续贷，未扣减，详见特别提示）",C36)</f>
        <v>0</v>
      </c>
      <c r="I104" s="134"/>
    </row>
    <row r="105" spans="1:35" ht="18.75" customHeight="1" thickBot="1">
      <c r="A105" s="3349"/>
      <c r="B105" s="2788" t="s">
        <v>2059</v>
      </c>
      <c r="C105" s="2789">
        <f ca="1">I118</f>
        <v>12750</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46"/>
      <c r="G107" s="1983" t="s">
        <v>2057</v>
      </c>
      <c r="H107" s="2791">
        <f ca="1">IF(E107="——","——",H101-H103)</f>
        <v>31626</v>
      </c>
      <c r="I107" s="134"/>
    </row>
    <row r="108" spans="1:35" ht="18.75" customHeight="1">
      <c r="A108" s="134"/>
      <c r="B108" s="134"/>
      <c r="C108" s="134"/>
      <c r="D108" s="134"/>
      <c r="E108" s="3345"/>
      <c r="F108" s="3346"/>
      <c r="G108" s="1983" t="s">
        <v>2059</v>
      </c>
      <c r="H108" s="2751">
        <f ca="1">ROUND(H107*10000/'数据-汇总表'!E3,0)</f>
        <v>12750</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46"/>
      <c r="G109" s="1983" t="s">
        <v>2057</v>
      </c>
      <c r="H109" s="2794" t="str">
        <f>IF(E109="——","——",H101-H105-H106)</f>
        <v>——</v>
      </c>
      <c r="I109" s="134"/>
    </row>
    <row r="110" spans="1:35" ht="18.75" customHeight="1">
      <c r="A110" s="134"/>
      <c r="B110" s="134"/>
      <c r="C110" s="134"/>
      <c r="D110" s="134"/>
      <c r="E110" s="3345"/>
      <c r="F110" s="3346"/>
      <c r="G110" s="1983" t="s">
        <v>2059</v>
      </c>
      <c r="H110" s="2751"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47"/>
      <c r="G111" s="1983" t="s">
        <v>2057</v>
      </c>
      <c r="H111" s="2791" t="str">
        <f>IF(E111="——","——",N59)</f>
        <v>——</v>
      </c>
      <c r="I111" s="134"/>
    </row>
    <row r="112" spans="1:35" ht="18.75" customHeight="1" thickBot="1">
      <c r="A112" s="134"/>
      <c r="B112" s="134"/>
      <c r="C112" s="134"/>
      <c r="D112" s="134"/>
      <c r="E112" s="3381"/>
      <c r="F112" s="3382"/>
      <c r="G112" s="1986" t="s">
        <v>2059</v>
      </c>
      <c r="H112" s="2795" t="str">
        <f>IF(E111="——","——",N61)</f>
        <v>——</v>
      </c>
      <c r="I112" s="134"/>
    </row>
    <row r="113" spans="1:27" ht="18.75" customHeight="1">
      <c r="A113" s="134"/>
      <c r="B113" s="134"/>
      <c r="C113" s="134"/>
      <c r="D113" s="134"/>
      <c r="E113" s="3350" t="s">
        <v>2065</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3" t="s">
        <v>2067</v>
      </c>
      <c r="B115" s="3364"/>
      <c r="C115" s="3364"/>
      <c r="D115" s="3364"/>
      <c r="E115" s="3364"/>
      <c r="F115" s="3364"/>
      <c r="G115" s="3364"/>
      <c r="H115" s="3364"/>
      <c r="I115" s="3365"/>
    </row>
    <row r="116" spans="1:27" ht="27" customHeight="1">
      <c r="A116" s="3316" t="s">
        <v>2068</v>
      </c>
      <c r="B116" s="3351" t="s">
        <v>2069</v>
      </c>
      <c r="C116" s="3351" t="s">
        <v>2070</v>
      </c>
      <c r="D116" s="3367" t="s">
        <v>2071</v>
      </c>
      <c r="E116" s="3368"/>
      <c r="F116" s="3359" t="s">
        <v>2072</v>
      </c>
      <c r="G116" s="3359"/>
      <c r="H116" s="3316" t="s">
        <v>2073</v>
      </c>
      <c r="I116" s="3316"/>
    </row>
    <row r="117" spans="1:27" ht="18.75" customHeight="1">
      <c r="A117" s="3316"/>
      <c r="B117" s="3352"/>
      <c r="C117" s="3352"/>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24804.469999999998</v>
      </c>
      <c r="C118" s="2522">
        <f>M19</f>
        <v>13382.27</v>
      </c>
      <c r="D118" s="2522">
        <f ca="1">ROUND(IF(D32="总价",C34,E118*B118/10000),0)</f>
        <v>11543</v>
      </c>
      <c r="E118" s="2522">
        <f ca="1">ROUND(IF(C33="自定义",IF(D32="楼面单价",C34,D118*10000/B118),I118-G118),0)</f>
        <v>4653</v>
      </c>
      <c r="F118" s="2522">
        <f ca="1">ROUND(IF(D32="总价",C35,G118*B118/10000),0)</f>
        <v>20083</v>
      </c>
      <c r="G118" s="2522">
        <f ca="1">ROUND(IF(D32="楼面单价",C35,F118*10000/B118),0)</f>
        <v>8097</v>
      </c>
      <c r="H118" s="2522">
        <f ca="1">ROUND(IF(D32="总价",C32,I118*B118/10000),0)</f>
        <v>31626</v>
      </c>
      <c r="I118" s="2522">
        <f ca="1">ROUND(IF(D32="楼面单价",C32,H118*10000/B118),0)</f>
        <v>12750</v>
      </c>
    </row>
    <row r="119" spans="1:27" ht="18.75" customHeight="1">
      <c r="A119" s="3316" t="s">
        <v>2077</v>
      </c>
      <c r="B119" s="3316"/>
      <c r="C119" s="3316"/>
      <c r="D119" s="3356" t="str">
        <f ca="1">NUMBERSTRING(INT(D118*10000),2)&amp;"元整"</f>
        <v>壹亿壹仟伍佰肆拾叁万元整</v>
      </c>
      <c r="E119" s="3358"/>
      <c r="F119" s="3356" t="str">
        <f ca="1">NUMBERSTRING(INT(F118*10000),2)&amp;"元整"</f>
        <v>贰亿零捌拾叁万元整</v>
      </c>
      <c r="G119" s="3358"/>
      <c r="H119" s="3356" t="str">
        <f ca="1">NUMBERSTRING(INT(H118*10000),2)&amp;"元整"</f>
        <v>叁亿壹仟陆佰贰拾陆万元整</v>
      </c>
      <c r="I119" s="3358"/>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2077</v>
      </c>
      <c r="B121" s="3361"/>
      <c r="C121" s="3362"/>
      <c r="D121" s="3356" t="str">
        <f>IF(D120=0,"零元整",NUMBERSTRING(INT(D120*10000),2)&amp;"元整")</f>
        <v>零元整</v>
      </c>
      <c r="E121" s="3357"/>
      <c r="F121" s="3357"/>
      <c r="G121" s="3357"/>
      <c r="H121" s="3357"/>
      <c r="I121" s="3358"/>
      <c r="AA121" s="734"/>
    </row>
    <row r="122" spans="1:27" ht="18.75" customHeight="1">
      <c r="A122" s="3347" t="str">
        <f>IF(项目基本情况!B9="房地产市场价值","",MID(E107,3,LEN(E107)-2))</f>
        <v>房地产抵押价值</v>
      </c>
      <c r="B122" s="3347"/>
      <c r="C122" s="3347"/>
      <c r="D122" s="3383">
        <f ca="1">H107</f>
        <v>31626</v>
      </c>
      <c r="E122" s="3384"/>
      <c r="F122" s="3384"/>
      <c r="G122" s="3384"/>
      <c r="H122" s="3384"/>
      <c r="I122" s="3385"/>
      <c r="AA122" s="734"/>
    </row>
    <row r="123" spans="1:27" ht="18.75" customHeight="1">
      <c r="A123" s="3316" t="s">
        <v>2077</v>
      </c>
      <c r="B123" s="3316"/>
      <c r="C123" s="3316"/>
      <c r="D123" s="3356" t="str">
        <f ca="1">NUMBERSTRING(INT(D122*10000),2)&amp;"元整"</f>
        <v>叁亿壹仟陆佰贰拾陆万元整</v>
      </c>
      <c r="E123" s="3357"/>
      <c r="F123" s="3357"/>
      <c r="G123" s="3357"/>
      <c r="H123" s="3357"/>
      <c r="I123" s="3358"/>
      <c r="AA123" s="734"/>
    </row>
    <row r="124" spans="1:27" ht="18.75" customHeight="1">
      <c r="A124" s="3347" t="str">
        <f>IF(项目基本情况!B9="房地产市场价值","",MID(E109,3,LEN(E109)-2))</f>
        <v/>
      </c>
      <c r="B124" s="3347"/>
      <c r="C124" s="3347"/>
      <c r="D124" s="3383" t="str">
        <f>H109</f>
        <v>——</v>
      </c>
      <c r="E124" s="3384"/>
      <c r="F124" s="3384"/>
      <c r="G124" s="3384"/>
      <c r="H124" s="3384"/>
      <c r="I124" s="3385"/>
      <c r="AA124" s="734"/>
    </row>
    <row r="125" spans="1:27" ht="18.75" customHeight="1">
      <c r="A125" s="3316" t="s">
        <v>2077</v>
      </c>
      <c r="B125" s="3316"/>
      <c r="C125" s="3316"/>
      <c r="D125" s="3356" t="e">
        <f>NUMBERSTRING(INT(D124*10000),2)&amp;"元整"</f>
        <v>#VALUE!</v>
      </c>
      <c r="E125" s="3357"/>
      <c r="F125" s="3357"/>
      <c r="G125" s="3357"/>
      <c r="H125" s="3357"/>
      <c r="I125" s="3358"/>
      <c r="AA125" s="734"/>
    </row>
    <row r="126" spans="1:27" ht="18.75" customHeight="1">
      <c r="A126" s="3347" t="str">
        <f>IF(项目基本情况!B9="房地产市场价值","",MID(E111,3,LEN(E111)-2))</f>
        <v/>
      </c>
      <c r="B126" s="3347"/>
      <c r="C126" s="3347"/>
      <c r="D126" s="3383" t="str">
        <f>H111</f>
        <v>——</v>
      </c>
      <c r="E126" s="3384"/>
      <c r="F126" s="3384"/>
      <c r="G126" s="3384"/>
      <c r="H126" s="3384"/>
      <c r="I126" s="3385"/>
      <c r="AA126" s="734"/>
    </row>
    <row r="127" spans="1:27" ht="18.75" customHeight="1">
      <c r="A127" s="3316" t="s">
        <v>2077</v>
      </c>
      <c r="B127" s="3316"/>
      <c r="C127" s="3316"/>
      <c r="D127" s="3356" t="e">
        <f>NUMBERSTRING(INT(D126*10000),2)&amp;"元整"</f>
        <v>#VALUE!</v>
      </c>
      <c r="E127" s="3357"/>
      <c r="F127" s="3357"/>
      <c r="G127" s="3357"/>
      <c r="H127" s="3357"/>
      <c r="I127" s="3358"/>
      <c r="AA127" s="734"/>
    </row>
    <row r="128" spans="1:27" ht="21.75" customHeight="1">
      <c r="A128" s="3366" t="s">
        <v>2078</v>
      </c>
      <c r="B128" s="3366"/>
      <c r="C128" s="3366"/>
      <c r="D128" s="3366"/>
      <c r="E128" s="3366"/>
      <c r="F128" s="3366"/>
      <c r="G128" s="3366"/>
      <c r="H128" s="3366"/>
      <c r="I128" s="3366"/>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北京市房地产抵押价值预评估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1" sqref="J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18393</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7415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5016</v>
      </c>
      <c r="D5" s="217" t="s">
        <v>2094</v>
      </c>
      <c r="E5" s="218" t="s">
        <v>2095</v>
      </c>
      <c r="F5" s="218" t="s">
        <v>2096</v>
      </c>
      <c r="G5" s="219"/>
    </row>
    <row r="6" spans="1:9" s="220" customFormat="1" ht="13.5" customHeight="1">
      <c r="A6" s="886" t="s">
        <v>2097</v>
      </c>
      <c r="B6" s="221" t="s">
        <v>2098</v>
      </c>
      <c r="C6" s="222">
        <f>[3]基准地价修正!$B$2</f>
        <v>4386</v>
      </c>
      <c r="D6" s="223"/>
      <c r="E6" s="224"/>
      <c r="F6" s="224"/>
      <c r="G6" s="225"/>
    </row>
    <row r="7" spans="1:9" s="220" customFormat="1" ht="13.5" customHeight="1">
      <c r="A7" s="886" t="s">
        <v>2099</v>
      </c>
      <c r="B7" s="221" t="s">
        <v>2100</v>
      </c>
      <c r="C7" s="226">
        <f>ROUND(C6*F7,0)</f>
        <v>134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496</v>
      </c>
      <c r="D8" s="228"/>
      <c r="E8" s="226"/>
      <c r="F8" s="227"/>
      <c r="G8" s="2012" t="s">
        <v>3160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3161</v>
      </c>
      <c r="H9" s="1271"/>
      <c r="I9" s="2014" t="s">
        <v>2104</v>
      </c>
    </row>
    <row r="10" spans="1:9" s="220" customFormat="1" ht="13.5" customHeight="1">
      <c r="A10" s="887" t="s">
        <v>801</v>
      </c>
      <c r="B10" s="230" t="s">
        <v>2105</v>
      </c>
      <c r="C10" s="231">
        <f ca="1">ROUND(D10*E10/10000,0)</f>
        <v>496</v>
      </c>
      <c r="D10" s="954">
        <f ca="1">IF(B1="",'数据-汇总表'!E6,IF(INDIRECT("'数据-取费表'!c"&amp;$G$1)="住宅",INDIRECT("'数据-取费表'!s"&amp;$G$1),INDIRECT("'数据-取费表'!k"&amp;$G$1)+INDIRECT("'数据-取费表'!s"&amp;$G$1)))</f>
        <v>24804.469999999998</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24804.469999999998</v>
      </c>
      <c r="E19" s="217">
        <f>'数据-取费表'!B31</f>
        <v>200</v>
      </c>
      <c r="F19" s="237"/>
      <c r="G19" s="2012" t="s">
        <v>3162</v>
      </c>
    </row>
    <row r="20" spans="1:7" s="220" customFormat="1" ht="13.5" customHeight="1">
      <c r="A20" s="261" t="s">
        <v>2118</v>
      </c>
      <c r="B20" s="216" t="s">
        <v>2119</v>
      </c>
      <c r="C20" s="238">
        <f ca="1">ROUND((C5+C19)*F20,0)</f>
        <v>100</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322</v>
      </c>
      <c r="D22" s="241">
        <f ca="1">C26</f>
        <v>5.9999999999999995E-4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319</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3</v>
      </c>
      <c r="D25" s="244"/>
      <c r="E25" s="247"/>
      <c r="F25" s="245"/>
      <c r="G25" s="248" t="s">
        <v>2135</v>
      </c>
    </row>
    <row r="26" spans="1:7" s="220" customFormat="1">
      <c r="A26" s="888" t="s">
        <v>795</v>
      </c>
      <c r="B26" s="221" t="s">
        <v>2136</v>
      </c>
      <c r="C26" s="244">
        <f ca="1">ROUND(IF('数据-取费表'!B22&lt;=1,F21*F22*'数据-取费表'!B23/2,F21*(POWER((1+F22),'数据-取费表'!B23/2)-1)),4)</f>
        <v>5.9999999999999995E-4</v>
      </c>
      <c r="D26" s="244"/>
      <c r="E26" s="247"/>
      <c r="F26" s="245"/>
      <c r="G26" s="249"/>
    </row>
    <row r="27" spans="1:7" s="220" customFormat="1" ht="24.75">
      <c r="A27" s="261" t="s">
        <v>2137</v>
      </c>
      <c r="B27" s="250" t="s">
        <v>2138</v>
      </c>
      <c r="C27" s="251">
        <f ca="1">C28</f>
        <v>767</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767</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6715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9568</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8682</v>
      </c>
      <c r="D34" s="223"/>
      <c r="E34" s="226"/>
      <c r="F34" s="263">
        <f ca="1">IF('数据-取费表'!B24=0,1,IF(B1="",'数据-取费表'!N16,INDIRECT("'数据-取费表'!n"&amp;$G$1)))</f>
        <v>1</v>
      </c>
      <c r="G34" s="225" t="s">
        <v>2151</v>
      </c>
    </row>
    <row r="35" spans="1:7" ht="13.5" customHeight="1">
      <c r="A35" s="888" t="s">
        <v>796</v>
      </c>
      <c r="B35" s="221" t="s">
        <v>2152</v>
      </c>
      <c r="C35" s="226">
        <f ca="1">ROUND(C34*F35,0)</f>
        <v>260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496</v>
      </c>
      <c r="D37" s="223">
        <f ca="1">D19</f>
        <v>24804.469999999998</v>
      </c>
      <c r="E37" s="255">
        <f>'数据-取费表'!B35</f>
        <v>200</v>
      </c>
      <c r="F37" s="265"/>
      <c r="G37" s="267" t="s">
        <v>2157</v>
      </c>
    </row>
    <row r="38" spans="1:7" ht="13.5" customHeight="1">
      <c r="A38" s="888" t="s">
        <v>799</v>
      </c>
      <c r="B38" s="221" t="s">
        <v>2158</v>
      </c>
      <c r="C38" s="226">
        <f ca="1">ROUND(C34*F38,0)</f>
        <v>130</v>
      </c>
      <c r="D38" s="226"/>
      <c r="E38" s="226"/>
      <c r="F38" s="265">
        <f>'数据-取费表'!B36</f>
        <v>1.4999999999999999E-2</v>
      </c>
      <c r="G38" s="225" t="s">
        <v>2153</v>
      </c>
    </row>
    <row r="39" spans="1:7" s="220" customFormat="1" ht="13.5" customHeight="1">
      <c r="A39" s="261" t="s">
        <v>2159</v>
      </c>
      <c r="B39" s="216" t="s">
        <v>2160</v>
      </c>
      <c r="C39" s="238">
        <f ca="1">ROUND(C33*F20,0)</f>
        <v>191</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306</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300</v>
      </c>
      <c r="D42" s="244"/>
      <c r="E42" s="244"/>
      <c r="F42" s="245"/>
      <c r="G42" s="3399" t="s">
        <v>2169</v>
      </c>
    </row>
    <row r="43" spans="1:7" ht="13.5" customHeight="1">
      <c r="A43" s="888" t="s">
        <v>792</v>
      </c>
      <c r="B43" s="221" t="s">
        <v>2170</v>
      </c>
      <c r="C43" s="244">
        <f ca="1">ROUND(IF('数据-取费表'!B22&lt;=1,C39*F22*'数据-取费表'!B21/2,C39*(POWER((1+F22),'数据-取费表'!B21/2)-1)),0)</f>
        <v>6</v>
      </c>
      <c r="D43" s="244"/>
      <c r="E43" s="244"/>
      <c r="F43" s="245"/>
      <c r="G43" s="3400"/>
    </row>
    <row r="44" spans="1:7" ht="13.5" customHeight="1">
      <c r="A44" s="888" t="s">
        <v>793</v>
      </c>
      <c r="B44" s="221" t="s">
        <v>2171</v>
      </c>
      <c r="C44" s="244">
        <f ca="1">ROUND(IF('数据-取费表'!B22&lt;=1,C40*F22*'数据-取费表'!B21/2,C40*(POWER((1+F22),'数据-取费表'!B21/2)-1)),4)</f>
        <v>5.9999999999999995E-4</v>
      </c>
      <c r="D44" s="244"/>
      <c r="E44" s="244"/>
      <c r="F44" s="245"/>
      <c r="G44" s="3401"/>
    </row>
    <row r="45" spans="1:7" s="220" customFormat="1" ht="13.5" customHeight="1">
      <c r="A45" s="261" t="s">
        <v>2172</v>
      </c>
      <c r="B45" s="250" t="s">
        <v>2138</v>
      </c>
      <c r="C45" s="251">
        <f ca="1">C46</f>
        <v>1464</v>
      </c>
      <c r="D45" s="241">
        <f ca="1">C47</f>
        <v>3.0000000000000001E-3</v>
      </c>
      <c r="E45" s="242" t="s">
        <v>2164</v>
      </c>
      <c r="F45" s="2507">
        <f ca="1">F27</f>
        <v>0.15</v>
      </c>
      <c r="G45" s="253" t="s">
        <v>2173</v>
      </c>
    </row>
    <row r="46" spans="1:7" s="220" customFormat="1" ht="13.5" customHeight="1">
      <c r="A46" s="888" t="s">
        <v>791</v>
      </c>
      <c r="B46" s="254" t="s">
        <v>2174</v>
      </c>
      <c r="C46" s="255">
        <f ca="1">ROUND((C33+C39)*F27,0)</f>
        <v>1464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12477</v>
      </c>
      <c r="D49" s="238"/>
      <c r="E49" s="238"/>
      <c r="F49" s="270"/>
      <c r="G49" s="240" t="s">
        <v>2179</v>
      </c>
    </row>
    <row r="50" spans="1:7" s="264" customFormat="1" ht="24">
      <c r="A50" s="261" t="s">
        <v>2180</v>
      </c>
      <c r="B50" s="216" t="s">
        <v>2181</v>
      </c>
      <c r="C50" s="238"/>
      <c r="D50" s="238"/>
      <c r="E50" s="238"/>
      <c r="F50" s="270">
        <f>IF('数据-取费表'!B24=0,'数据-取费表'!N16,1)</f>
        <v>0.93600000000000005</v>
      </c>
      <c r="G50" s="253" t="s">
        <v>2182</v>
      </c>
    </row>
    <row r="51" spans="1:7" ht="16.5" customHeight="1">
      <c r="A51" s="261" t="s">
        <v>2183</v>
      </c>
      <c r="B51" s="216" t="s">
        <v>2184</v>
      </c>
      <c r="C51" s="238">
        <f ca="1">ROUND(C49*F50,0)</f>
        <v>11678</v>
      </c>
      <c r="D51" s="238"/>
      <c r="E51" s="238"/>
      <c r="F51" s="270"/>
      <c r="G51" s="240" t="s">
        <v>2185</v>
      </c>
    </row>
    <row r="52" spans="1:7" s="214" customFormat="1" ht="16.5" thickBot="1">
      <c r="A52" s="271" t="s">
        <v>2186</v>
      </c>
      <c r="B52" s="272"/>
      <c r="C52" s="273">
        <f ca="1">C31+C51</f>
        <v>18393</v>
      </c>
      <c r="D52" s="272"/>
      <c r="E52" s="272"/>
      <c r="F52" s="272"/>
      <c r="G52" s="274"/>
    </row>
    <row r="55" spans="1:7" ht="15">
      <c r="B55" s="276" t="s">
        <v>2187</v>
      </c>
      <c r="C55" s="277"/>
    </row>
    <row r="56" spans="1:7">
      <c r="B56" s="279" t="s">
        <v>1418</v>
      </c>
      <c r="C56" s="281">
        <f ca="1">1-C57</f>
        <v>0.36499999999999999</v>
      </c>
    </row>
    <row r="57" spans="1:7">
      <c r="B57" s="279" t="s">
        <v>1419</v>
      </c>
      <c r="C57" s="280">
        <f ca="1">ROUND(C51/C52,3)</f>
        <v>0.63500000000000001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13008</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5244</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4960894</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4960894</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4960894</v>
      </c>
      <c r="D10" s="954">
        <f ca="1">IF(B1="",'数据-汇总表'!E6,IF(INDIRECT("'数据-取费表'!c"&amp;$G$1)="住宅",INDIRECT("'数据-取费表'!s"&amp;$G$1),INDIRECT("'数据-取费表'!k"&amp;$G$1)+INDIRECT("'数据-取费表'!s"&amp;$G$1)))</f>
        <v>24804.469999999998</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4960894</v>
      </c>
      <c r="D19" s="958">
        <f ca="1">D9+D10</f>
        <v>24804.469999999998</v>
      </c>
      <c r="E19" s="217">
        <f>'数据-取费表'!B31</f>
        <v>200</v>
      </c>
      <c r="F19" s="237"/>
      <c r="G19" s="2012"/>
    </row>
    <row r="20" spans="1:7" s="220" customFormat="1" ht="13.5" customHeight="1">
      <c r="A20" s="261" t="s">
        <v>2199</v>
      </c>
      <c r="B20" s="216" t="s">
        <v>2200</v>
      </c>
      <c r="C20" s="238">
        <f ca="1">ROUND((C5+C19)*F20,0)</f>
        <v>198436</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637808</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315795</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315795</v>
      </c>
      <c r="D24" s="244"/>
      <c r="E24" s="244"/>
      <c r="F24" s="245"/>
      <c r="G24" s="246" t="s">
        <v>2211</v>
      </c>
    </row>
    <row r="25" spans="1:7" s="220" customFormat="1" ht="24">
      <c r="A25" s="888" t="s">
        <v>2101</v>
      </c>
      <c r="B25" s="221" t="s">
        <v>2212</v>
      </c>
      <c r="C25" s="1262">
        <f ca="1">ROUND(IF('数据-取费表'!B22&lt;=1,C20*F22*'数据-取费表'!B22/2,C20*(POWER((1+F22),'数据-取费表'!B22/2)-1)),0)</f>
        <v>6218</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1518034</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1518034</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13285786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95683243</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86815645</v>
      </c>
      <c r="D34" s="223"/>
      <c r="E34" s="226"/>
      <c r="F34" s="263"/>
      <c r="G34" s="225"/>
    </row>
    <row r="35" spans="1:7" ht="13.5" customHeight="1">
      <c r="A35" s="888" t="s">
        <v>796</v>
      </c>
      <c r="B35" s="221" t="s">
        <v>2152</v>
      </c>
      <c r="C35" s="226">
        <f ca="1">ROUND(C34*F35,0)</f>
        <v>2604469</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4960894</v>
      </c>
      <c r="D37" s="223">
        <f ca="1">D19</f>
        <v>24804.469999999998</v>
      </c>
      <c r="E37" s="255">
        <f>'数据-取费表'!B35</f>
        <v>200</v>
      </c>
      <c r="F37" s="265"/>
      <c r="G37" s="267"/>
    </row>
    <row r="38" spans="1:7" ht="13.5" customHeight="1">
      <c r="A38" s="888" t="s">
        <v>799</v>
      </c>
      <c r="B38" s="221" t="s">
        <v>2158</v>
      </c>
      <c r="C38" s="226">
        <f ca="1">ROUND(C34*F38,0)</f>
        <v>1302235</v>
      </c>
      <c r="D38" s="226"/>
      <c r="E38" s="226"/>
      <c r="F38" s="265">
        <f>'数据-取费表'!B36</f>
        <v>1.4999999999999999E-2</v>
      </c>
      <c r="G38" s="225" t="s">
        <v>2153</v>
      </c>
    </row>
    <row r="39" spans="1:7" s="220" customFormat="1" ht="13.5" customHeight="1">
      <c r="A39" s="261" t="s">
        <v>2159</v>
      </c>
      <c r="B39" s="216" t="s">
        <v>2160</v>
      </c>
      <c r="C39" s="238">
        <f ca="1">ROUND(C33*F20,0)</f>
        <v>1913665</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3058438</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2998469</v>
      </c>
      <c r="D42" s="244"/>
      <c r="E42" s="244"/>
      <c r="F42" s="245"/>
      <c r="G42" s="3399" t="s">
        <v>2216</v>
      </c>
    </row>
    <row r="43" spans="1:7" ht="13.5" customHeight="1">
      <c r="A43" s="888" t="s">
        <v>792</v>
      </c>
      <c r="B43" s="221" t="s">
        <v>2170</v>
      </c>
      <c r="C43" s="244">
        <f ca="1">ROUND(IF('数据-取费表'!B22&lt;=1,C39*F22*'数据-取费表'!B20/2,C39*(POWER((1+F22),'数据-取费表'!B20/2)-1)),0)</f>
        <v>59969</v>
      </c>
      <c r="D43" s="244"/>
      <c r="E43" s="244"/>
      <c r="F43" s="245"/>
      <c r="G43" s="3400"/>
    </row>
    <row r="44" spans="1:7" ht="13.5" customHeight="1">
      <c r="A44" s="888" t="s">
        <v>793</v>
      </c>
      <c r="B44" s="221" t="s">
        <v>2171</v>
      </c>
      <c r="C44" s="244">
        <f ca="1">ROUND(IF('数据-取费表'!B22&lt;=1,C40*F22*'数据-取费表'!B20/2,C40*(POWER((1+F22),'数据-取费表'!B20/2)-1)),4)</f>
        <v>5.9999999999999995E-4</v>
      </c>
      <c r="D44" s="244"/>
      <c r="E44" s="244"/>
      <c r="F44" s="245"/>
      <c r="G44" s="3401"/>
    </row>
    <row r="45" spans="1:7" s="220" customFormat="1" ht="13.5" customHeight="1">
      <c r="A45" s="261" t="s">
        <v>2172</v>
      </c>
      <c r="B45" s="250" t="s">
        <v>2138</v>
      </c>
      <c r="C45" s="251">
        <f ca="1">C46</f>
        <v>14639536</v>
      </c>
      <c r="D45" s="241">
        <f ca="1">C47</f>
        <v>3.0000000000000001E-3</v>
      </c>
      <c r="E45" s="242" t="s">
        <v>2164</v>
      </c>
      <c r="F45" s="2507">
        <f ca="1">F27</f>
        <v>0.15</v>
      </c>
      <c r="G45" s="253" t="s">
        <v>2173</v>
      </c>
    </row>
    <row r="46" spans="1:7" s="220" customFormat="1" ht="13.5" customHeight="1">
      <c r="A46" s="888" t="s">
        <v>791</v>
      </c>
      <c r="B46" s="254" t="s">
        <v>2174</v>
      </c>
      <c r="C46" s="255">
        <f ca="1">ROUND((C33+C39)*F27,0)</f>
        <v>14639536</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124778011</v>
      </c>
      <c r="D49" s="238"/>
      <c r="E49" s="238"/>
      <c r="F49" s="270"/>
      <c r="G49" s="240" t="s">
        <v>2179</v>
      </c>
    </row>
    <row r="50" spans="1:7" s="264" customFormat="1">
      <c r="A50" s="261" t="s">
        <v>2180</v>
      </c>
      <c r="B50" s="216" t="s">
        <v>2181</v>
      </c>
      <c r="C50" s="238"/>
      <c r="D50" s="238"/>
      <c r="E50" s="238"/>
      <c r="F50" s="270">
        <f>IF('数据-取费表'!B24=0,'数据-取费表'!N16,1)</f>
        <v>0.93600000000000005</v>
      </c>
      <c r="G50" s="253"/>
    </row>
    <row r="51" spans="1:7" ht="16.5" customHeight="1">
      <c r="A51" s="261" t="s">
        <v>2183</v>
      </c>
      <c r="B51" s="216" t="s">
        <v>2218</v>
      </c>
      <c r="C51" s="238">
        <f ca="1">ROUND(C49*F50,0)</f>
        <v>116792218</v>
      </c>
      <c r="D51" s="238"/>
      <c r="E51" s="238"/>
      <c r="F51" s="270"/>
      <c r="G51" s="240" t="s">
        <v>2185</v>
      </c>
    </row>
    <row r="52" spans="1:7" s="214" customFormat="1" ht="16.5" thickBot="1">
      <c r="A52" s="271" t="s">
        <v>2186</v>
      </c>
      <c r="B52" s="272"/>
      <c r="C52" s="273">
        <f ca="1">C31+C51</f>
        <v>130078004</v>
      </c>
      <c r="D52" s="272"/>
      <c r="E52" s="272"/>
      <c r="F52" s="272"/>
      <c r="G52" s="274"/>
    </row>
    <row r="55" spans="1:7" ht="15">
      <c r="B55" s="276" t="s">
        <v>2187</v>
      </c>
      <c r="C55" s="277"/>
    </row>
    <row r="56" spans="1:7">
      <c r="B56" s="279" t="s">
        <v>1418</v>
      </c>
      <c r="C56" s="281">
        <f ca="1">1-C57</f>
        <v>0.10199999999999998</v>
      </c>
    </row>
    <row r="57" spans="1:7">
      <c r="B57" s="279" t="s">
        <v>1419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24804.469999999998</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24804.469999999998</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2255</v>
      </c>
      <c r="C20" s="24">
        <f ca="1">ROUND(D20*E20/10000,0)</f>
        <v>496</v>
      </c>
      <c r="D20" s="955">
        <f ca="1">IF(C1="",'数据-汇总表'!E6,IF(INDIRECT("'数据-取费表'!c"&amp;$K$1)="住宅",INDIRECT("'数据-取费表'!s"&amp;$K$1),INDIRECT("'数据-取费表'!k"&amp;$K$1)+INDIRECT("'数据-取费表'!s"&amp;$K$1)))</f>
        <v>24804.469999999998</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0" sqref="D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c r="E1" s="1517" t="s">
        <v>1292</v>
      </c>
      <c r="F1" s="1193">
        <f ca="1">J53</f>
        <v>41.15</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37297</v>
      </c>
      <c r="C2" s="1541" t="s">
        <v>1421</v>
      </c>
      <c r="D2" s="1541"/>
      <c r="E2" s="1542"/>
      <c r="F2" s="1543"/>
      <c r="G2" s="2905"/>
      <c r="H2" s="2894"/>
      <c r="I2" s="2894"/>
      <c r="J2" s="2894"/>
      <c r="K2" s="2895"/>
      <c r="L2" s="2894"/>
      <c r="M2" s="2894"/>
    </row>
    <row r="3" spans="1:37" ht="18" customHeight="1" thickBot="1">
      <c r="A3" s="1544" t="s">
        <v>1422</v>
      </c>
      <c r="B3" s="1545">
        <f ca="1">IF(ISERROR(B2*10000/F43),0,ROUND(B2*10000/F43,0))</f>
        <v>15261</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1760</v>
      </c>
      <c r="D5" s="1518" t="s">
        <v>1307</v>
      </c>
      <c r="E5" s="1203"/>
      <c r="F5" s="1204"/>
      <c r="G5" s="1538"/>
      <c r="H5" s="305">
        <v>1</v>
      </c>
      <c r="I5" s="306" t="s">
        <v>1306</v>
      </c>
      <c r="J5" s="1202">
        <f ca="1">J6+J10+J12</f>
        <v>0</v>
      </c>
      <c r="K5" s="1518" t="s">
        <v>1307</v>
      </c>
      <c r="L5" s="1203"/>
      <c r="M5" s="1204"/>
    </row>
    <row r="6" spans="1:37" ht="18" customHeight="1">
      <c r="A6" s="1201" t="s">
        <v>1003</v>
      </c>
      <c r="B6" s="3404" t="s">
        <v>1308</v>
      </c>
      <c r="C6" s="1206">
        <f ca="1">ROUND(F6*F8*F7*(1-F9)/10000,0)</f>
        <v>1758</v>
      </c>
      <c r="D6" s="160" t="s">
        <v>2790</v>
      </c>
      <c r="E6" s="308" t="s">
        <v>1310</v>
      </c>
      <c r="F6" s="309">
        <f ca="1">INDIRECT("'数据-取费表'!u"&amp;$G$1)</f>
        <v>2.19</v>
      </c>
      <c r="G6" s="1538"/>
      <c r="H6" s="1201" t="s">
        <v>1003</v>
      </c>
      <c r="I6" s="3404" t="s">
        <v>1308</v>
      </c>
      <c r="J6" s="307">
        <f ca="1">ROUND(M6*M8*M7*(1-M9)/10000,0)</f>
        <v>0</v>
      </c>
      <c r="K6" s="160" t="s">
        <v>2789</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24438.69</v>
      </c>
      <c r="G7" s="1538"/>
      <c r="H7" s="310"/>
      <c r="I7" s="3405"/>
      <c r="J7" s="312"/>
      <c r="K7" s="313"/>
      <c r="L7" s="308" t="s">
        <v>1311</v>
      </c>
      <c r="M7" s="309">
        <f ca="1">F7</f>
        <v>24438.69</v>
      </c>
    </row>
    <row r="8" spans="1:37" ht="18" customHeight="1">
      <c r="A8" s="310"/>
      <c r="B8" s="3405"/>
      <c r="C8" s="312"/>
      <c r="D8" s="313"/>
      <c r="E8" s="308" t="s">
        <v>1312</v>
      </c>
      <c r="F8" s="309">
        <f ca="1">INDIRECT("'数据-取费表'!ai"&amp;$G$1)</f>
        <v>365</v>
      </c>
      <c r="G8" s="1538"/>
      <c r="H8" s="310"/>
      <c r="I8" s="3405"/>
      <c r="J8" s="312"/>
      <c r="K8" s="313"/>
      <c r="L8" s="308" t="s">
        <v>1312</v>
      </c>
      <c r="M8" s="309">
        <f ca="1">INDIRECT("'数据-取费表'!ai"&amp;$G$1)</f>
        <v>365</v>
      </c>
    </row>
    <row r="9" spans="1:37" ht="18" customHeight="1">
      <c r="A9" s="310"/>
      <c r="B9" s="3406"/>
      <c r="C9" s="312"/>
      <c r="D9" s="313"/>
      <c r="E9" s="308" t="s">
        <v>1313</v>
      </c>
      <c r="F9" s="318">
        <f ca="1">INDIRECT("'数据-取费表'!w"&amp;$G$1)</f>
        <v>0.1</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2798</v>
      </c>
      <c r="E10" s="319" t="s">
        <v>1315</v>
      </c>
      <c r="F10" s="1248" t="s">
        <v>3164</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11853</v>
      </c>
      <c r="D13" s="1213" t="s">
        <v>1320</v>
      </c>
      <c r="E13" s="1213" t="s">
        <v>1321</v>
      </c>
      <c r="F13" s="1214">
        <f ca="1">INDIRECT("'数据-取费表'!y"&amp;$G$1)</f>
        <v>0.95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8682</v>
      </c>
      <c r="D14" s="1499" t="s">
        <v>1323</v>
      </c>
      <c r="E14" s="1496"/>
      <c r="F14" s="325"/>
      <c r="G14" s="1538"/>
      <c r="H14" s="1113" t="s">
        <v>1003</v>
      </c>
      <c r="I14" s="308" t="s">
        <v>1324</v>
      </c>
      <c r="J14" s="24">
        <f ca="1">C29</f>
        <v>12477</v>
      </c>
      <c r="K14" s="15"/>
      <c r="L14" s="916"/>
      <c r="M14" s="917"/>
    </row>
    <row r="15" spans="1:37" s="1551" customFormat="1" ht="18" customHeight="1" thickBot="1">
      <c r="A15" s="1113" t="s">
        <v>1004</v>
      </c>
      <c r="B15" s="308" t="s">
        <v>1325</v>
      </c>
      <c r="C15" s="24">
        <f ca="1">ROUND(C14*F15,0)</f>
        <v>260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171</v>
      </c>
      <c r="K16" s="1219" t="s">
        <v>1330</v>
      </c>
      <c r="L16" s="1220"/>
      <c r="M16" s="1204"/>
    </row>
    <row r="17" spans="1:37" s="1551" customFormat="1" ht="18" customHeight="1">
      <c r="A17" s="1113" t="s">
        <v>1295</v>
      </c>
      <c r="B17" s="308" t="s">
        <v>1331</v>
      </c>
      <c r="C17" s="24">
        <f ca="1">ROUND(F17*(F43+INDIRECT("'数据-取费表'!S"&amp;$G$1))/10000,0)</f>
        <v>496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109</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130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9568</v>
      </c>
      <c r="D19" s="136" t="s">
        <v>1341</v>
      </c>
      <c r="E19" s="1514"/>
      <c r="F19" s="26"/>
      <c r="G19" s="1538"/>
      <c r="H19" s="1113" t="s">
        <v>1004</v>
      </c>
      <c r="I19" s="308" t="s">
        <v>1342</v>
      </c>
      <c r="J19" s="24">
        <f ca="1">IF(K19="按租金收入计税",ROUND(J6*M19/(1+'数据-取费表'!C42),2),ROUND(C29*M19*0.7,2))</f>
        <v>104.81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191</v>
      </c>
      <c r="D20" s="329" t="s">
        <v>1345</v>
      </c>
      <c r="E20" s="308" t="s">
        <v>1327</v>
      </c>
      <c r="F20" s="328">
        <f>'数据-取费表'!B37</f>
        <v>0.02</v>
      </c>
      <c r="G20" s="1550"/>
      <c r="H20" s="1113" t="s">
        <v>1294</v>
      </c>
      <c r="I20" s="160" t="s">
        <v>1346</v>
      </c>
      <c r="J20" s="25">
        <f ca="1">ROUND(M20*M21/10000,2)</f>
        <v>4.01</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13382.27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62.4</v>
      </c>
      <c r="K22" s="1498"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306</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-171</v>
      </c>
      <c r="K25" s="1227" t="s">
        <v>1369</v>
      </c>
      <c r="L25" s="1228"/>
      <c r="M25" s="1229"/>
    </row>
    <row r="26" spans="1:37">
      <c r="A26" s="1113" t="s">
        <v>1002</v>
      </c>
      <c r="B26" s="308" t="s">
        <v>1370</v>
      </c>
      <c r="C26" s="24">
        <f ca="1">ROUND((C19+C20)*F26,0)</f>
        <v>1464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12477</v>
      </c>
      <c r="D29" s="1224"/>
      <c r="E29" s="1222"/>
      <c r="F29" s="1225"/>
      <c r="G29" s="1550"/>
      <c r="H29" s="340" t="s">
        <v>1001</v>
      </c>
      <c r="I29" s="341" t="s">
        <v>1384</v>
      </c>
      <c r="J29" s="342">
        <f ca="1">ROUND(J26/(1+F40)^F41,0)</f>
        <v>0</v>
      </c>
      <c r="K29" s="343" t="s">
        <v>1385</v>
      </c>
      <c r="L29" s="344"/>
      <c r="M29" s="345">
        <f ca="1">INDIRECT("'数据-取费表'!k"&amp;$G$1)</f>
        <v>24438.69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407</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297</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92.09</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200.91</v>
      </c>
      <c r="D33" s="1524" t="s">
        <v>3165</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4.01</v>
      </c>
      <c r="D34" s="330" t="s">
        <v>1347</v>
      </c>
      <c r="E34" s="308" t="s">
        <v>1348</v>
      </c>
      <c r="F34" s="331">
        <f>'数据-取费表'!B52</f>
        <v>3</v>
      </c>
      <c r="G34" s="1538"/>
      <c r="H34" s="2896"/>
      <c r="I34" s="1552"/>
      <c r="J34" s="1553"/>
      <c r="K34" s="2901"/>
      <c r="L34" s="2902"/>
      <c r="M34" s="2902"/>
    </row>
    <row r="35" spans="1:18" ht="18" customHeight="1">
      <c r="A35" s="1235"/>
      <c r="B35" s="1233"/>
      <c r="C35" s="29"/>
      <c r="D35" s="333"/>
      <c r="E35" s="308" t="s">
        <v>1352</v>
      </c>
      <c r="F35" s="309">
        <f ca="1">INDIRECT("'数据-取费表'!r"&amp;$G$1)</f>
        <v>13382.27</v>
      </c>
      <c r="G35" s="1538"/>
      <c r="H35" s="2896"/>
      <c r="I35" s="1552"/>
      <c r="J35" s="1553"/>
      <c r="K35" s="2900"/>
      <c r="L35" s="2899"/>
      <c r="M35" s="2899"/>
    </row>
    <row r="36" spans="1:18" ht="18" customHeight="1">
      <c r="A36" s="1234" t="s">
        <v>1007</v>
      </c>
      <c r="B36" s="308" t="s">
        <v>1354</v>
      </c>
      <c r="C36" s="24">
        <f ca="1">ROUND(C29*F36,1)</f>
        <v>62.4</v>
      </c>
      <c r="D36" s="1498" t="s">
        <v>1387</v>
      </c>
      <c r="E36" s="308" t="s">
        <v>1327</v>
      </c>
      <c r="F36" s="334">
        <f ca="1">INDIRECT("'数据-取费表'!Ak"&amp;$G$1)</f>
        <v>5.0000000000000001E-3</v>
      </c>
      <c r="G36" s="1538"/>
      <c r="H36" s="2899"/>
      <c r="I36" s="1552"/>
      <c r="J36" s="1553"/>
      <c r="K36" s="2740"/>
      <c r="L36" s="2899"/>
      <c r="M36" s="2899"/>
    </row>
    <row r="37" spans="1:18" ht="18" customHeight="1">
      <c r="A37" s="1113" t="s">
        <v>1043</v>
      </c>
      <c r="B37" s="308" t="s">
        <v>1358</v>
      </c>
      <c r="C37" s="24">
        <f ca="1">ROUND(C13*F37,1)</f>
        <v>11.9</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35.200000000000003</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1353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36989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41.15</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15135</v>
      </c>
      <c r="D43" s="343" t="s">
        <v>1393</v>
      </c>
      <c r="E43" s="344" t="s">
        <v>1394</v>
      </c>
      <c r="F43" s="345">
        <f ca="1">INDIRECT("'数据-取费表'!k"&amp;$G$1)</f>
        <v>24438.69</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-56485</v>
      </c>
      <c r="D46" s="1560" t="str">
        <f>C2</f>
        <v>万元</v>
      </c>
      <c r="E46" s="1554"/>
      <c r="F46" s="1554"/>
      <c r="I46" s="1561" t="s">
        <v>1426</v>
      </c>
      <c r="J46" s="1562"/>
      <c r="K46" s="1563"/>
      <c r="L46" s="1564">
        <f ca="1">IF(M47="住宅",0,IF(L48&gt;J51,L60,J60))</f>
        <v>308</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3166</v>
      </c>
      <c r="K47" s="1570" t="s">
        <v>1432</v>
      </c>
      <c r="L47" s="1571">
        <f ca="1">INDIRECT("'数据-取费表'!d"&amp;$G$1)</f>
        <v>50</v>
      </c>
      <c r="M47" s="1534" t="str">
        <f>IF(ISNUMBER(FIND("住宅",C1)),"住宅","非住宅")</f>
        <v>非住宅</v>
      </c>
      <c r="O47" s="1572" t="s">
        <v>1008</v>
      </c>
      <c r="P47" s="1573" t="s">
        <v>1433</v>
      </c>
      <c r="Q47" s="1574">
        <f ca="1">C40+J29</f>
        <v>36989</v>
      </c>
      <c r="R47" s="1574" t="s">
        <v>1434</v>
      </c>
    </row>
    <row r="48" spans="1:18" s="1538" customFormat="1" ht="28.5" thickBot="1">
      <c r="A48" s="1242" t="s">
        <v>1044</v>
      </c>
      <c r="B48" s="306" t="s">
        <v>1306</v>
      </c>
      <c r="C48" s="1513">
        <f ca="1">C49+C53+C55</f>
        <v>0</v>
      </c>
      <c r="D48" s="1244"/>
      <c r="E48" s="1245"/>
      <c r="F48" s="1093"/>
      <c r="G48" s="731"/>
      <c r="H48" s="732"/>
      <c r="I48" s="1575" t="s">
        <v>1435</v>
      </c>
      <c r="J48" s="1576" t="s">
        <v>3167</v>
      </c>
      <c r="K48" s="1577" t="s">
        <v>1436</v>
      </c>
      <c r="L48" s="1578">
        <f ca="1">INDIRECT("'数据-取费表'!f"&amp;$G$1)</f>
        <v>41.15</v>
      </c>
      <c r="O48" s="1572" t="s">
        <v>1009</v>
      </c>
      <c r="P48" s="1573" t="s">
        <v>1437</v>
      </c>
      <c r="Q48" s="1574">
        <f ca="1">J60</f>
        <v>308</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2019</v>
      </c>
      <c r="K49" s="1577" t="s">
        <v>1440</v>
      </c>
      <c r="L49" s="1581"/>
      <c r="O49" s="1582" t="s">
        <v>1010</v>
      </c>
      <c r="P49" s="1573" t="s">
        <v>1441</v>
      </c>
      <c r="Q49" s="1574">
        <f ca="1">C29</f>
        <v>12477</v>
      </c>
      <c r="R49" s="1574" t="s">
        <v>1434</v>
      </c>
    </row>
    <row r="50" spans="1:18" s="1538" customFormat="1" ht="13.5" thickBot="1">
      <c r="A50" s="1107"/>
      <c r="B50" s="1110"/>
      <c r="C50" s="1250"/>
      <c r="D50" s="1084"/>
      <c r="E50" s="1187" t="s">
        <v>1311</v>
      </c>
      <c r="F50" s="1188">
        <f ca="1">F7</f>
        <v>24438.69</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57</v>
      </c>
      <c r="K51" s="1588" t="s">
        <v>1446</v>
      </c>
      <c r="L51" s="1589">
        <f ca="1">ROUND(-PV(INDIRECT("'数据-取费表'!h"&amp;$G$1),J51,(C39-C13*C76),0),0)</f>
        <v>11893</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v>7.0000000000000007E-2</v>
      </c>
      <c r="K52" s="1591" t="s">
        <v>1449</v>
      </c>
      <c r="L52" s="1592"/>
      <c r="O52" s="1582" t="s">
        <v>1013</v>
      </c>
      <c r="P52" s="1573" t="s">
        <v>1450</v>
      </c>
      <c r="Q52" s="1574">
        <f ca="1">J53</f>
        <v>41.15</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41.15</v>
      </c>
      <c r="K53" s="3402" t="s">
        <v>1453</v>
      </c>
      <c r="L53" s="3403"/>
      <c r="O53" s="1572" t="s">
        <v>1014</v>
      </c>
      <c r="P53" s="1573" t="s">
        <v>1454</v>
      </c>
      <c r="Q53" s="1574">
        <f ca="1">Q47+Q48</f>
        <v>37297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0.26400000000000001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11853</v>
      </c>
      <c r="D56" s="1601"/>
      <c r="E56" s="1602"/>
      <c r="F56" s="1594"/>
      <c r="I56" s="1603" t="s">
        <v>1459</v>
      </c>
      <c r="J56" s="1604" t="s">
        <v>3168</v>
      </c>
      <c r="K56" s="1575" t="s">
        <v>1460</v>
      </c>
      <c r="L56" s="1578" t="str">
        <f ca="1">IF(L48&lt;J51,"——",L48-J53)</f>
        <v>——</v>
      </c>
      <c r="O56" s="1572" t="s">
        <v>1008</v>
      </c>
      <c r="P56" s="1573" t="s">
        <v>1433</v>
      </c>
      <c r="Q56" s="1574">
        <f ca="1">C40+J29</f>
        <v>36989</v>
      </c>
      <c r="R56" s="1574" t="s">
        <v>1434</v>
      </c>
    </row>
    <row r="57" spans="1:18" s="1538" customFormat="1" ht="24.75" thickBot="1">
      <c r="A57" s="1605"/>
      <c r="B57" s="1081" t="s">
        <v>1383</v>
      </c>
      <c r="C57" s="244">
        <f ca="1">C29</f>
        <v>12477</v>
      </c>
      <c r="D57" s="1606"/>
      <c r="E57" s="1607"/>
      <c r="F57" s="1608"/>
      <c r="I57" s="1609" t="s">
        <v>1461</v>
      </c>
      <c r="J57" s="1610">
        <f ca="1">IF(OR(M47="住宅",J51&lt;L48,J56="是"),"——",J51-L48)</f>
        <v>15.850000000000001</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1126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1052</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4991</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308</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1048.07</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4.01</v>
      </c>
      <c r="D62" s="1096" t="s">
        <v>1402</v>
      </c>
      <c r="E62" s="1081" t="s">
        <v>1403</v>
      </c>
      <c r="F62" s="331">
        <f t="shared" si="0"/>
        <v>3</v>
      </c>
      <c r="I62" s="1616" t="s">
        <v>1475</v>
      </c>
      <c r="J62" s="1617" t="s">
        <v>1476</v>
      </c>
      <c r="K62" s="1617" t="s">
        <v>1477</v>
      </c>
      <c r="L62" s="1617" t="s">
        <v>1478</v>
      </c>
      <c r="M62" s="1618" t="s">
        <v>1479</v>
      </c>
      <c r="O62" s="1572" t="s">
        <v>1014</v>
      </c>
      <c r="P62" s="1573" t="s">
        <v>1480</v>
      </c>
      <c r="Q62" s="1574">
        <f ca="1">Q56+Q57</f>
        <v>36989</v>
      </c>
      <c r="R62" s="1574" t="s">
        <v>1015</v>
      </c>
    </row>
    <row r="63" spans="1:18" s="1538" customFormat="1" ht="13.5" thickBot="1">
      <c r="A63" s="332"/>
      <c r="B63" s="1087"/>
      <c r="C63" s="29"/>
      <c r="D63" s="1097"/>
      <c r="E63" s="1081" t="s">
        <v>1404</v>
      </c>
      <c r="F63" s="309">
        <f t="shared" ca="1" si="0"/>
        <v>13382.27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62.4</v>
      </c>
      <c r="D64" s="1095" t="s">
        <v>1407</v>
      </c>
      <c r="E64" s="1081" t="s">
        <v>1399</v>
      </c>
      <c r="F64" s="334">
        <f t="shared" ca="1" si="0"/>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11.9</v>
      </c>
      <c r="D65" s="1095" t="s">
        <v>1359</v>
      </c>
      <c r="E65" s="1081" t="s">
        <v>1360</v>
      </c>
      <c r="F65" s="336">
        <f t="shared" ca="1" si="0"/>
        <v>1E-3</v>
      </c>
      <c r="I65" s="1616" t="s">
        <v>1484</v>
      </c>
      <c r="J65" s="1617">
        <v>40</v>
      </c>
      <c r="K65" s="1617">
        <v>30</v>
      </c>
      <c r="L65" s="1617">
        <v>50</v>
      </c>
      <c r="M65" s="1619">
        <v>0.02</v>
      </c>
      <c r="O65" s="1572" t="s">
        <v>1008</v>
      </c>
      <c r="P65" s="1573" t="s">
        <v>1485</v>
      </c>
      <c r="Q65" s="1574">
        <f ca="1">C40+J29</f>
        <v>36989</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-1126</v>
      </c>
      <c r="D67" s="1094" t="s">
        <v>1369</v>
      </c>
      <c r="E67" s="1099"/>
      <c r="F67" s="1100"/>
      <c r="O67" s="1582" t="s">
        <v>1010</v>
      </c>
      <c r="P67" s="1573" t="s">
        <v>1467</v>
      </c>
      <c r="Q67" s="1620">
        <f ca="1">L51</f>
        <v>11893</v>
      </c>
      <c r="R67" s="1574" t="s">
        <v>1487</v>
      </c>
    </row>
    <row r="68" spans="1:18" s="1538" customFormat="1" ht="16.5" thickBot="1">
      <c r="A68" s="1078" t="s">
        <v>1000</v>
      </c>
      <c r="B68" s="1079" t="s">
        <v>1390</v>
      </c>
      <c r="C68" s="307">
        <f ca="1">ROUND(C67*(1-((1+F70)/(1+F68))^F69)/(F68-F70),0)</f>
        <v>-19496</v>
      </c>
      <c r="D68" s="1096" t="s">
        <v>1374</v>
      </c>
      <c r="E68" s="1081" t="s">
        <v>1375</v>
      </c>
      <c r="F68" s="318">
        <f ca="1">F40</f>
        <v>0.05</v>
      </c>
      <c r="O68" s="1582" t="s">
        <v>1011</v>
      </c>
      <c r="P68" s="1621" t="s">
        <v>1488</v>
      </c>
      <c r="Q68" s="1574">
        <f ca="1">ROUND(Q69-Q70*Q71,0)</f>
        <v>583</v>
      </c>
      <c r="R68" s="1574" t="s">
        <v>1019</v>
      </c>
    </row>
    <row r="69" spans="1:18" s="1538" customFormat="1" ht="13.5" thickBot="1">
      <c r="A69" s="1082"/>
      <c r="B69" s="1083"/>
      <c r="C69" s="312"/>
      <c r="D69" s="1101" t="s">
        <v>1378</v>
      </c>
      <c r="E69" s="1081" t="s">
        <v>1379</v>
      </c>
      <c r="F69" s="339">
        <f ca="1">F41</f>
        <v>41.15</v>
      </c>
      <c r="O69" s="1582" t="s">
        <v>1016</v>
      </c>
      <c r="P69" s="1621" t="s">
        <v>1489</v>
      </c>
      <c r="Q69" s="1574">
        <f ca="1">C39</f>
        <v>1353</v>
      </c>
      <c r="R69" s="1574" t="s">
        <v>1434</v>
      </c>
    </row>
    <row r="70" spans="1:18" s="1538" customFormat="1" ht="13.5" thickBot="1">
      <c r="A70" s="1085"/>
      <c r="B70" s="1086"/>
      <c r="C70" s="316"/>
      <c r="D70" s="1097"/>
      <c r="E70" s="1081" t="s">
        <v>1382</v>
      </c>
      <c r="F70" s="1185"/>
      <c r="O70" s="1582" t="s">
        <v>1017</v>
      </c>
      <c r="P70" s="1621" t="s">
        <v>1490</v>
      </c>
      <c r="Q70" s="1574">
        <f ca="1">C13</f>
        <v>11853</v>
      </c>
      <c r="R70" s="1574" t="s">
        <v>1434</v>
      </c>
    </row>
    <row r="71" spans="1:18" s="1538" customFormat="1" ht="13.5" thickBot="1">
      <c r="A71" s="1102" t="s">
        <v>1001</v>
      </c>
      <c r="B71" s="1103" t="s">
        <v>1392</v>
      </c>
      <c r="C71" s="342">
        <f ca="1">ROUND(C68*10000/F71,0)</f>
        <v>-7978</v>
      </c>
      <c r="D71" s="1104" t="s">
        <v>1393</v>
      </c>
      <c r="E71" s="1105" t="s">
        <v>1394</v>
      </c>
      <c r="F71" s="345">
        <f ca="1">F43</f>
        <v>24438.69</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770</v>
      </c>
      <c r="D75" s="1538"/>
      <c r="E75" s="1538"/>
      <c r="F75" s="1538"/>
      <c r="K75" s="1556"/>
      <c r="L75" s="1538"/>
      <c r="O75" s="1572" t="s">
        <v>1014</v>
      </c>
      <c r="P75" s="1573" t="s">
        <v>1454</v>
      </c>
      <c r="Q75" s="1574">
        <f ca="1">Q65+Q66</f>
        <v>36989</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0.43100000000000005</v>
      </c>
    </row>
    <row r="80" spans="1:18">
      <c r="B80" s="346" t="s">
        <v>1416</v>
      </c>
      <c r="C80" s="280">
        <f ca="1">ROUND(C75/C39,3)</f>
        <v>0.56899999999999995</v>
      </c>
    </row>
    <row r="81" spans="2:3">
      <c r="B81" s="276" t="s">
        <v>1417</v>
      </c>
      <c r="C81" s="244"/>
    </row>
    <row r="82" spans="2:3">
      <c r="B82" s="279" t="s">
        <v>1418</v>
      </c>
      <c r="C82" s="281">
        <f ca="1">1-C83</f>
        <v>0.67999999999999994</v>
      </c>
    </row>
    <row r="83" spans="2:3">
      <c r="B83" s="279" t="s">
        <v>1419</v>
      </c>
      <c r="C83" s="280">
        <f ca="1">ROUND(C13/C40,3)</f>
        <v>0.32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4" t="s">
        <v>1308</v>
      </c>
      <c r="C6" s="1206">
        <f ca="1">ROUND(F6*F8*F7*(1-F9),0)</f>
        <v>0</v>
      </c>
      <c r="D6" s="160" t="s">
        <v>2787</v>
      </c>
      <c r="E6" s="308" t="s">
        <v>1310</v>
      </c>
      <c r="F6" s="309">
        <f ca="1">INDIRECT("'数据-取费表'!u"&amp;$G$1)</f>
        <v>0</v>
      </c>
      <c r="G6" s="1538"/>
      <c r="H6" s="1201" t="s">
        <v>1003</v>
      </c>
      <c r="I6" s="3404" t="s">
        <v>1308</v>
      </c>
      <c r="J6" s="307">
        <f ca="1">ROUND(M6*M8*M7*(1-M9),0)</f>
        <v>0</v>
      </c>
      <c r="K6" s="1530" t="s">
        <v>2788</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0</v>
      </c>
      <c r="G7" s="1538"/>
      <c r="H7" s="310"/>
      <c r="I7" s="3405"/>
      <c r="J7" s="312"/>
      <c r="K7" s="313"/>
      <c r="L7" s="308" t="s">
        <v>1311</v>
      </c>
      <c r="M7" s="309">
        <f ca="1">F7</f>
        <v>0</v>
      </c>
    </row>
    <row r="8" spans="1:37" ht="18" customHeight="1">
      <c r="A8" s="310"/>
      <c r="B8" s="3405"/>
      <c r="C8" s="312"/>
      <c r="D8" s="313"/>
      <c r="E8" s="308" t="s">
        <v>1312</v>
      </c>
      <c r="F8" s="309">
        <f ca="1">INDIRECT("'数据-取费表'!ai"&amp;$G$1)</f>
        <v>0</v>
      </c>
      <c r="G8" s="1538"/>
      <c r="H8" s="310"/>
      <c r="I8" s="3405"/>
      <c r="J8" s="312"/>
      <c r="K8" s="313"/>
      <c r="L8" s="308" t="s">
        <v>1312</v>
      </c>
      <c r="M8" s="309">
        <f ca="1">INDIRECT("'数据-取费表'!ai"&amp;$G$1)</f>
        <v>0</v>
      </c>
    </row>
    <row r="9" spans="1:37" ht="18" customHeight="1">
      <c r="A9" s="310"/>
      <c r="B9" s="3406"/>
      <c r="C9" s="312"/>
      <c r="D9" s="313"/>
      <c r="E9" s="308" t="s">
        <v>1313</v>
      </c>
      <c r="F9" s="318">
        <f ca="1">INDIRECT("'数据-取费表'!w"&amp;$G$1)</f>
        <v>0</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3</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2" t="s">
        <v>1453</v>
      </c>
      <c r="L53" s="3403"/>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3</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13" t="s">
        <v>3007</v>
      </c>
      <c r="K2" s="3414"/>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15" t="s">
        <v>3017</v>
      </c>
      <c r="K3" s="3416"/>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15" t="s">
        <v>3019</v>
      </c>
      <c r="K4" s="3416"/>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21" t="s">
        <v>3023</v>
      </c>
      <c r="B6" s="3422"/>
      <c r="C6" s="3423"/>
      <c r="D6" s="3071"/>
      <c r="E6" s="3072"/>
      <c r="F6" s="3073"/>
      <c r="G6" s="3074"/>
      <c r="H6" s="3049"/>
      <c r="I6" s="3050"/>
      <c r="J6" s="3407">
        <v>1</v>
      </c>
      <c r="K6" s="3408"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07"/>
      <c r="K7" s="3409"/>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24" t="s">
        <v>3037</v>
      </c>
      <c r="C8" s="3425"/>
      <c r="D8" s="3090" t="s">
        <v>3038</v>
      </c>
      <c r="E8" s="3091" t="s">
        <v>3039</v>
      </c>
      <c r="F8" s="3092" t="s">
        <v>3040</v>
      </c>
      <c r="G8" s="3093"/>
      <c r="H8" s="3049"/>
      <c r="I8" s="3050"/>
      <c r="J8" s="3407"/>
      <c r="K8" s="3409"/>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24" t="s">
        <v>3043</v>
      </c>
      <c r="C9" s="3425"/>
      <c r="D9" s="3090">
        <f>ROUND(D6*E9,0)</f>
        <v>0</v>
      </c>
      <c r="E9" s="3094"/>
      <c r="F9" s="3095" t="s">
        <v>3044</v>
      </c>
      <c r="G9" s="3074"/>
      <c r="H9" s="3049"/>
      <c r="I9" s="3050"/>
      <c r="J9" s="3407"/>
      <c r="K9" s="3409"/>
      <c r="L9" s="3084" t="s">
        <v>3045</v>
      </c>
      <c r="M9" s="3085"/>
      <c r="N9" s="3061"/>
      <c r="O9" s="3086"/>
      <c r="P9" s="3086"/>
      <c r="Q9" s="3087">
        <v>365</v>
      </c>
      <c r="R9" s="3088">
        <f t="shared" si="0"/>
        <v>0</v>
      </c>
      <c r="S9" s="3042"/>
      <c r="T9" s="3042"/>
      <c r="U9" s="3042"/>
      <c r="V9" s="3050"/>
    </row>
    <row r="10" spans="1:22" s="3054" customFormat="1" ht="13.15" customHeight="1">
      <c r="A10" s="3089">
        <v>2</v>
      </c>
      <c r="B10" s="3424" t="s">
        <v>3046</v>
      </c>
      <c r="C10" s="3425"/>
      <c r="D10" s="3090">
        <f>ROUND(D6*E10,0)</f>
        <v>0</v>
      </c>
      <c r="E10" s="3094"/>
      <c r="F10" s="3095" t="s">
        <v>3047</v>
      </c>
      <c r="G10" s="3074"/>
      <c r="H10" s="3049"/>
      <c r="I10" s="3050"/>
      <c r="J10" s="3407"/>
      <c r="K10" s="3409"/>
      <c r="L10" s="3084" t="s">
        <v>3048</v>
      </c>
      <c r="M10" s="3085"/>
      <c r="N10" s="3061"/>
      <c r="O10" s="3086"/>
      <c r="P10" s="3086"/>
      <c r="Q10" s="3087">
        <v>365</v>
      </c>
      <c r="R10" s="3088">
        <f t="shared" si="0"/>
        <v>0</v>
      </c>
      <c r="S10" s="3042"/>
      <c r="T10" s="3042"/>
      <c r="U10" s="3042"/>
      <c r="V10" s="3050"/>
    </row>
    <row r="11" spans="1:22" s="3054" customFormat="1" ht="13.15" customHeight="1">
      <c r="A11" s="3089">
        <v>3</v>
      </c>
      <c r="B11" s="3424" t="s">
        <v>3049</v>
      </c>
      <c r="C11" s="3425"/>
      <c r="D11" s="3090">
        <f>D12+D14+D15+D16</f>
        <v>0</v>
      </c>
      <c r="E11" s="3096" t="e">
        <f>D11/D6</f>
        <v>#DIV/0!</v>
      </c>
      <c r="F11" s="3092"/>
      <c r="G11" s="3093"/>
      <c r="H11" s="3049"/>
      <c r="I11" s="3050"/>
      <c r="J11" s="3407"/>
      <c r="K11" s="3409"/>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7" t="s">
        <v>3052</v>
      </c>
      <c r="C12" s="3418"/>
      <c r="D12" s="3098">
        <f>ROUND(D13*1.2%*(1-30%),0)</f>
        <v>0</v>
      </c>
      <c r="E12" s="3099">
        <v>1.2E-2</v>
      </c>
      <c r="F12" s="3092" t="s">
        <v>3053</v>
      </c>
      <c r="G12" s="3093"/>
      <c r="H12" s="3049"/>
      <c r="I12" s="3050"/>
      <c r="J12" s="3407"/>
      <c r="K12" s="3409"/>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07"/>
      <c r="K13" s="3409"/>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7" t="s">
        <v>3058</v>
      </c>
      <c r="C14" s="3418"/>
      <c r="D14" s="3098">
        <f>ROUND(E14*B5/10000,0)</f>
        <v>0</v>
      </c>
      <c r="E14" s="3087"/>
      <c r="F14" s="3092" t="s">
        <v>3059</v>
      </c>
      <c r="G14" s="3093"/>
      <c r="H14" s="3049"/>
      <c r="I14" s="3050"/>
      <c r="J14" s="3407"/>
      <c r="K14" s="3410"/>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7" t="s">
        <v>3062</v>
      </c>
      <c r="C15" s="3418"/>
      <c r="D15" s="3098">
        <f>ROUND(D6*E15,0)</f>
        <v>0</v>
      </c>
      <c r="E15" s="3099">
        <v>5.5E-2</v>
      </c>
      <c r="F15" s="3092" t="s">
        <v>3063</v>
      </c>
      <c r="G15" s="3074"/>
      <c r="H15" s="3049"/>
      <c r="I15" s="3050"/>
      <c r="J15" s="3407">
        <v>2</v>
      </c>
      <c r="K15" s="3408"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7" t="s">
        <v>3071</v>
      </c>
      <c r="C16" s="3418"/>
      <c r="D16" s="3109">
        <f>D6*E16</f>
        <v>0</v>
      </c>
      <c r="E16" s="3110"/>
      <c r="F16" s="3095" t="s">
        <v>3072</v>
      </c>
      <c r="G16" s="3074"/>
      <c r="H16" s="3049"/>
      <c r="I16" s="3050"/>
      <c r="J16" s="3407"/>
      <c r="K16" s="3409"/>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9" t="s">
        <v>3074</v>
      </c>
      <c r="C17" s="3420"/>
      <c r="D17" s="3112">
        <f>ROUND(D6*E17,0)</f>
        <v>0</v>
      </c>
      <c r="E17" s="3113"/>
      <c r="F17" s="3114" t="s">
        <v>3075</v>
      </c>
      <c r="G17" s="3074"/>
      <c r="H17" s="3049"/>
      <c r="I17" s="3050"/>
      <c r="J17" s="3407"/>
      <c r="K17" s="3409"/>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07"/>
      <c r="K18" s="3409"/>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07"/>
      <c r="K19" s="3410"/>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7">
        <v>3</v>
      </c>
      <c r="K20" s="3408"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07"/>
      <c r="K21" s="3409"/>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07"/>
      <c r="K22" s="3409"/>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07"/>
      <c r="K23" s="3409"/>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07"/>
      <c r="K24" s="3410"/>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11">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1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13" t="s">
        <v>3007</v>
      </c>
      <c r="K32" s="3414"/>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15" t="s">
        <v>3017</v>
      </c>
      <c r="K33" s="3416"/>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15" t="s">
        <v>3019</v>
      </c>
      <c r="K34" s="341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07">
        <v>1</v>
      </c>
      <c r="K36" s="3408"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07"/>
      <c r="K37" s="3409"/>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7"/>
      <c r="K38" s="3409"/>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07"/>
      <c r="K39" s="3409"/>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07"/>
      <c r="K40" s="3410"/>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1">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1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37297</v>
      </c>
      <c r="C2" s="2028" t="s">
        <v>2279</v>
      </c>
      <c r="D2" s="2029" t="s">
        <v>2280</v>
      </c>
      <c r="E2" s="2803">
        <f>SUM(E6:E13)</f>
        <v>24804.469999999998</v>
      </c>
      <c r="F2" s="2906"/>
      <c r="G2" s="1644"/>
      <c r="H2" s="1644"/>
      <c r="I2" s="1644"/>
      <c r="J2" s="1644"/>
      <c r="K2" s="1644"/>
      <c r="L2" s="1644"/>
      <c r="M2" s="1644"/>
      <c r="N2" s="1644"/>
      <c r="O2" s="1644"/>
      <c r="P2" s="1644"/>
      <c r="Q2" s="1644"/>
      <c r="R2" s="1644"/>
      <c r="S2" s="1644"/>
    </row>
    <row r="3" spans="1:22" ht="15.75">
      <c r="A3" s="2026" t="s">
        <v>1300</v>
      </c>
      <c r="B3" s="2797">
        <f ca="1">ROUND(B2*10000/E2,0)</f>
        <v>15036</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6" t="s">
        <v>2282</v>
      </c>
      <c r="C5" s="342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37297</v>
      </c>
      <c r="C6" s="2028" t="s">
        <v>2279</v>
      </c>
      <c r="D6" s="2908"/>
      <c r="E6" s="2802">
        <f>IF(OR(A6=0,F6="否"),0,'数据-取费表'!K6+'数据-取费表'!S6)</f>
        <v>24804.469999999998</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24804.469999999998</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6" t="s">
        <v>2296</v>
      </c>
      <c r="D4" s="3447"/>
      <c r="E4" s="3448" t="s">
        <v>2297</v>
      </c>
      <c r="F4" s="3449"/>
      <c r="G4" s="3446" t="s">
        <v>2298</v>
      </c>
      <c r="H4" s="3447"/>
      <c r="I4" s="3446" t="s">
        <v>2299</v>
      </c>
      <c r="J4" s="3447"/>
      <c r="K4" s="2045" t="s">
        <v>2300</v>
      </c>
      <c r="L4" s="2914"/>
      <c r="M4" s="2915"/>
      <c r="N4" s="2915"/>
      <c r="O4" s="2915"/>
      <c r="P4" s="3450" t="s">
        <v>2301</v>
      </c>
      <c r="Q4" s="3451"/>
      <c r="R4" s="3456" t="s">
        <v>2297</v>
      </c>
      <c r="S4" s="3457"/>
      <c r="T4" s="3456" t="s">
        <v>2298</v>
      </c>
      <c r="U4" s="3457"/>
      <c r="V4" s="3462" t="s">
        <v>2299</v>
      </c>
      <c r="W4" s="3462"/>
      <c r="X4" s="1509"/>
      <c r="Y4" s="3456" t="s">
        <v>2301</v>
      </c>
      <c r="Z4" s="3457"/>
      <c r="AA4" s="3443" t="s">
        <v>2297</v>
      </c>
      <c r="AB4" s="3443" t="s">
        <v>2298</v>
      </c>
      <c r="AC4" s="3443" t="s">
        <v>2299</v>
      </c>
    </row>
    <row r="5" spans="1:29" ht="15">
      <c r="A5" s="364"/>
      <c r="B5" s="365"/>
      <c r="C5" s="3465" t="s">
        <v>2302</v>
      </c>
      <c r="D5" s="3466"/>
      <c r="E5" s="3472" t="s">
        <v>2303</v>
      </c>
      <c r="F5" s="3473"/>
      <c r="G5" s="3465" t="s">
        <v>2304</v>
      </c>
      <c r="H5" s="3466"/>
      <c r="I5" s="3465" t="s">
        <v>2305</v>
      </c>
      <c r="J5" s="3466"/>
      <c r="K5" s="2046"/>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2046"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7" t="s">
        <v>2309</v>
      </c>
      <c r="Q7" s="3469"/>
      <c r="R7" s="710" t="s">
        <v>23</v>
      </c>
      <c r="S7" s="711">
        <f t="shared" ref="S7:S15" si="0">F7</f>
        <v>0</v>
      </c>
      <c r="T7" s="710" t="s">
        <v>23</v>
      </c>
      <c r="U7" s="711">
        <f t="shared" ref="U7:U15" si="1">H7</f>
        <v>0</v>
      </c>
      <c r="V7" s="710" t="s">
        <v>23</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7" t="s">
        <v>2312</v>
      </c>
      <c r="Q8" s="3468"/>
      <c r="R8" s="710" t="s">
        <v>23</v>
      </c>
      <c r="S8" s="711">
        <f t="shared" si="0"/>
        <v>0</v>
      </c>
      <c r="T8" s="710" t="s">
        <v>23</v>
      </c>
      <c r="U8" s="711">
        <f t="shared" si="1"/>
        <v>0</v>
      </c>
      <c r="V8" s="710" t="s">
        <v>23</v>
      </c>
      <c r="W8" s="711">
        <f t="shared" si="2"/>
        <v>0</v>
      </c>
      <c r="X8" s="712"/>
      <c r="Y8" s="3467" t="s">
        <v>2312</v>
      </c>
      <c r="Z8" s="3468"/>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2"/>
      <c r="Q11" s="1497" t="str">
        <f t="shared" si="6"/>
        <v>容积率</v>
      </c>
      <c r="R11" s="710" t="s">
        <v>21</v>
      </c>
      <c r="S11" s="711" t="e">
        <f t="shared" si="0"/>
        <v>#N/A</v>
      </c>
      <c r="T11" s="710" t="s">
        <v>21</v>
      </c>
      <c r="U11" s="711" t="e">
        <f t="shared" si="1"/>
        <v>#N/A</v>
      </c>
      <c r="V11" s="710" t="s">
        <v>21</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2"/>
      <c r="Q12" s="1497">
        <f t="shared" si="6"/>
        <v>111</v>
      </c>
      <c r="R12" s="710" t="s">
        <v>21</v>
      </c>
      <c r="S12" s="711">
        <f t="shared" si="0"/>
        <v>100</v>
      </c>
      <c r="T12" s="710" t="s">
        <v>21</v>
      </c>
      <c r="U12" s="711">
        <f t="shared" si="1"/>
        <v>100</v>
      </c>
      <c r="V12" s="710" t="s">
        <v>21</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2"/>
      <c r="Q13" s="1497">
        <f t="shared" si="6"/>
        <v>111</v>
      </c>
      <c r="R13" s="710" t="s">
        <v>21</v>
      </c>
      <c r="S13" s="711">
        <f t="shared" si="0"/>
        <v>100</v>
      </c>
      <c r="T13" s="710" t="s">
        <v>21</v>
      </c>
      <c r="U13" s="711">
        <f t="shared" si="1"/>
        <v>100</v>
      </c>
      <c r="V13" s="710" t="s">
        <v>21</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2"/>
      <c r="Q14" s="1497">
        <f t="shared" si="6"/>
        <v>111</v>
      </c>
      <c r="R14" s="710" t="s">
        <v>21</v>
      </c>
      <c r="S14" s="711">
        <f t="shared" si="0"/>
        <v>100</v>
      </c>
      <c r="T14" s="710" t="s">
        <v>21</v>
      </c>
      <c r="U14" s="711">
        <f t="shared" si="1"/>
        <v>100</v>
      </c>
      <c r="V14" s="710" t="s">
        <v>21</v>
      </c>
      <c r="W14" s="711">
        <f t="shared" si="2"/>
        <v>100</v>
      </c>
      <c r="X14" s="712"/>
      <c r="Y14" s="3303"/>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0" t="s">
        <v>2320</v>
      </c>
      <c r="Q15" s="1506" t="str">
        <f t="shared" si="6"/>
        <v>居住社区成熟度</v>
      </c>
      <c r="R15" s="714" t="s">
        <v>21</v>
      </c>
      <c r="S15" s="715">
        <f t="shared" si="0"/>
        <v>100</v>
      </c>
      <c r="T15" s="714" t="s">
        <v>21</v>
      </c>
      <c r="U15" s="715">
        <f t="shared" si="1"/>
        <v>100</v>
      </c>
      <c r="V15" s="714" t="s">
        <v>21</v>
      </c>
      <c r="W15" s="715">
        <f t="shared" si="2"/>
        <v>100</v>
      </c>
      <c r="X15" s="1509"/>
      <c r="Y15" s="3433"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1"/>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1"/>
      <c r="Q17" s="1506" t="str">
        <f>B17</f>
        <v>交通便捷度</v>
      </c>
      <c r="R17" s="714" t="s">
        <v>21</v>
      </c>
      <c r="S17" s="715">
        <f>F17</f>
        <v>100</v>
      </c>
      <c r="T17" s="714" t="s">
        <v>21</v>
      </c>
      <c r="U17" s="715">
        <f>H17</f>
        <v>100</v>
      </c>
      <c r="V17" s="714" t="s">
        <v>21</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1"/>
      <c r="Q18" s="1506"/>
      <c r="R18" s="714"/>
      <c r="S18" s="715"/>
      <c r="T18" s="714"/>
      <c r="U18" s="715"/>
      <c r="V18" s="714"/>
      <c r="W18" s="715"/>
      <c r="X18" s="1509"/>
      <c r="Y18" s="3434"/>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1"/>
      <c r="Q19" s="1506" t="str">
        <f>B19</f>
        <v>公共配套设施</v>
      </c>
      <c r="R19" s="714" t="s">
        <v>21</v>
      </c>
      <c r="S19" s="715">
        <f>F19</f>
        <v>100</v>
      </c>
      <c r="T19" s="714" t="s">
        <v>21</v>
      </c>
      <c r="U19" s="715">
        <f>H19</f>
        <v>100</v>
      </c>
      <c r="V19" s="714" t="s">
        <v>21</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1"/>
      <c r="Q20" s="1506"/>
      <c r="R20" s="714"/>
      <c r="S20" s="715"/>
      <c r="T20" s="714"/>
      <c r="U20" s="715"/>
      <c r="V20" s="714"/>
      <c r="W20" s="715"/>
      <c r="X20" s="1509"/>
      <c r="Y20" s="3434"/>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1"/>
      <c r="Q22" s="1506"/>
      <c r="R22" s="714"/>
      <c r="S22" s="715"/>
      <c r="T22" s="714"/>
      <c r="U22" s="715"/>
      <c r="V22" s="714"/>
      <c r="W22" s="715"/>
      <c r="X22" s="1509"/>
      <c r="Y22" s="3434"/>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1"/>
      <c r="Q23" s="1506" t="str">
        <f>B23</f>
        <v>自然及人文环境</v>
      </c>
      <c r="R23" s="714" t="s">
        <v>21</v>
      </c>
      <c r="S23" s="715">
        <f>F23</f>
        <v>100</v>
      </c>
      <c r="T23" s="714" t="s">
        <v>21</v>
      </c>
      <c r="U23" s="715">
        <f>H23</f>
        <v>100</v>
      </c>
      <c r="V23" s="714" t="s">
        <v>21</v>
      </c>
      <c r="W23" s="715">
        <f>J23</f>
        <v>100</v>
      </c>
      <c r="X23" s="1509"/>
      <c r="Y23" s="343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4"/>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1"/>
      <c r="Q26" s="1506" t="str">
        <f t="shared" si="11"/>
        <v>朝向</v>
      </c>
      <c r="R26" s="714" t="s">
        <v>21</v>
      </c>
      <c r="S26" s="715">
        <f t="shared" si="12"/>
        <v>100</v>
      </c>
      <c r="T26" s="714" t="s">
        <v>21</v>
      </c>
      <c r="U26" s="715">
        <f t="shared" si="13"/>
        <v>100</v>
      </c>
      <c r="V26" s="714" t="s">
        <v>21</v>
      </c>
      <c r="W26" s="715">
        <f t="shared" si="14"/>
        <v>100</v>
      </c>
      <c r="X26" s="1509"/>
      <c r="Y26" s="343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1"/>
      <c r="Q27" s="1497">
        <f t="shared" si="11"/>
        <v>111</v>
      </c>
      <c r="R27" s="710" t="s">
        <v>21</v>
      </c>
      <c r="S27" s="711">
        <f t="shared" si="12"/>
        <v>100</v>
      </c>
      <c r="T27" s="710" t="s">
        <v>21</v>
      </c>
      <c r="U27" s="711">
        <f t="shared" si="13"/>
        <v>100</v>
      </c>
      <c r="V27" s="710" t="s">
        <v>21</v>
      </c>
      <c r="W27" s="711">
        <f t="shared" si="14"/>
        <v>100</v>
      </c>
      <c r="X27" s="712"/>
      <c r="Y27" s="343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1"/>
      <c r="Q28" s="1506">
        <f t="shared" si="11"/>
        <v>111</v>
      </c>
      <c r="R28" s="714" t="s">
        <v>21</v>
      </c>
      <c r="S28" s="715">
        <f t="shared" si="12"/>
        <v>100</v>
      </c>
      <c r="T28" s="714" t="s">
        <v>21</v>
      </c>
      <c r="U28" s="715">
        <f t="shared" si="13"/>
        <v>100</v>
      </c>
      <c r="V28" s="714" t="s">
        <v>21</v>
      </c>
      <c r="W28" s="715">
        <f t="shared" si="14"/>
        <v>100</v>
      </c>
      <c r="X28" s="1509"/>
      <c r="Y28" s="343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1"/>
      <c r="Q29" s="1506">
        <f t="shared" si="11"/>
        <v>111</v>
      </c>
      <c r="R29" s="714" t="s">
        <v>21</v>
      </c>
      <c r="S29" s="715">
        <f t="shared" si="12"/>
        <v>100</v>
      </c>
      <c r="T29" s="714" t="s">
        <v>21</v>
      </c>
      <c r="U29" s="715">
        <f t="shared" si="13"/>
        <v>100</v>
      </c>
      <c r="V29" s="714" t="s">
        <v>21</v>
      </c>
      <c r="W29" s="715">
        <f t="shared" si="14"/>
        <v>100</v>
      </c>
      <c r="X29" s="1509"/>
      <c r="Y29" s="343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1"/>
      <c r="Q30" s="1506">
        <f t="shared" si="11"/>
        <v>111</v>
      </c>
      <c r="R30" s="714" t="s">
        <v>21</v>
      </c>
      <c r="S30" s="715">
        <f t="shared" si="12"/>
        <v>100</v>
      </c>
      <c r="T30" s="714" t="s">
        <v>21</v>
      </c>
      <c r="U30" s="715">
        <f t="shared" si="13"/>
        <v>100</v>
      </c>
      <c r="V30" s="714" t="s">
        <v>21</v>
      </c>
      <c r="W30" s="715">
        <f t="shared" si="14"/>
        <v>100</v>
      </c>
      <c r="X30" s="1509"/>
      <c r="Y30" s="343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1"/>
      <c r="Q31" s="1506">
        <f t="shared" si="11"/>
        <v>111</v>
      </c>
      <c r="R31" s="714" t="s">
        <v>21</v>
      </c>
      <c r="S31" s="715">
        <f t="shared" si="12"/>
        <v>100</v>
      </c>
      <c r="T31" s="714" t="s">
        <v>21</v>
      </c>
      <c r="U31" s="715">
        <f t="shared" si="13"/>
        <v>100</v>
      </c>
      <c r="V31" s="714" t="s">
        <v>21</v>
      </c>
      <c r="W31" s="715">
        <f t="shared" si="14"/>
        <v>100</v>
      </c>
      <c r="X31" s="1509"/>
      <c r="Y31" s="3434"/>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5" t="s">
        <v>2325</v>
      </c>
      <c r="Q32" s="1506" t="str">
        <f t="shared" si="11"/>
        <v>建筑类型</v>
      </c>
      <c r="R32" s="714" t="s">
        <v>21</v>
      </c>
      <c r="S32" s="715">
        <f t="shared" si="12"/>
        <v>100</v>
      </c>
      <c r="T32" s="714" t="s">
        <v>21</v>
      </c>
      <c r="U32" s="715">
        <f t="shared" si="13"/>
        <v>100</v>
      </c>
      <c r="V32" s="714" t="s">
        <v>21</v>
      </c>
      <c r="W32" s="715">
        <f t="shared" si="14"/>
        <v>100</v>
      </c>
      <c r="X32" s="1509"/>
      <c r="Y32" s="3438"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6"/>
      <c r="Q33" s="716" t="str">
        <f t="shared" si="11"/>
        <v>项目建筑规模</v>
      </c>
      <c r="R33" s="717" t="s">
        <v>21</v>
      </c>
      <c r="S33" s="718" t="e">
        <f t="shared" si="12"/>
        <v>#N/A</v>
      </c>
      <c r="T33" s="717" t="s">
        <v>21</v>
      </c>
      <c r="U33" s="718" t="e">
        <f t="shared" si="13"/>
        <v>#N/A</v>
      </c>
      <c r="V33" s="717" t="s">
        <v>21</v>
      </c>
      <c r="W33" s="718" t="e">
        <f t="shared" si="14"/>
        <v>#N/A</v>
      </c>
      <c r="X33" s="719"/>
      <c r="Y33" s="3438"/>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6"/>
      <c r="Q34" s="1506" t="str">
        <f t="shared" si="11"/>
        <v>建筑结构</v>
      </c>
      <c r="R34" s="714" t="s">
        <v>21</v>
      </c>
      <c r="S34" s="715">
        <f t="shared" si="12"/>
        <v>100</v>
      </c>
      <c r="T34" s="714" t="s">
        <v>21</v>
      </c>
      <c r="U34" s="715">
        <f t="shared" si="13"/>
        <v>100</v>
      </c>
      <c r="V34" s="714" t="s">
        <v>21</v>
      </c>
      <c r="W34" s="715">
        <f t="shared" si="14"/>
        <v>100</v>
      </c>
      <c r="X34" s="1509"/>
      <c r="Y34" s="3438"/>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6"/>
      <c r="Q35" s="1506" t="str">
        <f t="shared" si="11"/>
        <v>建筑品质</v>
      </c>
      <c r="R35" s="714" t="s">
        <v>21</v>
      </c>
      <c r="S35" s="715">
        <f t="shared" si="12"/>
        <v>100</v>
      </c>
      <c r="T35" s="714" t="s">
        <v>21</v>
      </c>
      <c r="U35" s="715">
        <f t="shared" si="13"/>
        <v>100</v>
      </c>
      <c r="V35" s="714" t="s">
        <v>21</v>
      </c>
      <c r="W35" s="715">
        <f t="shared" si="14"/>
        <v>100</v>
      </c>
      <c r="X35" s="1509"/>
      <c r="Y35" s="3438"/>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6"/>
      <c r="Q36" s="1506" t="str">
        <f t="shared" si="11"/>
        <v>公共部分装修</v>
      </c>
      <c r="R36" s="714" t="s">
        <v>21</v>
      </c>
      <c r="S36" s="715">
        <f t="shared" si="12"/>
        <v>100</v>
      </c>
      <c r="T36" s="714" t="s">
        <v>21</v>
      </c>
      <c r="U36" s="715">
        <f t="shared" si="13"/>
        <v>100</v>
      </c>
      <c r="V36" s="714" t="s">
        <v>21</v>
      </c>
      <c r="W36" s="715">
        <f t="shared" si="14"/>
        <v>100</v>
      </c>
      <c r="X36" s="1509"/>
      <c r="Y36" s="3438"/>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6"/>
      <c r="Q37" s="1497" t="str">
        <f t="shared" si="11"/>
        <v>成新度</v>
      </c>
      <c r="R37" s="710" t="s">
        <v>21</v>
      </c>
      <c r="S37" s="711" t="e">
        <f t="shared" si="12"/>
        <v>#N/A</v>
      </c>
      <c r="T37" s="710" t="s">
        <v>21</v>
      </c>
      <c r="U37" s="711" t="e">
        <f t="shared" si="13"/>
        <v>#N/A</v>
      </c>
      <c r="V37" s="710" t="s">
        <v>21</v>
      </c>
      <c r="W37" s="711" t="e">
        <f t="shared" si="14"/>
        <v>#N/A</v>
      </c>
      <c r="X37" s="712"/>
      <c r="Y37" s="3438"/>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6" t="s">
        <v>2325</v>
      </c>
      <c r="Q38" s="1506" t="str">
        <f t="shared" si="11"/>
        <v>物业管理</v>
      </c>
      <c r="R38" s="714" t="s">
        <v>21</v>
      </c>
      <c r="S38" s="715">
        <f t="shared" si="12"/>
        <v>100</v>
      </c>
      <c r="T38" s="714" t="s">
        <v>21</v>
      </c>
      <c r="U38" s="715">
        <f t="shared" si="13"/>
        <v>100</v>
      </c>
      <c r="V38" s="714" t="s">
        <v>21</v>
      </c>
      <c r="W38" s="715">
        <f t="shared" si="14"/>
        <v>100</v>
      </c>
      <c r="X38" s="1509"/>
      <c r="Y38" s="3438"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6"/>
      <c r="Q39" s="1506" t="str">
        <f t="shared" si="11"/>
        <v>市政基础设施</v>
      </c>
      <c r="R39" s="714" t="s">
        <v>21</v>
      </c>
      <c r="S39" s="715">
        <f t="shared" si="12"/>
        <v>100</v>
      </c>
      <c r="T39" s="714" t="s">
        <v>21</v>
      </c>
      <c r="U39" s="715">
        <f t="shared" si="13"/>
        <v>100</v>
      </c>
      <c r="V39" s="714" t="s">
        <v>21</v>
      </c>
      <c r="W39" s="715">
        <f t="shared" si="14"/>
        <v>100</v>
      </c>
      <c r="X39" s="1509"/>
      <c r="Y39" s="3438"/>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6"/>
      <c r="Q40" s="1506" t="str">
        <f t="shared" si="11"/>
        <v>房型</v>
      </c>
      <c r="R40" s="714" t="s">
        <v>21</v>
      </c>
      <c r="S40" s="715">
        <f t="shared" si="12"/>
        <v>100</v>
      </c>
      <c r="T40" s="714" t="s">
        <v>21</v>
      </c>
      <c r="U40" s="715">
        <f t="shared" si="13"/>
        <v>100</v>
      </c>
      <c r="V40" s="714" t="s">
        <v>21</v>
      </c>
      <c r="W40" s="715">
        <f t="shared" si="14"/>
        <v>100</v>
      </c>
      <c r="X40" s="1509"/>
      <c r="Y40" s="3438"/>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6"/>
      <c r="Q41" s="716" t="str">
        <f t="shared" si="11"/>
        <v>单套/主力户型建筑面积</v>
      </c>
      <c r="R41" s="717" t="s">
        <v>21</v>
      </c>
      <c r="S41" s="718">
        <f t="shared" si="12"/>
        <v>100</v>
      </c>
      <c r="T41" s="717" t="s">
        <v>21</v>
      </c>
      <c r="U41" s="718">
        <f t="shared" si="13"/>
        <v>100</v>
      </c>
      <c r="V41" s="717" t="s">
        <v>21</v>
      </c>
      <c r="W41" s="718">
        <f t="shared" si="14"/>
        <v>100</v>
      </c>
      <c r="X41" s="719"/>
      <c r="Y41" s="3438"/>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6"/>
      <c r="Q42" s="1506" t="str">
        <f t="shared" si="11"/>
        <v>内部装修</v>
      </c>
      <c r="R42" s="714" t="s">
        <v>21</v>
      </c>
      <c r="S42" s="715">
        <f t="shared" si="12"/>
        <v>100</v>
      </c>
      <c r="T42" s="714" t="s">
        <v>21</v>
      </c>
      <c r="U42" s="715">
        <f t="shared" si="13"/>
        <v>100</v>
      </c>
      <c r="V42" s="714" t="s">
        <v>21</v>
      </c>
      <c r="W42" s="715">
        <f t="shared" si="14"/>
        <v>100</v>
      </c>
      <c r="X42" s="1509"/>
      <c r="Y42" s="3438"/>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6"/>
      <c r="Q43" s="1506" t="str">
        <f t="shared" si="11"/>
        <v>内部装修维护情况</v>
      </c>
      <c r="R43" s="714" t="s">
        <v>21</v>
      </c>
      <c r="S43" s="715">
        <f t="shared" si="12"/>
        <v>100</v>
      </c>
      <c r="T43" s="714" t="s">
        <v>21</v>
      </c>
      <c r="U43" s="715">
        <f t="shared" si="13"/>
        <v>100</v>
      </c>
      <c r="V43" s="714" t="s">
        <v>21</v>
      </c>
      <c r="W43" s="715">
        <f t="shared" si="14"/>
        <v>100</v>
      </c>
      <c r="X43" s="1509"/>
      <c r="Y43" s="343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6"/>
      <c r="Q44" s="1497">
        <f t="shared" si="11"/>
        <v>111</v>
      </c>
      <c r="R44" s="710" t="s">
        <v>21</v>
      </c>
      <c r="S44" s="711">
        <f t="shared" si="12"/>
        <v>100</v>
      </c>
      <c r="T44" s="710" t="s">
        <v>21</v>
      </c>
      <c r="U44" s="711">
        <f t="shared" si="13"/>
        <v>100</v>
      </c>
      <c r="V44" s="710" t="s">
        <v>21</v>
      </c>
      <c r="W44" s="711">
        <f t="shared" si="14"/>
        <v>100</v>
      </c>
      <c r="X44" s="712"/>
      <c r="Y44" s="343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6"/>
      <c r="Q45" s="1506">
        <f t="shared" si="11"/>
        <v>111</v>
      </c>
      <c r="R45" s="714" t="s">
        <v>21</v>
      </c>
      <c r="S45" s="715">
        <f t="shared" si="12"/>
        <v>100</v>
      </c>
      <c r="T45" s="714" t="s">
        <v>21</v>
      </c>
      <c r="U45" s="715">
        <f t="shared" si="13"/>
        <v>100</v>
      </c>
      <c r="V45" s="714" t="s">
        <v>21</v>
      </c>
      <c r="W45" s="715">
        <f t="shared" si="14"/>
        <v>100</v>
      </c>
      <c r="X45" s="1509"/>
      <c r="Y45" s="343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7"/>
      <c r="Q46" s="1506">
        <f t="shared" si="11"/>
        <v>111</v>
      </c>
      <c r="R46" s="714" t="s">
        <v>20</v>
      </c>
      <c r="S46" s="715">
        <f t="shared" si="12"/>
        <v>100</v>
      </c>
      <c r="T46" s="714" t="s">
        <v>20</v>
      </c>
      <c r="U46" s="715">
        <f t="shared" si="13"/>
        <v>100</v>
      </c>
      <c r="V46" s="714" t="s">
        <v>20</v>
      </c>
      <c r="W46" s="715">
        <f t="shared" si="14"/>
        <v>100</v>
      </c>
      <c r="X46" s="1509"/>
      <c r="Y46" s="3439"/>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31" t="str">
        <f>A47</f>
        <v>成交单价（元/平方米）</v>
      </c>
      <c r="Q47" s="3431"/>
      <c r="R47" s="3432">
        <f>E47</f>
        <v>0</v>
      </c>
      <c r="S47" s="3432"/>
      <c r="T47" s="3432">
        <f>G47</f>
        <v>0</v>
      </c>
      <c r="U47" s="3432"/>
      <c r="V47" s="3432">
        <f>I47</f>
        <v>0</v>
      </c>
      <c r="W47" s="3432"/>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24804.469999999998</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62"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62"/>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62"/>
      <c r="AC6" s="3445"/>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0" t="s">
        <v>2320</v>
      </c>
      <c r="Q15" s="1506" t="str">
        <f t="shared" si="6"/>
        <v>商业繁华度</v>
      </c>
      <c r="R15" s="714" t="s">
        <v>17</v>
      </c>
      <c r="S15" s="715">
        <f t="shared" si="0"/>
        <v>100</v>
      </c>
      <c r="T15" s="714" t="s">
        <v>17</v>
      </c>
      <c r="U15" s="715">
        <f t="shared" si="1"/>
        <v>100</v>
      </c>
      <c r="V15" s="714" t="s">
        <v>17</v>
      </c>
      <c r="W15" s="715">
        <f t="shared" si="2"/>
        <v>100</v>
      </c>
      <c r="X15" s="1509"/>
      <c r="Y15" s="343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1"/>
      <c r="Q22" s="1506"/>
      <c r="R22" s="714"/>
      <c r="S22" s="715"/>
      <c r="T22" s="714"/>
      <c r="U22" s="715"/>
      <c r="V22" s="714"/>
      <c r="W22" s="715"/>
      <c r="X22" s="1509"/>
      <c r="Y22" s="3434"/>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1"/>
      <c r="Q23" s="1506" t="str">
        <f>B23</f>
        <v>自然及人文环境</v>
      </c>
      <c r="R23" s="714" t="s">
        <v>17</v>
      </c>
      <c r="S23" s="715">
        <f>F23</f>
        <v>100</v>
      </c>
      <c r="T23" s="714" t="s">
        <v>17</v>
      </c>
      <c r="U23" s="715">
        <f>H23</f>
        <v>100</v>
      </c>
      <c r="V23" s="714" t="s">
        <v>17</v>
      </c>
      <c r="W23" s="715">
        <f>J23</f>
        <v>100</v>
      </c>
      <c r="X23" s="1509"/>
      <c r="Y23" s="343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1"/>
      <c r="Q25" s="1506" t="str">
        <f t="shared" ref="Q25:Q46" si="11">B25</f>
        <v>临街状况</v>
      </c>
      <c r="R25" s="714" t="s">
        <v>17</v>
      </c>
      <c r="S25" s="715">
        <f>F25</f>
        <v>100</v>
      </c>
      <c r="T25" s="714" t="s">
        <v>17</v>
      </c>
      <c r="U25" s="715">
        <f>H25</f>
        <v>100</v>
      </c>
      <c r="V25" s="714" t="s">
        <v>17</v>
      </c>
      <c r="W25" s="715">
        <f>J25</f>
        <v>100</v>
      </c>
      <c r="X25" s="1509"/>
      <c r="Y25" s="343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1"/>
      <c r="Q26" s="1506" t="str">
        <f t="shared" si="11"/>
        <v>平面位置/可视性</v>
      </c>
      <c r="R26" s="714" t="s">
        <v>17</v>
      </c>
      <c r="S26" s="715">
        <f>F26</f>
        <v>100</v>
      </c>
      <c r="T26" s="714" t="s">
        <v>17</v>
      </c>
      <c r="U26" s="715">
        <f>H26</f>
        <v>100</v>
      </c>
      <c r="V26" s="714" t="s">
        <v>17</v>
      </c>
      <c r="W26" s="715">
        <f>J26</f>
        <v>100</v>
      </c>
      <c r="X26" s="1509"/>
      <c r="Y26" s="3434"/>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1"/>
      <c r="Q27" s="1497" t="str">
        <f t="shared" si="11"/>
        <v>人流量</v>
      </c>
      <c r="R27" s="710" t="s">
        <v>17</v>
      </c>
      <c r="S27" s="711">
        <f>F27</f>
        <v>100</v>
      </c>
      <c r="T27" s="710" t="s">
        <v>17</v>
      </c>
      <c r="U27" s="711">
        <f>H27</f>
        <v>100</v>
      </c>
      <c r="V27" s="710" t="s">
        <v>17</v>
      </c>
      <c r="W27" s="711">
        <f>J27</f>
        <v>100</v>
      </c>
      <c r="X27" s="712"/>
      <c r="Y27" s="343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1"/>
      <c r="Q29" s="1506">
        <f t="shared" si="11"/>
        <v>111</v>
      </c>
      <c r="R29" s="714" t="s">
        <v>17</v>
      </c>
      <c r="S29" s="715">
        <f t="shared" si="12"/>
        <v>100</v>
      </c>
      <c r="T29" s="714" t="s">
        <v>17</v>
      </c>
      <c r="U29" s="715">
        <f t="shared" si="13"/>
        <v>100</v>
      </c>
      <c r="V29" s="714" t="s">
        <v>17</v>
      </c>
      <c r="W29" s="715">
        <f t="shared" si="14"/>
        <v>100</v>
      </c>
      <c r="X29" s="1509"/>
      <c r="Y29" s="343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5" t="s">
        <v>2325</v>
      </c>
      <c r="Q32" s="1506" t="str">
        <f t="shared" si="11"/>
        <v>商业类型</v>
      </c>
      <c r="R32" s="714" t="s">
        <v>17</v>
      </c>
      <c r="S32" s="715">
        <f t="shared" si="12"/>
        <v>100</v>
      </c>
      <c r="T32" s="714" t="s">
        <v>17</v>
      </c>
      <c r="U32" s="715">
        <f t="shared" si="13"/>
        <v>100</v>
      </c>
      <c r="V32" s="714" t="s">
        <v>17</v>
      </c>
      <c r="W32" s="715">
        <f t="shared" si="14"/>
        <v>100</v>
      </c>
      <c r="X32" s="1509"/>
      <c r="Y32" s="3438"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6"/>
      <c r="Q33" s="716" t="str">
        <f t="shared" si="11"/>
        <v>项目建筑规模</v>
      </c>
      <c r="R33" s="717" t="s">
        <v>17</v>
      </c>
      <c r="S33" s="718" t="e">
        <f t="shared" si="12"/>
        <v>#N/A</v>
      </c>
      <c r="T33" s="717" t="s">
        <v>17</v>
      </c>
      <c r="U33" s="718" t="e">
        <f t="shared" si="13"/>
        <v>#N/A</v>
      </c>
      <c r="V33" s="717" t="s">
        <v>17</v>
      </c>
      <c r="W33" s="718" t="e">
        <f t="shared" si="14"/>
        <v>#N/A</v>
      </c>
      <c r="X33" s="719"/>
      <c r="Y33" s="3438"/>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6"/>
      <c r="Q34" s="1506" t="str">
        <f t="shared" si="11"/>
        <v>建筑结构</v>
      </c>
      <c r="R34" s="714" t="s">
        <v>17</v>
      </c>
      <c r="S34" s="715">
        <f t="shared" si="12"/>
        <v>100</v>
      </c>
      <c r="T34" s="714" t="s">
        <v>17</v>
      </c>
      <c r="U34" s="715">
        <f t="shared" si="13"/>
        <v>100</v>
      </c>
      <c r="V34" s="714" t="s">
        <v>17</v>
      </c>
      <c r="W34" s="715">
        <f t="shared" si="14"/>
        <v>100</v>
      </c>
      <c r="X34" s="1509"/>
      <c r="Y34" s="3438"/>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6"/>
      <c r="Q35" s="1506" t="str">
        <f t="shared" si="11"/>
        <v>公共部分装修</v>
      </c>
      <c r="R35" s="714" t="s">
        <v>17</v>
      </c>
      <c r="S35" s="715">
        <f t="shared" si="12"/>
        <v>100</v>
      </c>
      <c r="T35" s="714" t="s">
        <v>17</v>
      </c>
      <c r="U35" s="715">
        <f t="shared" si="13"/>
        <v>100</v>
      </c>
      <c r="V35" s="714" t="s">
        <v>17</v>
      </c>
      <c r="W35" s="715">
        <f t="shared" si="14"/>
        <v>100</v>
      </c>
      <c r="X35" s="1509"/>
      <c r="Y35" s="3438"/>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6"/>
      <c r="Q36" s="1506" t="str">
        <f t="shared" si="11"/>
        <v>成新度</v>
      </c>
      <c r="R36" s="714" t="s">
        <v>17</v>
      </c>
      <c r="S36" s="715" t="e">
        <f t="shared" si="12"/>
        <v>#N/A</v>
      </c>
      <c r="T36" s="714" t="s">
        <v>17</v>
      </c>
      <c r="U36" s="715" t="e">
        <f t="shared" si="13"/>
        <v>#N/A</v>
      </c>
      <c r="V36" s="714" t="s">
        <v>17</v>
      </c>
      <c r="W36" s="715" t="e">
        <f t="shared" si="14"/>
        <v>#N/A</v>
      </c>
      <c r="X36" s="1509"/>
      <c r="Y36" s="3438"/>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6"/>
      <c r="Q37" s="1497" t="str">
        <f t="shared" si="11"/>
        <v>市政基础设施</v>
      </c>
      <c r="R37" s="710" t="s">
        <v>17</v>
      </c>
      <c r="S37" s="711">
        <f t="shared" si="12"/>
        <v>100</v>
      </c>
      <c r="T37" s="710" t="s">
        <v>17</v>
      </c>
      <c r="U37" s="711">
        <f t="shared" si="13"/>
        <v>100</v>
      </c>
      <c r="V37" s="710" t="s">
        <v>17</v>
      </c>
      <c r="W37" s="711">
        <f t="shared" si="14"/>
        <v>100</v>
      </c>
      <c r="X37" s="712"/>
      <c r="Y37" s="3438"/>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6" t="s">
        <v>2325</v>
      </c>
      <c r="Q38" s="1506" t="str">
        <f t="shared" si="11"/>
        <v>业态</v>
      </c>
      <c r="R38" s="714" t="s">
        <v>17</v>
      </c>
      <c r="S38" s="715">
        <f t="shared" si="12"/>
        <v>100</v>
      </c>
      <c r="T38" s="714" t="s">
        <v>17</v>
      </c>
      <c r="U38" s="715">
        <f t="shared" si="13"/>
        <v>100</v>
      </c>
      <c r="V38" s="714" t="s">
        <v>17</v>
      </c>
      <c r="W38" s="715">
        <f t="shared" si="14"/>
        <v>100</v>
      </c>
      <c r="X38" s="1509"/>
      <c r="Y38" s="3438"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6"/>
      <c r="Q39" s="1506" t="str">
        <f t="shared" si="11"/>
        <v>层高</v>
      </c>
      <c r="R39" s="714" t="s">
        <v>17</v>
      </c>
      <c r="S39" s="715">
        <f t="shared" si="12"/>
        <v>100</v>
      </c>
      <c r="T39" s="714" t="s">
        <v>17</v>
      </c>
      <c r="U39" s="715">
        <f t="shared" si="13"/>
        <v>100</v>
      </c>
      <c r="V39" s="714" t="s">
        <v>17</v>
      </c>
      <c r="W39" s="715">
        <f t="shared" si="14"/>
        <v>100</v>
      </c>
      <c r="X39" s="1509"/>
      <c r="Y39" s="3438"/>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6"/>
      <c r="Q40" s="1506" t="str">
        <f t="shared" si="11"/>
        <v>单套建筑面积</v>
      </c>
      <c r="R40" s="714" t="s">
        <v>17</v>
      </c>
      <c r="S40" s="715">
        <f t="shared" si="12"/>
        <v>100</v>
      </c>
      <c r="T40" s="714" t="s">
        <v>17</v>
      </c>
      <c r="U40" s="715">
        <f t="shared" si="13"/>
        <v>100</v>
      </c>
      <c r="V40" s="714" t="s">
        <v>17</v>
      </c>
      <c r="W40" s="715">
        <f t="shared" si="14"/>
        <v>100</v>
      </c>
      <c r="X40" s="1509"/>
      <c r="Y40" s="3438"/>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6"/>
      <c r="Q41" s="716" t="str">
        <f t="shared" si="11"/>
        <v>进深比</v>
      </c>
      <c r="R41" s="717" t="s">
        <v>17</v>
      </c>
      <c r="S41" s="718">
        <f t="shared" si="12"/>
        <v>100</v>
      </c>
      <c r="T41" s="717" t="s">
        <v>17</v>
      </c>
      <c r="U41" s="718">
        <f t="shared" si="13"/>
        <v>100</v>
      </c>
      <c r="V41" s="717" t="s">
        <v>17</v>
      </c>
      <c r="W41" s="718">
        <f t="shared" si="14"/>
        <v>100</v>
      </c>
      <c r="X41" s="719"/>
      <c r="Y41" s="3438"/>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6"/>
      <c r="Q42" s="1506" t="str">
        <f t="shared" si="11"/>
        <v>内部装修</v>
      </c>
      <c r="R42" s="714" t="s">
        <v>17</v>
      </c>
      <c r="S42" s="715">
        <f t="shared" si="12"/>
        <v>100</v>
      </c>
      <c r="T42" s="714" t="s">
        <v>17</v>
      </c>
      <c r="U42" s="715">
        <f t="shared" si="13"/>
        <v>100</v>
      </c>
      <c r="V42" s="714" t="s">
        <v>17</v>
      </c>
      <c r="W42" s="715">
        <f t="shared" si="14"/>
        <v>100</v>
      </c>
      <c r="X42" s="1509"/>
      <c r="Y42" s="3438"/>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6"/>
      <c r="Q43" s="1506" t="str">
        <f t="shared" si="11"/>
        <v>内部装修维护情况</v>
      </c>
      <c r="R43" s="714" t="s">
        <v>17</v>
      </c>
      <c r="S43" s="715">
        <f t="shared" si="12"/>
        <v>100</v>
      </c>
      <c r="T43" s="714" t="s">
        <v>17</v>
      </c>
      <c r="U43" s="715">
        <f t="shared" si="13"/>
        <v>100</v>
      </c>
      <c r="V43" s="714" t="s">
        <v>17</v>
      </c>
      <c r="W43" s="715">
        <f t="shared" si="14"/>
        <v>100</v>
      </c>
      <c r="X43" s="1509"/>
      <c r="Y43" s="343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6"/>
      <c r="Q44" s="1497">
        <f t="shared" si="11"/>
        <v>111</v>
      </c>
      <c r="R44" s="710" t="s">
        <v>17</v>
      </c>
      <c r="S44" s="711">
        <f t="shared" si="12"/>
        <v>100</v>
      </c>
      <c r="T44" s="710" t="s">
        <v>17</v>
      </c>
      <c r="U44" s="711">
        <f t="shared" si="13"/>
        <v>100</v>
      </c>
      <c r="V44" s="710" t="s">
        <v>17</v>
      </c>
      <c r="W44" s="711">
        <f t="shared" si="14"/>
        <v>100</v>
      </c>
      <c r="X44" s="712"/>
      <c r="Y44" s="343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6"/>
      <c r="Q45" s="1506">
        <f t="shared" si="11"/>
        <v>111</v>
      </c>
      <c r="R45" s="714" t="s">
        <v>17</v>
      </c>
      <c r="S45" s="715">
        <f t="shared" si="12"/>
        <v>100</v>
      </c>
      <c r="T45" s="714" t="s">
        <v>17</v>
      </c>
      <c r="U45" s="715">
        <f t="shared" si="13"/>
        <v>100</v>
      </c>
      <c r="V45" s="714" t="s">
        <v>17</v>
      </c>
      <c r="W45" s="715">
        <f t="shared" si="14"/>
        <v>100</v>
      </c>
      <c r="X45" s="1509"/>
      <c r="Y45" s="343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7"/>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31" t="str">
        <f>A47</f>
        <v>成交单价（元/平方米）</v>
      </c>
      <c r="Q47" s="3431"/>
      <c r="R47" s="3462">
        <f>E47</f>
        <v>0</v>
      </c>
      <c r="S47" s="3462"/>
      <c r="T47" s="3462">
        <f>G47</f>
        <v>0</v>
      </c>
      <c r="U47" s="3462"/>
      <c r="V47" s="3462">
        <f>I47</f>
        <v>0</v>
      </c>
      <c r="W47" s="3462"/>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24804.469999999998</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80" t="s">
        <v>2411</v>
      </c>
      <c r="Q4" s="3481"/>
      <c r="R4" s="3484" t="s">
        <v>2407</v>
      </c>
      <c r="S4" s="3485"/>
      <c r="T4" s="3484" t="s">
        <v>2408</v>
      </c>
      <c r="U4" s="3485"/>
      <c r="V4" s="3486" t="s">
        <v>2409</v>
      </c>
      <c r="W4" s="3486"/>
      <c r="X4" s="2114"/>
      <c r="Y4" s="3484" t="s">
        <v>2411</v>
      </c>
      <c r="Z4" s="3485"/>
      <c r="AA4" s="3488" t="s">
        <v>2407</v>
      </c>
      <c r="AB4" s="3488" t="s">
        <v>2408</v>
      </c>
      <c r="AC4" s="3477" t="s">
        <v>2409</v>
      </c>
    </row>
    <row r="5" spans="1:29" ht="15">
      <c r="A5" s="364"/>
      <c r="B5" s="365"/>
      <c r="C5" s="3465" t="s">
        <v>2302</v>
      </c>
      <c r="D5" s="3466"/>
      <c r="E5" s="3472" t="s">
        <v>2303</v>
      </c>
      <c r="F5" s="3473"/>
      <c r="G5" s="3465" t="s">
        <v>2304</v>
      </c>
      <c r="H5" s="3466"/>
      <c r="I5" s="3465" t="s">
        <v>2305</v>
      </c>
      <c r="J5" s="3466"/>
      <c r="K5" s="567"/>
      <c r="L5" s="2914"/>
      <c r="M5" s="2915"/>
      <c r="N5" s="2915"/>
      <c r="O5" s="2915"/>
      <c r="P5" s="3482"/>
      <c r="Q5" s="3453"/>
      <c r="R5" s="3458"/>
      <c r="S5" s="3459"/>
      <c r="T5" s="3458"/>
      <c r="U5" s="3459"/>
      <c r="V5" s="3462"/>
      <c r="W5" s="3462"/>
      <c r="X5" s="1509"/>
      <c r="Y5" s="3458"/>
      <c r="Z5" s="3459"/>
      <c r="AA5" s="3444"/>
      <c r="AB5" s="3444"/>
      <c r="AC5" s="3478"/>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83"/>
      <c r="Q6" s="3455"/>
      <c r="R6" s="3458"/>
      <c r="S6" s="3459"/>
      <c r="T6" s="3460"/>
      <c r="U6" s="3461"/>
      <c r="V6" s="3462"/>
      <c r="W6" s="3462"/>
      <c r="X6" s="1509"/>
      <c r="Y6" s="3460"/>
      <c r="Z6" s="3461"/>
      <c r="AA6" s="3445"/>
      <c r="AB6" s="3445"/>
      <c r="AC6" s="3479"/>
    </row>
    <row r="7" spans="1:29" s="113" customFormat="1" ht="15.75" thickBot="1">
      <c r="A7" s="368" t="s">
        <v>2308</v>
      </c>
      <c r="B7" s="369"/>
      <c r="C7" s="370">
        <f>'数据-取费表'!B2</f>
        <v>44642</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7" t="s">
        <v>2312</v>
      </c>
      <c r="Q8" s="3468"/>
      <c r="R8" s="710" t="s">
        <v>17</v>
      </c>
      <c r="S8" s="711">
        <f t="shared" si="0"/>
        <v>0</v>
      </c>
      <c r="T8" s="710" t="s">
        <v>17</v>
      </c>
      <c r="U8" s="711">
        <f t="shared" si="1"/>
        <v>0</v>
      </c>
      <c r="V8" s="710" t="s">
        <v>17</v>
      </c>
      <c r="W8" s="711">
        <f t="shared" si="2"/>
        <v>0</v>
      </c>
      <c r="X8" s="712"/>
      <c r="Y8" s="3467" t="s">
        <v>2312</v>
      </c>
      <c r="Z8" s="3468"/>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0" t="s">
        <v>2320</v>
      </c>
      <c r="Q15" s="1506" t="str">
        <f t="shared" si="6"/>
        <v>办公集聚程度</v>
      </c>
      <c r="R15" s="714" t="s">
        <v>17</v>
      </c>
      <c r="S15" s="715">
        <f t="shared" si="0"/>
        <v>100</v>
      </c>
      <c r="T15" s="714" t="s">
        <v>17</v>
      </c>
      <c r="U15" s="715">
        <f t="shared" si="1"/>
        <v>100</v>
      </c>
      <c r="V15" s="714" t="s">
        <v>17</v>
      </c>
      <c r="W15" s="715">
        <f t="shared" si="2"/>
        <v>100</v>
      </c>
      <c r="X15" s="1509"/>
      <c r="Y15" s="3433"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1"/>
      <c r="Q22" s="1506"/>
      <c r="R22" s="714"/>
      <c r="S22" s="715"/>
      <c r="T22" s="714"/>
      <c r="U22" s="715"/>
      <c r="V22" s="714"/>
      <c r="W22" s="715"/>
      <c r="X22" s="1509"/>
      <c r="Y22" s="3434"/>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1"/>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1"/>
      <c r="Q25" s="1506" t="str">
        <f>B25</f>
        <v>毗邻道路的类型与等级</v>
      </c>
      <c r="R25" s="714" t="s">
        <v>17</v>
      </c>
      <c r="S25" s="715">
        <f>F25</f>
        <v>100</v>
      </c>
      <c r="T25" s="714" t="s">
        <v>17</v>
      </c>
      <c r="U25" s="715">
        <f>H25</f>
        <v>100</v>
      </c>
      <c r="V25" s="714" t="s">
        <v>17</v>
      </c>
      <c r="W25" s="715">
        <f>J25</f>
        <v>100</v>
      </c>
      <c r="X25" s="1509"/>
      <c r="Y25" s="343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1"/>
      <c r="Q26" s="1506"/>
      <c r="R26" s="714"/>
      <c r="S26" s="715"/>
      <c r="T26" s="714"/>
      <c r="U26" s="715"/>
      <c r="V26" s="714"/>
      <c r="W26" s="715"/>
      <c r="X26" s="1509"/>
      <c r="Y26" s="3434"/>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1"/>
      <c r="Q27" s="1506" t="str">
        <f t="shared" ref="Q27:Q47" si="11">B27</f>
        <v>楼层</v>
      </c>
      <c r="R27" s="714" t="s">
        <v>17</v>
      </c>
      <c r="S27" s="715">
        <f>F27</f>
        <v>100</v>
      </c>
      <c r="T27" s="714" t="s">
        <v>17</v>
      </c>
      <c r="U27" s="715">
        <f>H27</f>
        <v>100</v>
      </c>
      <c r="V27" s="714" t="s">
        <v>17</v>
      </c>
      <c r="W27" s="715">
        <f>J27</f>
        <v>100</v>
      </c>
      <c r="X27" s="1509"/>
      <c r="Y27" s="3434"/>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1"/>
      <c r="Q28" s="1497" t="str">
        <f t="shared" si="11"/>
        <v>朝向</v>
      </c>
      <c r="R28" s="710" t="s">
        <v>17</v>
      </c>
      <c r="S28" s="711">
        <f>F28</f>
        <v>100</v>
      </c>
      <c r="T28" s="710" t="s">
        <v>17</v>
      </c>
      <c r="U28" s="711">
        <f>H28</f>
        <v>100</v>
      </c>
      <c r="V28" s="710" t="s">
        <v>17</v>
      </c>
      <c r="W28" s="711">
        <f>J28</f>
        <v>100</v>
      </c>
      <c r="X28" s="712"/>
      <c r="Y28" s="343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1"/>
      <c r="Q29" s="1506">
        <f t="shared" si="11"/>
        <v>111</v>
      </c>
      <c r="R29" s="714" t="s">
        <v>17</v>
      </c>
      <c r="S29" s="715">
        <f t="shared" ref="S29:S47" si="12">F29</f>
        <v>100</v>
      </c>
      <c r="T29" s="714" t="s">
        <v>17</v>
      </c>
      <c r="U29" s="715">
        <f t="shared" ref="U29:U47" si="13">H29</f>
        <v>100</v>
      </c>
      <c r="V29" s="714" t="s">
        <v>17</v>
      </c>
      <c r="W29" s="715">
        <f t="shared" ref="W29:W47" si="14">J29</f>
        <v>100</v>
      </c>
      <c r="X29" s="1509"/>
      <c r="Y29" s="343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1"/>
      <c r="Q32" s="1506">
        <f t="shared" si="11"/>
        <v>111</v>
      </c>
      <c r="R32" s="714" t="s">
        <v>17</v>
      </c>
      <c r="S32" s="715">
        <f t="shared" si="12"/>
        <v>100</v>
      </c>
      <c r="T32" s="714" t="s">
        <v>17</v>
      </c>
      <c r="U32" s="715">
        <f t="shared" si="13"/>
        <v>100</v>
      </c>
      <c r="V32" s="714" t="s">
        <v>17</v>
      </c>
      <c r="W32" s="715">
        <f t="shared" si="14"/>
        <v>100</v>
      </c>
      <c r="X32" s="1509"/>
      <c r="Y32" s="3434"/>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5" t="s">
        <v>2325</v>
      </c>
      <c r="Q33" s="1506" t="str">
        <f t="shared" si="11"/>
        <v>建筑类型</v>
      </c>
      <c r="R33" s="714" t="s">
        <v>17</v>
      </c>
      <c r="S33" s="715">
        <f t="shared" si="12"/>
        <v>100</v>
      </c>
      <c r="T33" s="714" t="s">
        <v>17</v>
      </c>
      <c r="U33" s="715">
        <f t="shared" si="13"/>
        <v>100</v>
      </c>
      <c r="V33" s="714" t="s">
        <v>17</v>
      </c>
      <c r="W33" s="715">
        <f t="shared" si="14"/>
        <v>100</v>
      </c>
      <c r="X33" s="1509"/>
      <c r="Y33" s="3438"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6"/>
      <c r="Q34" s="716" t="str">
        <f t="shared" si="11"/>
        <v>项目建筑规模</v>
      </c>
      <c r="R34" s="717" t="s">
        <v>17</v>
      </c>
      <c r="S34" s="718" t="e">
        <f t="shared" si="12"/>
        <v>#N/A</v>
      </c>
      <c r="T34" s="717" t="s">
        <v>17</v>
      </c>
      <c r="U34" s="718" t="e">
        <f t="shared" si="13"/>
        <v>#N/A</v>
      </c>
      <c r="V34" s="717" t="s">
        <v>17</v>
      </c>
      <c r="W34" s="718" t="e">
        <f t="shared" si="14"/>
        <v>#N/A</v>
      </c>
      <c r="X34" s="719"/>
      <c r="Y34" s="3438"/>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6"/>
      <c r="Q35" s="1506" t="str">
        <f t="shared" si="11"/>
        <v>建筑结构</v>
      </c>
      <c r="R35" s="714" t="s">
        <v>17</v>
      </c>
      <c r="S35" s="715">
        <f t="shared" si="12"/>
        <v>100</v>
      </c>
      <c r="T35" s="714" t="s">
        <v>17</v>
      </c>
      <c r="U35" s="715">
        <f t="shared" si="13"/>
        <v>100</v>
      </c>
      <c r="V35" s="714" t="s">
        <v>17</v>
      </c>
      <c r="W35" s="715">
        <f t="shared" si="14"/>
        <v>100</v>
      </c>
      <c r="X35" s="1509"/>
      <c r="Y35" s="3438"/>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6"/>
      <c r="Q36" s="1506" t="str">
        <f t="shared" si="11"/>
        <v>公共部分装修</v>
      </c>
      <c r="R36" s="714" t="s">
        <v>17</v>
      </c>
      <c r="S36" s="715">
        <f t="shared" si="12"/>
        <v>100</v>
      </c>
      <c r="T36" s="714" t="s">
        <v>17</v>
      </c>
      <c r="U36" s="715">
        <f t="shared" si="13"/>
        <v>100</v>
      </c>
      <c r="V36" s="714" t="s">
        <v>17</v>
      </c>
      <c r="W36" s="715">
        <f t="shared" si="14"/>
        <v>100</v>
      </c>
      <c r="X36" s="1509"/>
      <c r="Y36" s="3438"/>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6"/>
      <c r="Q37" s="1506" t="str">
        <f t="shared" si="11"/>
        <v>成新度</v>
      </c>
      <c r="R37" s="714" t="s">
        <v>17</v>
      </c>
      <c r="S37" s="715" t="e">
        <f t="shared" si="12"/>
        <v>#N/A</v>
      </c>
      <c r="T37" s="714" t="s">
        <v>17</v>
      </c>
      <c r="U37" s="715" t="e">
        <f t="shared" si="13"/>
        <v>#N/A</v>
      </c>
      <c r="V37" s="714" t="s">
        <v>17</v>
      </c>
      <c r="W37" s="715" t="e">
        <f t="shared" si="14"/>
        <v>#N/A</v>
      </c>
      <c r="X37" s="1509"/>
      <c r="Y37" s="3438"/>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6"/>
      <c r="Q38" s="1497" t="str">
        <f t="shared" si="11"/>
        <v>写字楼等级</v>
      </c>
      <c r="R38" s="710" t="s">
        <v>17</v>
      </c>
      <c r="S38" s="711">
        <f t="shared" si="12"/>
        <v>100</v>
      </c>
      <c r="T38" s="710" t="s">
        <v>17</v>
      </c>
      <c r="U38" s="711">
        <f t="shared" si="13"/>
        <v>100</v>
      </c>
      <c r="V38" s="710" t="s">
        <v>17</v>
      </c>
      <c r="W38" s="711">
        <f t="shared" si="14"/>
        <v>100</v>
      </c>
      <c r="X38" s="712"/>
      <c r="Y38" s="3438"/>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6" t="s">
        <v>2325</v>
      </c>
      <c r="Q39" s="1506" t="str">
        <f t="shared" si="11"/>
        <v>物业管理</v>
      </c>
      <c r="R39" s="714" t="s">
        <v>17</v>
      </c>
      <c r="S39" s="715">
        <f t="shared" si="12"/>
        <v>100</v>
      </c>
      <c r="T39" s="714" t="s">
        <v>17</v>
      </c>
      <c r="U39" s="715">
        <f t="shared" si="13"/>
        <v>100</v>
      </c>
      <c r="V39" s="714" t="s">
        <v>17</v>
      </c>
      <c r="W39" s="715">
        <f t="shared" si="14"/>
        <v>100</v>
      </c>
      <c r="X39" s="1509"/>
      <c r="Y39" s="3438"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6"/>
      <c r="Q40" s="1506" t="str">
        <f t="shared" si="11"/>
        <v>市政基础设施</v>
      </c>
      <c r="R40" s="714" t="s">
        <v>17</v>
      </c>
      <c r="S40" s="715">
        <f t="shared" si="12"/>
        <v>100</v>
      </c>
      <c r="T40" s="714" t="s">
        <v>17</v>
      </c>
      <c r="U40" s="715">
        <f t="shared" si="13"/>
        <v>100</v>
      </c>
      <c r="V40" s="714" t="s">
        <v>17</v>
      </c>
      <c r="W40" s="715">
        <f t="shared" si="14"/>
        <v>100</v>
      </c>
      <c r="X40" s="1509"/>
      <c r="Y40" s="3438"/>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6"/>
      <c r="Q41" s="1506" t="str">
        <f t="shared" si="11"/>
        <v>层高</v>
      </c>
      <c r="R41" s="714" t="s">
        <v>17</v>
      </c>
      <c r="S41" s="715">
        <f t="shared" si="12"/>
        <v>100</v>
      </c>
      <c r="T41" s="714" t="s">
        <v>17</v>
      </c>
      <c r="U41" s="715">
        <f t="shared" si="13"/>
        <v>100</v>
      </c>
      <c r="V41" s="714" t="s">
        <v>17</v>
      </c>
      <c r="W41" s="715">
        <f t="shared" si="14"/>
        <v>100</v>
      </c>
      <c r="X41" s="1509"/>
      <c r="Y41" s="3438"/>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6"/>
      <c r="Q42" s="716" t="str">
        <f t="shared" si="11"/>
        <v>单套建筑面积</v>
      </c>
      <c r="R42" s="717" t="s">
        <v>17</v>
      </c>
      <c r="S42" s="718">
        <f t="shared" si="12"/>
        <v>100</v>
      </c>
      <c r="T42" s="717" t="s">
        <v>17</v>
      </c>
      <c r="U42" s="718">
        <f t="shared" si="13"/>
        <v>100</v>
      </c>
      <c r="V42" s="717" t="s">
        <v>17</v>
      </c>
      <c r="W42" s="718">
        <f t="shared" si="14"/>
        <v>100</v>
      </c>
      <c r="X42" s="719"/>
      <c r="Y42" s="3438"/>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6"/>
      <c r="Q43" s="1506" t="str">
        <f t="shared" si="11"/>
        <v>内部装修</v>
      </c>
      <c r="R43" s="714" t="s">
        <v>17</v>
      </c>
      <c r="S43" s="715">
        <f t="shared" si="12"/>
        <v>100</v>
      </c>
      <c r="T43" s="714" t="s">
        <v>17</v>
      </c>
      <c r="U43" s="715">
        <f t="shared" si="13"/>
        <v>100</v>
      </c>
      <c r="V43" s="714" t="s">
        <v>17</v>
      </c>
      <c r="W43" s="715">
        <f t="shared" si="14"/>
        <v>100</v>
      </c>
      <c r="X43" s="1509"/>
      <c r="Y43" s="3438"/>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6"/>
      <c r="Q44" s="1506" t="str">
        <f t="shared" si="11"/>
        <v>内部装修维护情况</v>
      </c>
      <c r="R44" s="714" t="s">
        <v>17</v>
      </c>
      <c r="S44" s="715">
        <f t="shared" si="12"/>
        <v>100</v>
      </c>
      <c r="T44" s="714" t="s">
        <v>17</v>
      </c>
      <c r="U44" s="715">
        <f t="shared" si="13"/>
        <v>100</v>
      </c>
      <c r="V44" s="714" t="s">
        <v>17</v>
      </c>
      <c r="W44" s="715">
        <f t="shared" si="14"/>
        <v>100</v>
      </c>
      <c r="X44" s="1509"/>
      <c r="Y44" s="343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6"/>
      <c r="Q45" s="1497">
        <f t="shared" si="11"/>
        <v>111</v>
      </c>
      <c r="R45" s="710" t="s">
        <v>17</v>
      </c>
      <c r="S45" s="711">
        <f t="shared" si="12"/>
        <v>100</v>
      </c>
      <c r="T45" s="710" t="s">
        <v>17</v>
      </c>
      <c r="U45" s="711">
        <f t="shared" si="13"/>
        <v>100</v>
      </c>
      <c r="V45" s="710" t="s">
        <v>17</v>
      </c>
      <c r="W45" s="711">
        <f t="shared" si="14"/>
        <v>100</v>
      </c>
      <c r="X45" s="712"/>
      <c r="Y45" s="343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7"/>
      <c r="Q47" s="1506">
        <f t="shared" si="11"/>
        <v>111</v>
      </c>
      <c r="R47" s="714" t="s">
        <v>17</v>
      </c>
      <c r="S47" s="715">
        <f t="shared" si="12"/>
        <v>100</v>
      </c>
      <c r="T47" s="714" t="s">
        <v>17</v>
      </c>
      <c r="U47" s="715">
        <f t="shared" si="13"/>
        <v>100</v>
      </c>
      <c r="V47" s="714" t="s">
        <v>17</v>
      </c>
      <c r="W47" s="715">
        <f t="shared" si="14"/>
        <v>100</v>
      </c>
      <c r="X47" s="1509"/>
      <c r="Y47" s="3439"/>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2" t="str">
        <f>A48</f>
        <v>成交单价（元/平方米）</v>
      </c>
      <c r="Q48" s="3431"/>
      <c r="R48" s="3432">
        <f>E48</f>
        <v>0</v>
      </c>
      <c r="S48" s="3432"/>
      <c r="T48" s="3432">
        <f>G48</f>
        <v>0</v>
      </c>
      <c r="U48" s="3432"/>
      <c r="V48" s="3432">
        <f>I48</f>
        <v>0</v>
      </c>
      <c r="W48" s="3432"/>
      <c r="X48" s="405"/>
      <c r="Y48" s="721"/>
      <c r="Z48" s="405"/>
      <c r="AA48" s="405"/>
      <c r="AB48" s="405"/>
      <c r="AC48" s="586"/>
    </row>
    <row r="49" spans="1:29" ht="15.75" thickBot="1">
      <c r="A49" s="445" t="s">
        <v>2429</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42"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估价对象为北京市房地产，为所有。根据《国有土地使用证》[]，估价对象（分摊）出让国有建设用地使用权面积为13382.27平方米，建筑面积为24804.47平方米。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估价对象为北京市房地产,属开发建设的，该项目尚在开发建设中。根据《国有土地使用证》[]，估价对象（分摊）出让国有建设用地使用权面积为13382.27平方米，规划建筑面积为24804.47平方米。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24804.469999999998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1044"/>
      <c r="M4" s="1045"/>
      <c r="N4" s="1045"/>
      <c r="O4" s="104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1044"/>
      <c r="M5" s="1045"/>
      <c r="N5" s="1045"/>
      <c r="O5" s="104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1044"/>
      <c r="M6" s="1045"/>
      <c r="N6" s="1045"/>
      <c r="O6" s="104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7" t="s">
        <v>2312</v>
      </c>
      <c r="Q8" s="3468"/>
      <c r="R8" s="710" t="s">
        <v>17</v>
      </c>
      <c r="S8" s="711">
        <f t="shared" si="0"/>
        <v>0</v>
      </c>
      <c r="T8" s="710" t="s">
        <v>17</v>
      </c>
      <c r="U8" s="711">
        <f t="shared" si="1"/>
        <v>0</v>
      </c>
      <c r="V8" s="710" t="s">
        <v>17</v>
      </c>
      <c r="W8" s="711">
        <f t="shared" si="2"/>
        <v>0</v>
      </c>
      <c r="X8" s="712"/>
      <c r="Y8" s="3467" t="s">
        <v>2312</v>
      </c>
      <c r="Z8" s="3468"/>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3" t="s">
        <v>2320</v>
      </c>
      <c r="Q15" s="1506" t="str">
        <f t="shared" si="6"/>
        <v>产业集聚程度</v>
      </c>
      <c r="R15" s="714" t="s">
        <v>17</v>
      </c>
      <c r="S15" s="715">
        <f t="shared" si="0"/>
        <v>100</v>
      </c>
      <c r="T15" s="714" t="s">
        <v>17</v>
      </c>
      <c r="U15" s="715">
        <f t="shared" si="1"/>
        <v>100</v>
      </c>
      <c r="V15" s="714" t="s">
        <v>17</v>
      </c>
      <c r="W15" s="715">
        <f t="shared" si="2"/>
        <v>100</v>
      </c>
      <c r="X15" s="1509"/>
      <c r="Y15" s="343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4"/>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4"/>
      <c r="Q18" s="1506"/>
      <c r="R18" s="714"/>
      <c r="S18" s="715"/>
      <c r="T18" s="714"/>
      <c r="U18" s="715"/>
      <c r="V18" s="714"/>
      <c r="W18" s="715"/>
      <c r="X18" s="1509"/>
      <c r="Y18" s="3434"/>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4"/>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4"/>
      <c r="Q20" s="1506"/>
      <c r="R20" s="714"/>
      <c r="S20" s="715"/>
      <c r="T20" s="714"/>
      <c r="U20" s="715"/>
      <c r="V20" s="714"/>
      <c r="W20" s="715"/>
      <c r="X20" s="1509"/>
      <c r="Y20" s="3434"/>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4"/>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4"/>
      <c r="Q22" s="1506"/>
      <c r="R22" s="714"/>
      <c r="S22" s="715"/>
      <c r="T22" s="714"/>
      <c r="U22" s="715"/>
      <c r="V22" s="714"/>
      <c r="W22" s="715"/>
      <c r="X22" s="1509"/>
      <c r="Y22" s="3434"/>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4"/>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4"/>
      <c r="Q24" s="1506"/>
      <c r="R24" s="714"/>
      <c r="S24" s="715"/>
      <c r="T24" s="714"/>
      <c r="U24" s="715"/>
      <c r="V24" s="714"/>
      <c r="W24" s="715"/>
      <c r="X24" s="1509"/>
      <c r="Y24" s="343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4"/>
      <c r="Q25" s="1506">
        <f>B25</f>
        <v>111</v>
      </c>
      <c r="R25" s="714" t="s">
        <v>17</v>
      </c>
      <c r="S25" s="715">
        <f>F25</f>
        <v>100</v>
      </c>
      <c r="T25" s="714" t="s">
        <v>17</v>
      </c>
      <c r="U25" s="715">
        <f>H25</f>
        <v>100</v>
      </c>
      <c r="V25" s="714" t="s">
        <v>17</v>
      </c>
      <c r="W25" s="715">
        <f>J25</f>
        <v>100</v>
      </c>
      <c r="X25" s="1509"/>
      <c r="Y25" s="343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4"/>
      <c r="Q26" s="1506">
        <f t="shared" ref="Q26:Q40" si="11">B26</f>
        <v>111</v>
      </c>
      <c r="R26" s="714" t="s">
        <v>17</v>
      </c>
      <c r="S26" s="715">
        <f>F26</f>
        <v>100</v>
      </c>
      <c r="T26" s="714" t="s">
        <v>17</v>
      </c>
      <c r="U26" s="715">
        <f>H26</f>
        <v>100</v>
      </c>
      <c r="V26" s="714" t="s">
        <v>17</v>
      </c>
      <c r="W26" s="715">
        <f>J26</f>
        <v>100</v>
      </c>
      <c r="X26" s="1509"/>
      <c r="Y26" s="343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4"/>
      <c r="Q27" s="1497">
        <f t="shared" si="11"/>
        <v>111</v>
      </c>
      <c r="R27" s="710" t="s">
        <v>17</v>
      </c>
      <c r="S27" s="711">
        <f>F27</f>
        <v>100</v>
      </c>
      <c r="T27" s="710" t="s">
        <v>17</v>
      </c>
      <c r="U27" s="711">
        <f>H27</f>
        <v>100</v>
      </c>
      <c r="V27" s="710" t="s">
        <v>17</v>
      </c>
      <c r="W27" s="711">
        <f>J27</f>
        <v>100</v>
      </c>
      <c r="X27" s="712"/>
      <c r="Y27" s="343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4"/>
      <c r="Q28" s="1506">
        <f t="shared" si="11"/>
        <v>111</v>
      </c>
      <c r="R28" s="714" t="s">
        <v>17</v>
      </c>
      <c r="S28" s="715">
        <f t="shared" ref="S28:S40" si="12">F28</f>
        <v>100</v>
      </c>
      <c r="T28" s="714" t="s">
        <v>17</v>
      </c>
      <c r="U28" s="715">
        <f t="shared" ref="U28:U40" si="13">H28</f>
        <v>100</v>
      </c>
      <c r="V28" s="714" t="s">
        <v>17</v>
      </c>
      <c r="W28" s="715">
        <f t="shared" ref="W28:W40" si="14">J28</f>
        <v>100</v>
      </c>
      <c r="X28" s="1509"/>
      <c r="Y28" s="3434"/>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9" t="s">
        <v>2325</v>
      </c>
      <c r="Q29" s="1506" t="str">
        <f t="shared" si="11"/>
        <v>建筑类型</v>
      </c>
      <c r="R29" s="714" t="s">
        <v>17</v>
      </c>
      <c r="S29" s="715">
        <f t="shared" si="12"/>
        <v>100</v>
      </c>
      <c r="T29" s="714" t="s">
        <v>17</v>
      </c>
      <c r="U29" s="715">
        <f t="shared" si="13"/>
        <v>100</v>
      </c>
      <c r="V29" s="714" t="s">
        <v>17</v>
      </c>
      <c r="W29" s="715">
        <f t="shared" si="14"/>
        <v>100</v>
      </c>
      <c r="X29" s="1509"/>
      <c r="Y29" s="3438"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8"/>
      <c r="Q30" s="716" t="str">
        <f t="shared" si="11"/>
        <v>项目建筑规模</v>
      </c>
      <c r="R30" s="717" t="s">
        <v>17</v>
      </c>
      <c r="S30" s="718" t="e">
        <f t="shared" si="12"/>
        <v>#N/A</v>
      </c>
      <c r="T30" s="717" t="s">
        <v>17</v>
      </c>
      <c r="U30" s="718" t="e">
        <f t="shared" si="13"/>
        <v>#N/A</v>
      </c>
      <c r="V30" s="717" t="s">
        <v>17</v>
      </c>
      <c r="W30" s="718" t="e">
        <f t="shared" si="14"/>
        <v>#N/A</v>
      </c>
      <c r="X30" s="719"/>
      <c r="Y30" s="3438"/>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8"/>
      <c r="Q31" s="1506" t="str">
        <f t="shared" si="11"/>
        <v>建筑结构</v>
      </c>
      <c r="R31" s="714" t="s">
        <v>17</v>
      </c>
      <c r="S31" s="715">
        <f t="shared" si="12"/>
        <v>100</v>
      </c>
      <c r="T31" s="714" t="s">
        <v>17</v>
      </c>
      <c r="U31" s="715">
        <f t="shared" si="13"/>
        <v>100</v>
      </c>
      <c r="V31" s="714" t="s">
        <v>17</v>
      </c>
      <c r="W31" s="715">
        <f t="shared" si="14"/>
        <v>100</v>
      </c>
      <c r="X31" s="1509"/>
      <c r="Y31" s="3438"/>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8"/>
      <c r="Q32" s="1506" t="str">
        <f t="shared" si="11"/>
        <v>公共部分装修</v>
      </c>
      <c r="R32" s="714" t="s">
        <v>17</v>
      </c>
      <c r="S32" s="715">
        <f t="shared" si="12"/>
        <v>100</v>
      </c>
      <c r="T32" s="714" t="s">
        <v>17</v>
      </c>
      <c r="U32" s="715">
        <f t="shared" si="13"/>
        <v>100</v>
      </c>
      <c r="V32" s="714" t="s">
        <v>17</v>
      </c>
      <c r="W32" s="715">
        <f t="shared" si="14"/>
        <v>100</v>
      </c>
      <c r="X32" s="1509"/>
      <c r="Y32" s="3438"/>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8"/>
      <c r="Q33" s="1506" t="str">
        <f t="shared" si="11"/>
        <v>成新度</v>
      </c>
      <c r="R33" s="714" t="s">
        <v>17</v>
      </c>
      <c r="S33" s="715" t="e">
        <f t="shared" si="12"/>
        <v>#N/A</v>
      </c>
      <c r="T33" s="714" t="s">
        <v>17</v>
      </c>
      <c r="U33" s="715" t="e">
        <f t="shared" si="13"/>
        <v>#N/A</v>
      </c>
      <c r="V33" s="714" t="s">
        <v>17</v>
      </c>
      <c r="W33" s="715" t="e">
        <f t="shared" si="14"/>
        <v>#N/A</v>
      </c>
      <c r="X33" s="1509"/>
      <c r="Y33" s="3438"/>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8"/>
      <c r="Q34" s="1497" t="str">
        <f t="shared" si="11"/>
        <v>物业管理</v>
      </c>
      <c r="R34" s="710" t="s">
        <v>17</v>
      </c>
      <c r="S34" s="711">
        <f t="shared" si="12"/>
        <v>100</v>
      </c>
      <c r="T34" s="710" t="s">
        <v>17</v>
      </c>
      <c r="U34" s="711">
        <f t="shared" si="13"/>
        <v>100</v>
      </c>
      <c r="V34" s="710" t="s">
        <v>17</v>
      </c>
      <c r="W34" s="711">
        <f t="shared" si="14"/>
        <v>100</v>
      </c>
      <c r="X34" s="712"/>
      <c r="Y34" s="343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8" t="s">
        <v>2325</v>
      </c>
      <c r="Q35" s="1506" t="str">
        <f t="shared" si="11"/>
        <v>市政基础设施</v>
      </c>
      <c r="R35" s="714" t="s">
        <v>17</v>
      </c>
      <c r="S35" s="715">
        <f t="shared" si="12"/>
        <v>100</v>
      </c>
      <c r="T35" s="714" t="s">
        <v>17</v>
      </c>
      <c r="U35" s="715">
        <f t="shared" si="13"/>
        <v>100</v>
      </c>
      <c r="V35" s="714" t="s">
        <v>17</v>
      </c>
      <c r="W35" s="715">
        <f t="shared" si="14"/>
        <v>100</v>
      </c>
      <c r="X35" s="1509"/>
      <c r="Y35" s="3438"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8"/>
      <c r="Q36" s="1506" t="str">
        <f t="shared" si="11"/>
        <v>内部装修</v>
      </c>
      <c r="R36" s="714" t="s">
        <v>17</v>
      </c>
      <c r="S36" s="715">
        <f t="shared" si="12"/>
        <v>100</v>
      </c>
      <c r="T36" s="714" t="s">
        <v>17</v>
      </c>
      <c r="U36" s="715">
        <f t="shared" si="13"/>
        <v>100</v>
      </c>
      <c r="V36" s="714" t="s">
        <v>17</v>
      </c>
      <c r="W36" s="715">
        <f t="shared" si="14"/>
        <v>100</v>
      </c>
      <c r="X36" s="1509"/>
      <c r="Y36" s="3438"/>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8"/>
      <c r="Q37" s="1506" t="str">
        <f t="shared" si="11"/>
        <v>内部装修状况</v>
      </c>
      <c r="R37" s="714" t="s">
        <v>17</v>
      </c>
      <c r="S37" s="715">
        <f t="shared" si="12"/>
        <v>100</v>
      </c>
      <c r="T37" s="714" t="s">
        <v>17</v>
      </c>
      <c r="U37" s="715">
        <f t="shared" si="13"/>
        <v>100</v>
      </c>
      <c r="V37" s="714" t="s">
        <v>17</v>
      </c>
      <c r="W37" s="715">
        <f t="shared" si="14"/>
        <v>100</v>
      </c>
      <c r="X37" s="1509"/>
      <c r="Y37" s="343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8"/>
      <c r="Q38" s="716">
        <f t="shared" si="11"/>
        <v>111</v>
      </c>
      <c r="R38" s="717" t="s">
        <v>17</v>
      </c>
      <c r="S38" s="718">
        <f t="shared" si="12"/>
        <v>100</v>
      </c>
      <c r="T38" s="717" t="s">
        <v>17</v>
      </c>
      <c r="U38" s="718">
        <f t="shared" si="13"/>
        <v>100</v>
      </c>
      <c r="V38" s="717" t="s">
        <v>17</v>
      </c>
      <c r="W38" s="718">
        <f t="shared" si="14"/>
        <v>100</v>
      </c>
      <c r="X38" s="719"/>
      <c r="Y38" s="343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8"/>
      <c r="Q39" s="1506">
        <f t="shared" si="11"/>
        <v>111</v>
      </c>
      <c r="R39" s="714" t="s">
        <v>17</v>
      </c>
      <c r="S39" s="715">
        <f t="shared" si="12"/>
        <v>100</v>
      </c>
      <c r="T39" s="714" t="s">
        <v>17</v>
      </c>
      <c r="U39" s="715">
        <f t="shared" si="13"/>
        <v>100</v>
      </c>
      <c r="V39" s="714" t="s">
        <v>17</v>
      </c>
      <c r="W39" s="715">
        <f t="shared" si="14"/>
        <v>100</v>
      </c>
      <c r="X39" s="1509"/>
      <c r="Y39" s="343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9"/>
      <c r="Q40" s="1506">
        <f t="shared" si="11"/>
        <v>111</v>
      </c>
      <c r="R40" s="714" t="s">
        <v>17</v>
      </c>
      <c r="S40" s="715">
        <f t="shared" si="12"/>
        <v>100</v>
      </c>
      <c r="T40" s="714" t="s">
        <v>17</v>
      </c>
      <c r="U40" s="715">
        <f t="shared" si="13"/>
        <v>100</v>
      </c>
      <c r="V40" s="714" t="s">
        <v>17</v>
      </c>
      <c r="W40" s="715">
        <f t="shared" si="14"/>
        <v>100</v>
      </c>
      <c r="X40" s="1509"/>
      <c r="Y40" s="343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31" t="str">
        <f>A41</f>
        <v>成交单价（元/平方米）</v>
      </c>
      <c r="Q41" s="3431"/>
      <c r="R41" s="3432">
        <f>E41</f>
        <v>0</v>
      </c>
      <c r="S41" s="3432"/>
      <c r="T41" s="3432">
        <f>G41</f>
        <v>0</v>
      </c>
      <c r="U41" s="3432"/>
      <c r="V41" s="3432">
        <f>I41</f>
        <v>0</v>
      </c>
      <c r="W41" s="3432"/>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7" t="s">
        <v>2309</v>
      </c>
      <c r="Q7" s="3469"/>
      <c r="R7" s="710" t="s">
        <v>17</v>
      </c>
      <c r="S7" s="711">
        <f t="shared" ref="S7:S14" si="0">F7</f>
        <v>0</v>
      </c>
      <c r="T7" s="710" t="s">
        <v>17</v>
      </c>
      <c r="U7" s="711">
        <f t="shared" ref="U7:U14" si="1">H7</f>
        <v>0</v>
      </c>
      <c r="V7" s="710" t="s">
        <v>17</v>
      </c>
      <c r="W7" s="711">
        <f t="shared" ref="W7:W14"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1" t="s">
        <v>2315</v>
      </c>
      <c r="Q9" s="1497" t="str">
        <f t="shared" ref="Q9:Q14" si="6">B9</f>
        <v>用途</v>
      </c>
      <c r="R9" s="710" t="s">
        <v>17</v>
      </c>
      <c r="S9" s="711">
        <f t="shared" si="0"/>
        <v>100</v>
      </c>
      <c r="T9" s="710" t="s">
        <v>17</v>
      </c>
      <c r="U9" s="711">
        <f t="shared" si="1"/>
        <v>100</v>
      </c>
      <c r="V9" s="710" t="s">
        <v>17</v>
      </c>
      <c r="W9" s="711">
        <f t="shared" si="2"/>
        <v>100</v>
      </c>
      <c r="X9" s="712"/>
      <c r="Y9" s="330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4"/>
      <c r="Q15" s="1506"/>
      <c r="R15" s="714"/>
      <c r="S15" s="715"/>
      <c r="T15" s="714"/>
      <c r="U15" s="715"/>
      <c r="V15" s="714"/>
      <c r="W15" s="715"/>
      <c r="X15" s="1509"/>
      <c r="Y15" s="3434"/>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4"/>
      <c r="Q17" s="1506"/>
      <c r="R17" s="714"/>
      <c r="S17" s="715"/>
      <c r="T17" s="714"/>
      <c r="U17" s="715"/>
      <c r="V17" s="714"/>
      <c r="W17" s="715"/>
      <c r="X17" s="1509"/>
      <c r="Y17" s="3434"/>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4"/>
      <c r="Q19" s="1506"/>
      <c r="R19" s="714"/>
      <c r="S19" s="715"/>
      <c r="T19" s="714"/>
      <c r="U19" s="715"/>
      <c r="V19" s="714"/>
      <c r="W19" s="715"/>
      <c r="X19" s="1509"/>
      <c r="Y19" s="3434"/>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4"/>
      <c r="Q21" s="1506"/>
      <c r="R21" s="714"/>
      <c r="S21" s="715"/>
      <c r="T21" s="714"/>
      <c r="U21" s="715"/>
      <c r="V21" s="714"/>
      <c r="W21" s="715"/>
      <c r="X21" s="1509"/>
      <c r="Y21" s="343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4"/>
      <c r="Q24" s="1506">
        <f t="shared" ref="Q24:Q36"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8"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8"/>
      <c r="Q27" s="716" t="str">
        <f t="shared" si="11"/>
        <v>项目停车位配比</v>
      </c>
      <c r="R27" s="717" t="s">
        <v>17</v>
      </c>
      <c r="S27" s="718">
        <f t="shared" si="12"/>
        <v>100</v>
      </c>
      <c r="T27" s="717" t="s">
        <v>17</v>
      </c>
      <c r="U27" s="718">
        <f t="shared" si="13"/>
        <v>100</v>
      </c>
      <c r="V27" s="717" t="s">
        <v>17</v>
      </c>
      <c r="W27" s="718">
        <f t="shared" si="14"/>
        <v>100</v>
      </c>
      <c r="X27" s="719"/>
      <c r="Y27" s="3438"/>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8"/>
      <c r="Q28" s="1506" t="str">
        <f t="shared" si="11"/>
        <v>公共部分装修</v>
      </c>
      <c r="R28" s="714" t="s">
        <v>17</v>
      </c>
      <c r="S28" s="715">
        <f t="shared" si="12"/>
        <v>100</v>
      </c>
      <c r="T28" s="714" t="s">
        <v>17</v>
      </c>
      <c r="U28" s="715">
        <f t="shared" si="13"/>
        <v>100</v>
      </c>
      <c r="V28" s="714" t="s">
        <v>17</v>
      </c>
      <c r="W28" s="715">
        <f t="shared" si="14"/>
        <v>100</v>
      </c>
      <c r="X28" s="1509"/>
      <c r="Y28" s="3438"/>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8"/>
      <c r="Q29" s="1506" t="str">
        <f t="shared" si="11"/>
        <v>成新率</v>
      </c>
      <c r="R29" s="714" t="s">
        <v>17</v>
      </c>
      <c r="S29" s="715" t="e">
        <f t="shared" si="12"/>
        <v>#N/A</v>
      </c>
      <c r="T29" s="714" t="s">
        <v>17</v>
      </c>
      <c r="U29" s="715" t="e">
        <f t="shared" si="13"/>
        <v>#N/A</v>
      </c>
      <c r="V29" s="714" t="s">
        <v>17</v>
      </c>
      <c r="W29" s="715" t="e">
        <f t="shared" si="14"/>
        <v>#N/A</v>
      </c>
      <c r="X29" s="1509"/>
      <c r="Y29" s="3438"/>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8"/>
      <c r="Q30" s="1506" t="str">
        <f t="shared" si="11"/>
        <v>物业等级</v>
      </c>
      <c r="R30" s="714" t="s">
        <v>17</v>
      </c>
      <c r="S30" s="715">
        <f t="shared" si="12"/>
        <v>100</v>
      </c>
      <c r="T30" s="714" t="s">
        <v>17</v>
      </c>
      <c r="U30" s="715">
        <f t="shared" si="13"/>
        <v>100</v>
      </c>
      <c r="V30" s="714" t="s">
        <v>17</v>
      </c>
      <c r="W30" s="715">
        <f t="shared" si="14"/>
        <v>100</v>
      </c>
      <c r="X30" s="1509"/>
      <c r="Y30" s="3438"/>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8"/>
      <c r="Q31" s="1497" t="str">
        <f t="shared" si="11"/>
        <v>停车位面积</v>
      </c>
      <c r="R31" s="710" t="s">
        <v>17</v>
      </c>
      <c r="S31" s="711" t="e">
        <f t="shared" si="12"/>
        <v>#N/A</v>
      </c>
      <c r="T31" s="710" t="s">
        <v>17</v>
      </c>
      <c r="U31" s="711" t="e">
        <f t="shared" si="13"/>
        <v>#N/A</v>
      </c>
      <c r="V31" s="710" t="s">
        <v>17</v>
      </c>
      <c r="W31" s="711" t="e">
        <f t="shared" si="14"/>
        <v>#N/A</v>
      </c>
      <c r="X31" s="712"/>
      <c r="Y31" s="343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8" t="s">
        <v>2325</v>
      </c>
      <c r="Q32" s="1506" t="str">
        <f t="shared" si="11"/>
        <v>车位类型</v>
      </c>
      <c r="R32" s="714" t="s">
        <v>17</v>
      </c>
      <c r="S32" s="715">
        <f t="shared" si="12"/>
        <v>100</v>
      </c>
      <c r="T32" s="714" t="s">
        <v>17</v>
      </c>
      <c r="U32" s="715">
        <f t="shared" si="13"/>
        <v>100</v>
      </c>
      <c r="V32" s="714" t="s">
        <v>17</v>
      </c>
      <c r="W32" s="715">
        <f t="shared" si="14"/>
        <v>100</v>
      </c>
      <c r="X32" s="1509"/>
      <c r="Y32" s="3438"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8"/>
      <c r="Q33" s="1506" t="str">
        <f t="shared" si="11"/>
        <v>是否直接入户</v>
      </c>
      <c r="R33" s="714" t="s">
        <v>17</v>
      </c>
      <c r="S33" s="715">
        <f t="shared" si="12"/>
        <v>100</v>
      </c>
      <c r="T33" s="714" t="s">
        <v>17</v>
      </c>
      <c r="U33" s="715">
        <f t="shared" si="13"/>
        <v>100</v>
      </c>
      <c r="V33" s="714" t="s">
        <v>17</v>
      </c>
      <c r="W33" s="715">
        <f t="shared" si="14"/>
        <v>100</v>
      </c>
      <c r="X33" s="1509"/>
      <c r="Y33" s="343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8"/>
      <c r="Q35" s="716">
        <f t="shared" si="11"/>
        <v>111</v>
      </c>
      <c r="R35" s="717" t="s">
        <v>17</v>
      </c>
      <c r="S35" s="718">
        <f t="shared" si="12"/>
        <v>100</v>
      </c>
      <c r="T35" s="717" t="s">
        <v>17</v>
      </c>
      <c r="U35" s="718">
        <f t="shared" si="13"/>
        <v>100</v>
      </c>
      <c r="V35" s="717" t="s">
        <v>17</v>
      </c>
      <c r="W35" s="718">
        <f t="shared" si="14"/>
        <v>100</v>
      </c>
      <c r="X35" s="719"/>
      <c r="Y35" s="343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8"/>
      <c r="Q36" s="1506">
        <f t="shared" si="11"/>
        <v>111</v>
      </c>
      <c r="R36" s="714" t="s">
        <v>17</v>
      </c>
      <c r="S36" s="715">
        <f t="shared" si="12"/>
        <v>100</v>
      </c>
      <c r="T36" s="714" t="s">
        <v>17</v>
      </c>
      <c r="U36" s="715">
        <f t="shared" si="13"/>
        <v>100</v>
      </c>
      <c r="V36" s="714" t="s">
        <v>17</v>
      </c>
      <c r="W36" s="715">
        <f t="shared" si="14"/>
        <v>100</v>
      </c>
      <c r="X36" s="1509"/>
      <c r="Y36" s="3438"/>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31" t="str">
        <f>A37</f>
        <v>成交单价</v>
      </c>
      <c r="Q37" s="3431"/>
      <c r="R37" s="3432">
        <f>E37</f>
        <v>0</v>
      </c>
      <c r="S37" s="3432"/>
      <c r="T37" s="3432">
        <f>G37</f>
        <v>0</v>
      </c>
      <c r="U37" s="3432"/>
      <c r="V37" s="3432">
        <f>I37</f>
        <v>0</v>
      </c>
      <c r="W37" s="3432"/>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28" t="str">
        <f>A39</f>
        <v>估价对象XX用房的比较价值（楼面单价，元/平方米）</v>
      </c>
      <c r="Q39" s="3429"/>
      <c r="R39" s="3490" t="e">
        <f>IF(F1="售价",ROUND(IF(D38="简单平均",AVERAGE(R38:W38),R38*F38+T38*H38+V38*J38),0),ROUND(IF(D38="简单平均",AVERAGE(R38:V38),R38*F38+T38*H38+V38*J38),1))</f>
        <v>#DIV/0!</v>
      </c>
      <c r="S39" s="3490"/>
      <c r="T39" s="3490"/>
      <c r="U39" s="3490"/>
      <c r="V39" s="3490"/>
      <c r="W39" s="349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44642</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7" t="s">
        <v>2309</v>
      </c>
      <c r="Q7" s="3469"/>
      <c r="R7" s="710" t="s">
        <v>17</v>
      </c>
      <c r="S7" s="711">
        <f t="shared" ref="S7:S14" si="0">F7</f>
        <v>0</v>
      </c>
      <c r="T7" s="710" t="s">
        <v>17</v>
      </c>
      <c r="U7" s="711">
        <f t="shared" ref="U7:U14" si="1">H7</f>
        <v>0</v>
      </c>
      <c r="V7" s="710" t="s">
        <v>17</v>
      </c>
      <c r="W7" s="711">
        <f t="shared" ref="W7:W14"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1" t="s">
        <v>2315</v>
      </c>
      <c r="Q9" s="1497" t="str">
        <f t="shared" ref="Q9:Q14" si="6">B9</f>
        <v>用途</v>
      </c>
      <c r="R9" s="710" t="s">
        <v>17</v>
      </c>
      <c r="S9" s="711">
        <f t="shared" si="0"/>
        <v>100</v>
      </c>
      <c r="T9" s="710" t="s">
        <v>17</v>
      </c>
      <c r="U9" s="711">
        <f t="shared" si="1"/>
        <v>100</v>
      </c>
      <c r="V9" s="710" t="s">
        <v>17</v>
      </c>
      <c r="W9" s="711">
        <f t="shared" si="2"/>
        <v>100</v>
      </c>
      <c r="X9" s="712"/>
      <c r="Y9" s="330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4"/>
      <c r="Q15" s="1506"/>
      <c r="R15" s="714"/>
      <c r="S15" s="715"/>
      <c r="T15" s="714"/>
      <c r="U15" s="715"/>
      <c r="V15" s="714"/>
      <c r="W15" s="715"/>
      <c r="X15" s="1509"/>
      <c r="Y15" s="3434"/>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4"/>
      <c r="Q17" s="1506"/>
      <c r="R17" s="714"/>
      <c r="S17" s="715"/>
      <c r="T17" s="714"/>
      <c r="U17" s="715"/>
      <c r="V17" s="714"/>
      <c r="W17" s="715"/>
      <c r="X17" s="1509"/>
      <c r="Y17" s="3434"/>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4"/>
      <c r="Q19" s="1506"/>
      <c r="R19" s="714"/>
      <c r="S19" s="715"/>
      <c r="T19" s="714"/>
      <c r="U19" s="715"/>
      <c r="V19" s="714"/>
      <c r="W19" s="715"/>
      <c r="X19" s="1509"/>
      <c r="Y19" s="3434"/>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4"/>
      <c r="Q21" s="1506"/>
      <c r="R21" s="714"/>
      <c r="S21" s="715"/>
      <c r="T21" s="714"/>
      <c r="U21" s="715"/>
      <c r="V21" s="714"/>
      <c r="W21" s="715"/>
      <c r="X21" s="1509"/>
      <c r="Y21" s="343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4"/>
      <c r="Q24" s="1506">
        <f t="shared" ref="Q24:Q34"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8"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8"/>
      <c r="Q27" s="716" t="str">
        <f t="shared" si="11"/>
        <v>成新率</v>
      </c>
      <c r="R27" s="717" t="s">
        <v>17</v>
      </c>
      <c r="S27" s="718" t="e">
        <f t="shared" si="12"/>
        <v>#N/A</v>
      </c>
      <c r="T27" s="717" t="s">
        <v>17</v>
      </c>
      <c r="U27" s="718" t="e">
        <f t="shared" si="13"/>
        <v>#N/A</v>
      </c>
      <c r="V27" s="717" t="s">
        <v>17</v>
      </c>
      <c r="W27" s="718" t="e">
        <f t="shared" si="14"/>
        <v>#N/A</v>
      </c>
      <c r="X27" s="719"/>
      <c r="Y27" s="3438"/>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8"/>
      <c r="Q28" s="1506" t="str">
        <f t="shared" si="11"/>
        <v>物业等级</v>
      </c>
      <c r="R28" s="714" t="s">
        <v>17</v>
      </c>
      <c r="S28" s="715">
        <f t="shared" si="12"/>
        <v>100</v>
      </c>
      <c r="T28" s="714" t="s">
        <v>17</v>
      </c>
      <c r="U28" s="715">
        <f t="shared" si="13"/>
        <v>100</v>
      </c>
      <c r="V28" s="714" t="s">
        <v>17</v>
      </c>
      <c r="W28" s="715">
        <f t="shared" si="14"/>
        <v>100</v>
      </c>
      <c r="X28" s="1509"/>
      <c r="Y28" s="3438"/>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8"/>
      <c r="Q29" s="1506" t="str">
        <f t="shared" si="11"/>
        <v>有无电梯</v>
      </c>
      <c r="R29" s="714" t="s">
        <v>17</v>
      </c>
      <c r="S29" s="715">
        <f t="shared" si="12"/>
        <v>100</v>
      </c>
      <c r="T29" s="714" t="s">
        <v>17</v>
      </c>
      <c r="U29" s="715">
        <f t="shared" si="13"/>
        <v>100</v>
      </c>
      <c r="V29" s="714" t="s">
        <v>17</v>
      </c>
      <c r="W29" s="715">
        <f t="shared" si="14"/>
        <v>100</v>
      </c>
      <c r="X29" s="1509"/>
      <c r="Y29" s="3438"/>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8"/>
      <c r="Q30" s="1506" t="str">
        <f t="shared" si="11"/>
        <v>建筑面积</v>
      </c>
      <c r="R30" s="714" t="s">
        <v>17</v>
      </c>
      <c r="S30" s="715" t="e">
        <f t="shared" si="12"/>
        <v>#N/A</v>
      </c>
      <c r="T30" s="714" t="s">
        <v>17</v>
      </c>
      <c r="U30" s="715" t="e">
        <f t="shared" si="13"/>
        <v>#N/A</v>
      </c>
      <c r="V30" s="714" t="s">
        <v>17</v>
      </c>
      <c r="W30" s="715" t="e">
        <f t="shared" si="14"/>
        <v>#N/A</v>
      </c>
      <c r="X30" s="1509"/>
      <c r="Y30" s="3438"/>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8"/>
      <c r="Q31" s="1497" t="str">
        <f t="shared" si="11"/>
        <v>是否封闭</v>
      </c>
      <c r="R31" s="710" t="s">
        <v>17</v>
      </c>
      <c r="S31" s="711">
        <f t="shared" si="12"/>
        <v>100</v>
      </c>
      <c r="T31" s="710" t="s">
        <v>17</v>
      </c>
      <c r="U31" s="711">
        <f t="shared" si="13"/>
        <v>100</v>
      </c>
      <c r="V31" s="710" t="s">
        <v>17</v>
      </c>
      <c r="W31" s="711">
        <f t="shared" si="14"/>
        <v>100</v>
      </c>
      <c r="X31" s="712"/>
      <c r="Y31" s="343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8" t="s">
        <v>2325</v>
      </c>
      <c r="Q32" s="1506">
        <f t="shared" si="11"/>
        <v>111</v>
      </c>
      <c r="R32" s="714" t="s">
        <v>17</v>
      </c>
      <c r="S32" s="715">
        <f t="shared" si="12"/>
        <v>100</v>
      </c>
      <c r="T32" s="714" t="s">
        <v>17</v>
      </c>
      <c r="U32" s="715">
        <f t="shared" si="13"/>
        <v>100</v>
      </c>
      <c r="V32" s="714" t="s">
        <v>17</v>
      </c>
      <c r="W32" s="715">
        <f t="shared" si="14"/>
        <v>100</v>
      </c>
      <c r="X32" s="1509"/>
      <c r="Y32" s="3438"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8"/>
      <c r="Q33" s="1506">
        <f t="shared" si="11"/>
        <v>111</v>
      </c>
      <c r="R33" s="714" t="s">
        <v>17</v>
      </c>
      <c r="S33" s="715">
        <f t="shared" si="12"/>
        <v>100</v>
      </c>
      <c r="T33" s="714" t="s">
        <v>17</v>
      </c>
      <c r="U33" s="715">
        <f t="shared" si="13"/>
        <v>100</v>
      </c>
      <c r="V33" s="714" t="s">
        <v>17</v>
      </c>
      <c r="W33" s="715">
        <f t="shared" si="14"/>
        <v>100</v>
      </c>
      <c r="X33" s="1509"/>
      <c r="Y33" s="343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31" t="str">
        <f>A35</f>
        <v>成交单价（元/平方米）</v>
      </c>
      <c r="Q35" s="3431"/>
      <c r="R35" s="3432">
        <f>E35</f>
        <v>0</v>
      </c>
      <c r="S35" s="3432"/>
      <c r="T35" s="3432">
        <f>G35</f>
        <v>0</v>
      </c>
      <c r="U35" s="3432"/>
      <c r="V35" s="3432">
        <f>I35</f>
        <v>0</v>
      </c>
      <c r="W35" s="3432"/>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28" t="str">
        <f>A37</f>
        <v>估价对象XX用房的比较价值（楼面单价，元/平方米）</v>
      </c>
      <c r="Q37" s="3429"/>
      <c r="R37" s="3490" t="e">
        <f>IF(F1="售价",ROUND(IF(D36="简单平均",AVERAGE(R36:W36),R36*F36+T36*H36+V36*J36),0),ROUND(IF(D36="简单平均",AVERAGE(R36:V36),R36*F36+T36*H36+V36*J36),1))</f>
        <v>#DIV/0!</v>
      </c>
      <c r="S37" s="3490"/>
      <c r="T37" s="3490"/>
      <c r="U37" s="3490"/>
      <c r="V37" s="3490"/>
      <c r="W37" s="349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30"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30"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30" s="113" customFormat="1" ht="15.75" thickBot="1">
      <c r="A7" s="368" t="s">
        <v>2308</v>
      </c>
      <c r="B7" s="369"/>
      <c r="C7" s="370">
        <f>'数据-取费表'!B2</f>
        <v>44642</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431"/>
      <c r="Q10" s="1497" t="str">
        <f t="shared" si="6"/>
        <v>土地使用年限（年）</v>
      </c>
      <c r="R10" s="710" t="s">
        <v>17</v>
      </c>
      <c r="S10" s="711">
        <f t="shared" si="0"/>
        <v>106</v>
      </c>
      <c r="T10" s="710" t="s">
        <v>17</v>
      </c>
      <c r="U10" s="711">
        <f t="shared" si="1"/>
        <v>106</v>
      </c>
      <c r="V10" s="710" t="s">
        <v>17</v>
      </c>
      <c r="W10" s="711">
        <f t="shared" si="2"/>
        <v>106</v>
      </c>
      <c r="X10" s="712"/>
      <c r="Y10" s="3303"/>
      <c r="Z10" s="55" t="str">
        <f t="shared" si="7"/>
        <v>土地使用年限（年）</v>
      </c>
      <c r="AA10" s="713">
        <f t="shared" si="3"/>
        <v>0.94339622641509435</v>
      </c>
      <c r="AB10" s="713">
        <f t="shared" si="4"/>
        <v>0.94339622641509435</v>
      </c>
      <c r="AC10" s="713">
        <f t="shared" si="5"/>
        <v>0.94339622641509435</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1"/>
      <c r="Q12" s="1497" t="str">
        <f t="shared" si="6"/>
        <v>配建</v>
      </c>
      <c r="R12" s="710" t="s">
        <v>17</v>
      </c>
      <c r="S12" s="711">
        <f t="shared" si="0"/>
        <v>100</v>
      </c>
      <c r="T12" s="710" t="s">
        <v>17</v>
      </c>
      <c r="U12" s="711">
        <f t="shared" si="1"/>
        <v>100</v>
      </c>
      <c r="V12" s="710" t="s">
        <v>17</v>
      </c>
      <c r="W12" s="711">
        <f t="shared" si="2"/>
        <v>100</v>
      </c>
      <c r="X12" s="712"/>
      <c r="Y12" s="330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3" t="s">
        <v>2320</v>
      </c>
      <c r="Q15" s="1506" t="str">
        <f t="shared" si="6"/>
        <v>居住社区成熟度</v>
      </c>
      <c r="R15" s="714" t="s">
        <v>17</v>
      </c>
      <c r="S15" s="715">
        <f t="shared" si="0"/>
        <v>100</v>
      </c>
      <c r="T15" s="714" t="s">
        <v>17</v>
      </c>
      <c r="U15" s="715">
        <f t="shared" si="1"/>
        <v>100</v>
      </c>
      <c r="V15" s="714" t="s">
        <v>17</v>
      </c>
      <c r="W15" s="715">
        <f t="shared" si="2"/>
        <v>100</v>
      </c>
      <c r="X15" s="1509"/>
      <c r="Y15" s="343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4"/>
      <c r="Q17" s="1506" t="str">
        <f>B17</f>
        <v>商业繁华度</v>
      </c>
      <c r="R17" s="714" t="s">
        <v>17</v>
      </c>
      <c r="S17" s="715">
        <f>F17</f>
        <v>100</v>
      </c>
      <c r="T17" s="714" t="s">
        <v>17</v>
      </c>
      <c r="U17" s="715">
        <f>H17</f>
        <v>100</v>
      </c>
      <c r="V17" s="714" t="s">
        <v>17</v>
      </c>
      <c r="W17" s="715">
        <f>J17</f>
        <v>100</v>
      </c>
      <c r="X17" s="1509"/>
      <c r="Y17" s="343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4"/>
      <c r="Q19" s="1506" t="str">
        <f>B19</f>
        <v>办公集聚程度</v>
      </c>
      <c r="R19" s="714" t="s">
        <v>17</v>
      </c>
      <c r="S19" s="715">
        <f>F19</f>
        <v>100</v>
      </c>
      <c r="T19" s="714" t="s">
        <v>17</v>
      </c>
      <c r="U19" s="715">
        <f>H19</f>
        <v>100</v>
      </c>
      <c r="V19" s="714" t="s">
        <v>17</v>
      </c>
      <c r="W19" s="715">
        <f>J19</f>
        <v>100</v>
      </c>
      <c r="X19" s="1509"/>
      <c r="Y19" s="343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4"/>
      <c r="Q20" s="1506"/>
      <c r="R20" s="714"/>
      <c r="S20" s="715"/>
      <c r="T20" s="714"/>
      <c r="U20" s="715"/>
      <c r="V20" s="714"/>
      <c r="W20" s="715"/>
      <c r="X20" s="1509"/>
      <c r="Y20" s="3434"/>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4"/>
      <c r="Q21" s="1506" t="str">
        <f>B21</f>
        <v>交通便捷度</v>
      </c>
      <c r="R21" s="714" t="s">
        <v>17</v>
      </c>
      <c r="S21" s="715">
        <f>F21</f>
        <v>100</v>
      </c>
      <c r="T21" s="714" t="s">
        <v>17</v>
      </c>
      <c r="U21" s="715">
        <f>H21</f>
        <v>100</v>
      </c>
      <c r="V21" s="714" t="s">
        <v>17</v>
      </c>
      <c r="W21" s="715">
        <f>J21</f>
        <v>100</v>
      </c>
      <c r="X21" s="1509"/>
      <c r="Y21" s="343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4"/>
      <c r="Q23" s="1506" t="str">
        <f t="shared" ref="Q23:Q37" si="8">B23</f>
        <v>区域土地利用方向</v>
      </c>
      <c r="R23" s="714" t="s">
        <v>17</v>
      </c>
      <c r="S23" s="715">
        <f>F23</f>
        <v>100</v>
      </c>
      <c r="T23" s="714" t="s">
        <v>17</v>
      </c>
      <c r="U23" s="715">
        <f>H23</f>
        <v>100</v>
      </c>
      <c r="V23" s="714" t="s">
        <v>17</v>
      </c>
      <c r="W23" s="715">
        <f>J23</f>
        <v>100</v>
      </c>
      <c r="X23" s="1509"/>
      <c r="Y23" s="343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4"/>
      <c r="Q24" s="1506"/>
      <c r="R24" s="714"/>
      <c r="S24" s="715"/>
      <c r="T24" s="714"/>
      <c r="U24" s="715"/>
      <c r="V24" s="714"/>
      <c r="W24" s="715"/>
      <c r="X24" s="1509"/>
      <c r="Y24" s="3434"/>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4"/>
      <c r="Q25" s="1506" t="str">
        <f t="shared" si="8"/>
        <v>自然及人文环境状况</v>
      </c>
      <c r="R25" s="714" t="s">
        <v>17</v>
      </c>
      <c r="S25" s="715">
        <f>F25</f>
        <v>100</v>
      </c>
      <c r="T25" s="714" t="s">
        <v>17</v>
      </c>
      <c r="U25" s="715">
        <f>H25</f>
        <v>100</v>
      </c>
      <c r="V25" s="714" t="s">
        <v>17</v>
      </c>
      <c r="W25" s="715">
        <f>J25</f>
        <v>100</v>
      </c>
      <c r="X25" s="1509"/>
      <c r="Y25" s="343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4"/>
      <c r="Q26" s="1506"/>
      <c r="R26" s="714"/>
      <c r="S26" s="715"/>
      <c r="T26" s="714"/>
      <c r="U26" s="715"/>
      <c r="V26" s="714"/>
      <c r="W26" s="715"/>
      <c r="X26" s="1509"/>
      <c r="Y26" s="3434"/>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4"/>
      <c r="Q27" s="1497" t="str">
        <f t="shared" si="8"/>
        <v>公共配套设施</v>
      </c>
      <c r="R27" s="710" t="s">
        <v>17</v>
      </c>
      <c r="S27" s="711">
        <f>F27</f>
        <v>100</v>
      </c>
      <c r="T27" s="710" t="s">
        <v>17</v>
      </c>
      <c r="U27" s="711">
        <f>H27</f>
        <v>100</v>
      </c>
      <c r="V27" s="710" t="s">
        <v>17</v>
      </c>
      <c r="W27" s="711">
        <f>J27</f>
        <v>100</v>
      </c>
      <c r="X27" s="712"/>
      <c r="Y27" s="343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4"/>
      <c r="Q28" s="1497"/>
      <c r="R28" s="710"/>
      <c r="S28" s="711"/>
      <c r="T28" s="710"/>
      <c r="U28" s="711"/>
      <c r="V28" s="710"/>
      <c r="W28" s="711"/>
      <c r="X28" s="712"/>
      <c r="Y28" s="3434"/>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4"/>
      <c r="Q29" s="1497" t="str">
        <f t="shared" ref="Q29" si="9">B29</f>
        <v>基础设施水平</v>
      </c>
      <c r="R29" s="710" t="s">
        <v>17</v>
      </c>
      <c r="S29" s="711">
        <f>F29</f>
        <v>100</v>
      </c>
      <c r="T29" s="710" t="s">
        <v>17</v>
      </c>
      <c r="U29" s="711">
        <f>H29</f>
        <v>100</v>
      </c>
      <c r="V29" s="710" t="s">
        <v>17</v>
      </c>
      <c r="W29" s="711">
        <f>J29</f>
        <v>100</v>
      </c>
      <c r="X29" s="712"/>
      <c r="Y29" s="343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4"/>
      <c r="Q30" s="1497"/>
      <c r="R30" s="710"/>
      <c r="S30" s="711"/>
      <c r="T30" s="710"/>
      <c r="U30" s="711"/>
      <c r="V30" s="710"/>
      <c r="W30" s="711"/>
      <c r="X30" s="712"/>
      <c r="Y30" s="343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4"/>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4"/>
      <c r="Q32" s="1506" t="str">
        <f t="shared" si="8"/>
        <v>毗邻道路的类型与等级</v>
      </c>
      <c r="R32" s="714" t="s">
        <v>17</v>
      </c>
      <c r="S32" s="715">
        <f t="shared" si="10"/>
        <v>100</v>
      </c>
      <c r="T32" s="714" t="s">
        <v>17</v>
      </c>
      <c r="U32" s="715">
        <f t="shared" si="11"/>
        <v>100</v>
      </c>
      <c r="V32" s="714" t="s">
        <v>17</v>
      </c>
      <c r="W32" s="715">
        <f t="shared" si="12"/>
        <v>100</v>
      </c>
      <c r="X32" s="1509"/>
      <c r="Y32" s="343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4"/>
      <c r="Q33" s="1506"/>
      <c r="R33" s="714"/>
      <c r="S33" s="715"/>
      <c r="T33" s="714"/>
      <c r="U33" s="715"/>
      <c r="V33" s="714"/>
      <c r="W33" s="715"/>
      <c r="X33" s="1509"/>
      <c r="Y33" s="343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4"/>
      <c r="Q34" s="1506" t="str">
        <f t="shared" si="8"/>
        <v>土地级别</v>
      </c>
      <c r="R34" s="714" t="s">
        <v>17</v>
      </c>
      <c r="S34" s="715">
        <f t="shared" si="10"/>
        <v>100</v>
      </c>
      <c r="T34" s="714" t="s">
        <v>17</v>
      </c>
      <c r="U34" s="715">
        <f t="shared" si="11"/>
        <v>100</v>
      </c>
      <c r="V34" s="714" t="s">
        <v>17</v>
      </c>
      <c r="W34" s="715">
        <f t="shared" si="12"/>
        <v>100</v>
      </c>
      <c r="X34" s="1509"/>
      <c r="Y34" s="343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4"/>
      <c r="Q35" s="1506">
        <f t="shared" si="8"/>
        <v>111</v>
      </c>
      <c r="R35" s="714" t="s">
        <v>17</v>
      </c>
      <c r="S35" s="715">
        <f t="shared" si="10"/>
        <v>100</v>
      </c>
      <c r="T35" s="714" t="s">
        <v>17</v>
      </c>
      <c r="U35" s="715">
        <f t="shared" si="11"/>
        <v>100</v>
      </c>
      <c r="V35" s="714" t="s">
        <v>17</v>
      </c>
      <c r="W35" s="715">
        <f t="shared" si="12"/>
        <v>100</v>
      </c>
      <c r="X35" s="1509"/>
      <c r="Y35" s="343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9" t="s">
        <v>2325</v>
      </c>
      <c r="Q36" s="1506">
        <f t="shared" si="8"/>
        <v>111</v>
      </c>
      <c r="R36" s="714" t="s">
        <v>17</v>
      </c>
      <c r="S36" s="715">
        <f t="shared" si="10"/>
        <v>100</v>
      </c>
      <c r="T36" s="714" t="s">
        <v>17</v>
      </c>
      <c r="U36" s="715">
        <f t="shared" si="11"/>
        <v>100</v>
      </c>
      <c r="V36" s="714" t="s">
        <v>17</v>
      </c>
      <c r="W36" s="715">
        <f t="shared" si="12"/>
        <v>100</v>
      </c>
      <c r="X36" s="1509"/>
      <c r="Y36" s="3438"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8"/>
      <c r="Q37" s="1506">
        <f t="shared" si="8"/>
        <v>111</v>
      </c>
      <c r="R37" s="717" t="s">
        <v>17</v>
      </c>
      <c r="S37" s="718">
        <f t="shared" si="10"/>
        <v>100</v>
      </c>
      <c r="T37" s="717" t="s">
        <v>17</v>
      </c>
      <c r="U37" s="718">
        <f t="shared" si="11"/>
        <v>100</v>
      </c>
      <c r="V37" s="717" t="s">
        <v>17</v>
      </c>
      <c r="W37" s="718">
        <f t="shared" si="12"/>
        <v>100</v>
      </c>
      <c r="X37" s="719"/>
      <c r="Y37" s="3438"/>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8"/>
      <c r="Q38" s="1506" t="str">
        <f>B38</f>
        <v>宗地面积</v>
      </c>
      <c r="R38" s="714" t="s">
        <v>17</v>
      </c>
      <c r="S38" s="715" t="e">
        <f t="shared" si="10"/>
        <v>#N/A</v>
      </c>
      <c r="T38" s="714" t="s">
        <v>17</v>
      </c>
      <c r="U38" s="715" t="e">
        <f t="shared" si="11"/>
        <v>#N/A</v>
      </c>
      <c r="V38" s="714" t="s">
        <v>17</v>
      </c>
      <c r="W38" s="715" t="e">
        <f t="shared" si="12"/>
        <v>#N/A</v>
      </c>
      <c r="X38" s="1509"/>
      <c r="Y38" s="3438"/>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8"/>
      <c r="Q39" s="1506" t="str">
        <f t="shared" ref="Q39:Q45" si="14">B39</f>
        <v>宗地形状</v>
      </c>
      <c r="R39" s="714" t="s">
        <v>17</v>
      </c>
      <c r="S39" s="715">
        <f t="shared" si="10"/>
        <v>100</v>
      </c>
      <c r="T39" s="714" t="s">
        <v>17</v>
      </c>
      <c r="U39" s="715">
        <f t="shared" si="11"/>
        <v>100</v>
      </c>
      <c r="V39" s="714" t="s">
        <v>17</v>
      </c>
      <c r="W39" s="715">
        <f t="shared" si="12"/>
        <v>100</v>
      </c>
      <c r="X39" s="1509"/>
      <c r="Y39" s="3438"/>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8"/>
      <c r="Q40" s="1506" t="str">
        <f t="shared" si="14"/>
        <v>临街宽度及深度</v>
      </c>
      <c r="R40" s="714" t="s">
        <v>17</v>
      </c>
      <c r="S40" s="715">
        <f t="shared" si="10"/>
        <v>100</v>
      </c>
      <c r="T40" s="714" t="s">
        <v>17</v>
      </c>
      <c r="U40" s="715">
        <f t="shared" si="11"/>
        <v>100</v>
      </c>
      <c r="V40" s="714" t="s">
        <v>17</v>
      </c>
      <c r="W40" s="715">
        <f t="shared" si="12"/>
        <v>100</v>
      </c>
      <c r="X40" s="1509"/>
      <c r="Y40" s="3438"/>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8"/>
      <c r="Q41" s="1506" t="str">
        <f t="shared" si="14"/>
        <v>宗地开发程度</v>
      </c>
      <c r="R41" s="710" t="s">
        <v>17</v>
      </c>
      <c r="S41" s="711">
        <f t="shared" si="10"/>
        <v>100</v>
      </c>
      <c r="T41" s="710" t="s">
        <v>17</v>
      </c>
      <c r="U41" s="711">
        <f t="shared" si="11"/>
        <v>100</v>
      </c>
      <c r="V41" s="710" t="s">
        <v>17</v>
      </c>
      <c r="W41" s="711">
        <f t="shared" si="12"/>
        <v>100</v>
      </c>
      <c r="X41" s="712"/>
      <c r="Y41" s="3438"/>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8" t="s">
        <v>2325</v>
      </c>
      <c r="Q42" s="1506" t="str">
        <f t="shared" si="14"/>
        <v>工程地质条件</v>
      </c>
      <c r="R42" s="714" t="s">
        <v>17</v>
      </c>
      <c r="S42" s="715">
        <f t="shared" si="10"/>
        <v>100</v>
      </c>
      <c r="T42" s="714" t="s">
        <v>17</v>
      </c>
      <c r="U42" s="715">
        <f t="shared" si="11"/>
        <v>100</v>
      </c>
      <c r="V42" s="714" t="s">
        <v>17</v>
      </c>
      <c r="W42" s="715">
        <f t="shared" si="12"/>
        <v>100</v>
      </c>
      <c r="X42" s="1509"/>
      <c r="Y42" s="3438"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8"/>
      <c r="Q43" s="1506">
        <f t="shared" si="14"/>
        <v>111</v>
      </c>
      <c r="R43" s="714" t="s">
        <v>17</v>
      </c>
      <c r="S43" s="715">
        <f t="shared" si="10"/>
        <v>100</v>
      </c>
      <c r="T43" s="714" t="s">
        <v>17</v>
      </c>
      <c r="U43" s="715">
        <f t="shared" si="11"/>
        <v>100</v>
      </c>
      <c r="V43" s="714" t="s">
        <v>17</v>
      </c>
      <c r="W43" s="715">
        <f t="shared" si="12"/>
        <v>100</v>
      </c>
      <c r="X43" s="1509"/>
      <c r="Y43" s="343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8"/>
      <c r="Q44" s="1506">
        <f t="shared" si="14"/>
        <v>111</v>
      </c>
      <c r="R44" s="714" t="s">
        <v>17</v>
      </c>
      <c r="S44" s="715">
        <f t="shared" si="10"/>
        <v>100</v>
      </c>
      <c r="T44" s="714" t="s">
        <v>17</v>
      </c>
      <c r="U44" s="715">
        <f t="shared" si="11"/>
        <v>100</v>
      </c>
      <c r="V44" s="714" t="s">
        <v>17</v>
      </c>
      <c r="W44" s="715">
        <f t="shared" si="12"/>
        <v>100</v>
      </c>
      <c r="X44" s="1509"/>
      <c r="Y44" s="343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8"/>
      <c r="Q45" s="1506">
        <f t="shared" si="14"/>
        <v>111</v>
      </c>
      <c r="R45" s="717" t="s">
        <v>17</v>
      </c>
      <c r="S45" s="718">
        <f t="shared" si="10"/>
        <v>100</v>
      </c>
      <c r="T45" s="717" t="s">
        <v>17</v>
      </c>
      <c r="U45" s="718">
        <f t="shared" si="11"/>
        <v>100</v>
      </c>
      <c r="V45" s="717" t="s">
        <v>17</v>
      </c>
      <c r="W45" s="718">
        <f t="shared" si="12"/>
        <v>100</v>
      </c>
      <c r="X45" s="719"/>
      <c r="Y45" s="3438"/>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31" t="str">
        <f>A46</f>
        <v>成交单价</v>
      </c>
      <c r="Q46" s="3431"/>
      <c r="R46" s="3462">
        <f>E46</f>
        <v>0</v>
      </c>
      <c r="S46" s="3462"/>
      <c r="T46" s="3462">
        <f>G46</f>
        <v>0</v>
      </c>
      <c r="U46" s="3462"/>
      <c r="V46" s="3462">
        <f>I46</f>
        <v>0</v>
      </c>
      <c r="W46" s="3462"/>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31" t="str">
        <f>A47</f>
        <v>比较价值（元/平方米）</v>
      </c>
      <c r="Q47" s="3431"/>
      <c r="R47" s="3491" t="e">
        <f>ROUND(PRODUCT(R46,AA7:AA45),0)</f>
        <v>#DIV/0!</v>
      </c>
      <c r="S47" s="3491"/>
      <c r="T47" s="3491" t="e">
        <f>ROUND(PRODUCT(T46,AB7:AB45),0)</f>
        <v>#DIV/0!</v>
      </c>
      <c r="U47" s="3491"/>
      <c r="V47" s="3491" t="e">
        <f>ROUND(PRODUCT(V46,AC7:AC45),0)</f>
        <v>#DIV/0!</v>
      </c>
      <c r="W47" s="349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28" t="str">
        <f>A48</f>
        <v>估价对象XX用房的比较价值（楼面单价，元/平方米）</v>
      </c>
      <c r="Q48" s="3429"/>
      <c r="R48" s="3492" t="e">
        <f>ROUND(IF(D47="简单平均",AVERAGE(R47:W47),R47*F47+T47*H47+V47*J47),0)</f>
        <v>#DIV/0!</v>
      </c>
      <c r="S48" s="3492"/>
      <c r="T48" s="3492"/>
      <c r="U48" s="3492"/>
      <c r="V48" s="3492"/>
      <c r="W48" s="349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6" t="s">
        <v>2524</v>
      </c>
      <c r="H55" s="349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19966.57</v>
      </c>
      <c r="F56" s="1017" t="e">
        <f t="shared" ref="F56:F65" si="15">ROUND(B56*E56/10000,0)</f>
        <v>#DIV/0!</v>
      </c>
      <c r="G56" s="3442"/>
      <c r="H56" s="343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494"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494"/>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494"/>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494"/>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19966.57</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95" t="s">
        <v>2557</v>
      </c>
      <c r="D6" s="3496"/>
      <c r="E6" s="3497" t="s">
        <v>2557</v>
      </c>
      <c r="F6" s="3498"/>
      <c r="G6" s="3495" t="s">
        <v>2557</v>
      </c>
      <c r="H6" s="3496"/>
      <c r="I6" s="3495" t="s">
        <v>2557</v>
      </c>
      <c r="J6" s="3496"/>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44642</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431"/>
      <c r="Q10" s="1497" t="str">
        <f t="shared" si="6"/>
        <v>土地使用年限（年）</v>
      </c>
      <c r="R10" s="710" t="s">
        <v>17</v>
      </c>
      <c r="S10" s="711">
        <f t="shared" si="0"/>
        <v>106</v>
      </c>
      <c r="T10" s="710" t="s">
        <v>17</v>
      </c>
      <c r="U10" s="711">
        <f t="shared" si="1"/>
        <v>106</v>
      </c>
      <c r="V10" s="710" t="s">
        <v>17</v>
      </c>
      <c r="W10" s="711">
        <f t="shared" si="2"/>
        <v>106</v>
      </c>
      <c r="X10" s="712"/>
      <c r="Y10" s="3303"/>
      <c r="Z10" s="55" t="str">
        <f t="shared" si="7"/>
        <v>土地使用年限（年）</v>
      </c>
      <c r="AA10" s="713">
        <f t="shared" si="3"/>
        <v>0.94339622641509435</v>
      </c>
      <c r="AB10" s="713">
        <f t="shared" si="4"/>
        <v>0.94339622641509435</v>
      </c>
      <c r="AC10" s="713">
        <f t="shared" si="5"/>
        <v>0.94339622641509435</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3" t="s">
        <v>2320</v>
      </c>
      <c r="Q15" s="1506" t="str">
        <f t="shared" si="6"/>
        <v>产业集聚程度</v>
      </c>
      <c r="R15" s="714" t="s">
        <v>17</v>
      </c>
      <c r="S15" s="715">
        <f t="shared" si="0"/>
        <v>100</v>
      </c>
      <c r="T15" s="714" t="s">
        <v>17</v>
      </c>
      <c r="U15" s="715">
        <f t="shared" si="1"/>
        <v>100</v>
      </c>
      <c r="V15" s="714" t="s">
        <v>17</v>
      </c>
      <c r="W15" s="715">
        <f t="shared" si="2"/>
        <v>100</v>
      </c>
      <c r="X15" s="1509"/>
      <c r="Y15" s="3433"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4"/>
      <c r="Q19" s="1506" t="str">
        <f t="shared" ref="Q19:Q33" si="8">B19</f>
        <v>区域土地利用方向</v>
      </c>
      <c r="R19" s="714" t="s">
        <v>17</v>
      </c>
      <c r="S19" s="715">
        <f>F19</f>
        <v>100</v>
      </c>
      <c r="T19" s="714" t="s">
        <v>17</v>
      </c>
      <c r="U19" s="715">
        <f>H19</f>
        <v>100</v>
      </c>
      <c r="V19" s="714" t="s">
        <v>17</v>
      </c>
      <c r="W19" s="715">
        <f>J19</f>
        <v>100</v>
      </c>
      <c r="X19" s="1509"/>
      <c r="Y19" s="343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4"/>
      <c r="Q20" s="1506"/>
      <c r="R20" s="714"/>
      <c r="S20" s="715"/>
      <c r="T20" s="714"/>
      <c r="U20" s="715"/>
      <c r="V20" s="714"/>
      <c r="W20" s="715"/>
      <c r="X20" s="1509"/>
      <c r="Y20" s="3434"/>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4"/>
      <c r="Q21" s="1506" t="str">
        <f t="shared" si="8"/>
        <v>环境状况</v>
      </c>
      <c r="R21" s="714" t="s">
        <v>17</v>
      </c>
      <c r="S21" s="715">
        <f>F21</f>
        <v>100</v>
      </c>
      <c r="T21" s="714" t="s">
        <v>17</v>
      </c>
      <c r="U21" s="715">
        <f>H21</f>
        <v>100</v>
      </c>
      <c r="V21" s="714" t="s">
        <v>17</v>
      </c>
      <c r="W21" s="715">
        <f>J21</f>
        <v>100</v>
      </c>
      <c r="X21" s="1509"/>
      <c r="Y21" s="343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4"/>
      <c r="Q23" s="1497" t="str">
        <f t="shared" si="8"/>
        <v>公共配套设施</v>
      </c>
      <c r="R23" s="710" t="s">
        <v>17</v>
      </c>
      <c r="S23" s="711">
        <f>F23</f>
        <v>100</v>
      </c>
      <c r="T23" s="710" t="s">
        <v>17</v>
      </c>
      <c r="U23" s="711">
        <f>H23</f>
        <v>100</v>
      </c>
      <c r="V23" s="710" t="s">
        <v>17</v>
      </c>
      <c r="W23" s="711">
        <f>J23</f>
        <v>100</v>
      </c>
      <c r="X23" s="712"/>
      <c r="Y23" s="343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4"/>
      <c r="Q24" s="1497"/>
      <c r="R24" s="710"/>
      <c r="S24" s="711"/>
      <c r="T24" s="710"/>
      <c r="U24" s="711"/>
      <c r="V24" s="710"/>
      <c r="W24" s="711"/>
      <c r="X24" s="712"/>
      <c r="Y24" s="3434"/>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4"/>
      <c r="Q25" s="1497" t="str">
        <f t="shared" ref="Q25" si="9">B25</f>
        <v>基础设施水平</v>
      </c>
      <c r="R25" s="710" t="s">
        <v>17</v>
      </c>
      <c r="S25" s="711">
        <f>F25</f>
        <v>100</v>
      </c>
      <c r="T25" s="710" t="s">
        <v>17</v>
      </c>
      <c r="U25" s="711">
        <f>H25</f>
        <v>100</v>
      </c>
      <c r="V25" s="710" t="s">
        <v>17</v>
      </c>
      <c r="W25" s="711">
        <f>J25</f>
        <v>100</v>
      </c>
      <c r="X25" s="712"/>
      <c r="Y25" s="343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4"/>
      <c r="Q26" s="1497"/>
      <c r="R26" s="710"/>
      <c r="S26" s="711"/>
      <c r="T26" s="710"/>
      <c r="U26" s="711"/>
      <c r="V26" s="710"/>
      <c r="W26" s="711"/>
      <c r="X26" s="712"/>
      <c r="Y26" s="3434"/>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4"/>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4"/>
      <c r="Q28" s="1506" t="str">
        <f t="shared" si="8"/>
        <v>毗邻道路的类型与等级</v>
      </c>
      <c r="R28" s="714" t="s">
        <v>17</v>
      </c>
      <c r="S28" s="715">
        <f t="shared" si="10"/>
        <v>100</v>
      </c>
      <c r="T28" s="714" t="s">
        <v>17</v>
      </c>
      <c r="U28" s="715">
        <f t="shared" si="11"/>
        <v>100</v>
      </c>
      <c r="V28" s="714" t="s">
        <v>17</v>
      </c>
      <c r="W28" s="715">
        <f t="shared" si="12"/>
        <v>100</v>
      </c>
      <c r="X28" s="1509"/>
      <c r="Y28" s="343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4"/>
      <c r="Q29" s="1506"/>
      <c r="R29" s="714"/>
      <c r="S29" s="715"/>
      <c r="T29" s="714"/>
      <c r="U29" s="715"/>
      <c r="V29" s="714"/>
      <c r="W29" s="715"/>
      <c r="X29" s="1509"/>
      <c r="Y29" s="3434"/>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4"/>
      <c r="Q30" s="1506" t="str">
        <f t="shared" si="8"/>
        <v>土地级别</v>
      </c>
      <c r="R30" s="714" t="s">
        <v>17</v>
      </c>
      <c r="S30" s="715">
        <f t="shared" si="10"/>
        <v>100</v>
      </c>
      <c r="T30" s="714" t="s">
        <v>17</v>
      </c>
      <c r="U30" s="715">
        <f t="shared" si="11"/>
        <v>100</v>
      </c>
      <c r="V30" s="714" t="s">
        <v>17</v>
      </c>
      <c r="W30" s="715">
        <f t="shared" si="12"/>
        <v>100</v>
      </c>
      <c r="X30" s="1509"/>
      <c r="Y30" s="343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4"/>
      <c r="Q31" s="1506">
        <f t="shared" si="8"/>
        <v>111</v>
      </c>
      <c r="R31" s="714" t="s">
        <v>17</v>
      </c>
      <c r="S31" s="715">
        <f t="shared" si="10"/>
        <v>100</v>
      </c>
      <c r="T31" s="714" t="s">
        <v>17</v>
      </c>
      <c r="U31" s="715">
        <f t="shared" si="11"/>
        <v>100</v>
      </c>
      <c r="V31" s="714" t="s">
        <v>17</v>
      </c>
      <c r="W31" s="715">
        <f t="shared" si="12"/>
        <v>100</v>
      </c>
      <c r="X31" s="1509"/>
      <c r="Y31" s="343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9" t="s">
        <v>2325</v>
      </c>
      <c r="Q32" s="1506">
        <f t="shared" si="8"/>
        <v>111</v>
      </c>
      <c r="R32" s="714" t="s">
        <v>17</v>
      </c>
      <c r="S32" s="715">
        <f t="shared" si="10"/>
        <v>100</v>
      </c>
      <c r="T32" s="714" t="s">
        <v>17</v>
      </c>
      <c r="U32" s="715">
        <f t="shared" si="11"/>
        <v>100</v>
      </c>
      <c r="V32" s="714" t="s">
        <v>17</v>
      </c>
      <c r="W32" s="715">
        <f t="shared" si="12"/>
        <v>100</v>
      </c>
      <c r="X32" s="1509"/>
      <c r="Y32" s="3438"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8"/>
      <c r="Q33" s="1506">
        <f t="shared" si="8"/>
        <v>111</v>
      </c>
      <c r="R33" s="717" t="s">
        <v>17</v>
      </c>
      <c r="S33" s="718">
        <f t="shared" si="10"/>
        <v>100</v>
      </c>
      <c r="T33" s="717" t="s">
        <v>17</v>
      </c>
      <c r="U33" s="718">
        <f t="shared" si="11"/>
        <v>100</v>
      </c>
      <c r="V33" s="717" t="s">
        <v>17</v>
      </c>
      <c r="W33" s="718">
        <f t="shared" si="12"/>
        <v>100</v>
      </c>
      <c r="X33" s="719"/>
      <c r="Y33" s="3438"/>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8"/>
      <c r="Q34" s="1506" t="str">
        <f>B34</f>
        <v>宗地面积</v>
      </c>
      <c r="R34" s="714" t="s">
        <v>17</v>
      </c>
      <c r="S34" s="715" t="e">
        <f t="shared" si="10"/>
        <v>#N/A</v>
      </c>
      <c r="T34" s="714" t="s">
        <v>17</v>
      </c>
      <c r="U34" s="715" t="e">
        <f t="shared" si="11"/>
        <v>#N/A</v>
      </c>
      <c r="V34" s="714" t="s">
        <v>17</v>
      </c>
      <c r="W34" s="715" t="e">
        <f t="shared" si="12"/>
        <v>#N/A</v>
      </c>
      <c r="X34" s="1509"/>
      <c r="Y34" s="3438"/>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8"/>
      <c r="Q35" s="1506" t="str">
        <f t="shared" ref="Q35:Q40" si="14">B35</f>
        <v>宗地形状</v>
      </c>
      <c r="R35" s="714" t="s">
        <v>17</v>
      </c>
      <c r="S35" s="715">
        <f t="shared" si="10"/>
        <v>100</v>
      </c>
      <c r="T35" s="714" t="s">
        <v>17</v>
      </c>
      <c r="U35" s="715">
        <f t="shared" si="11"/>
        <v>100</v>
      </c>
      <c r="V35" s="714" t="s">
        <v>17</v>
      </c>
      <c r="W35" s="715">
        <f t="shared" si="12"/>
        <v>100</v>
      </c>
      <c r="X35" s="1509"/>
      <c r="Y35" s="3438"/>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8"/>
      <c r="Q36" s="1506" t="str">
        <f t="shared" si="14"/>
        <v>宗地开发程度</v>
      </c>
      <c r="R36" s="710" t="s">
        <v>17</v>
      </c>
      <c r="S36" s="711">
        <f t="shared" si="10"/>
        <v>100</v>
      </c>
      <c r="T36" s="710" t="s">
        <v>17</v>
      </c>
      <c r="U36" s="711">
        <f t="shared" si="11"/>
        <v>100</v>
      </c>
      <c r="V36" s="710" t="s">
        <v>17</v>
      </c>
      <c r="W36" s="711">
        <f t="shared" si="12"/>
        <v>100</v>
      </c>
      <c r="X36" s="712"/>
      <c r="Y36" s="3438"/>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8" t="s">
        <v>2325</v>
      </c>
      <c r="Q37" s="1506" t="str">
        <f t="shared" si="14"/>
        <v>工程地质条件</v>
      </c>
      <c r="R37" s="714" t="s">
        <v>17</v>
      </c>
      <c r="S37" s="715">
        <f t="shared" si="10"/>
        <v>100</v>
      </c>
      <c r="T37" s="714" t="s">
        <v>17</v>
      </c>
      <c r="U37" s="715">
        <f t="shared" si="11"/>
        <v>100</v>
      </c>
      <c r="V37" s="714" t="s">
        <v>17</v>
      </c>
      <c r="W37" s="715">
        <f t="shared" si="12"/>
        <v>100</v>
      </c>
      <c r="X37" s="1509"/>
      <c r="Y37" s="3438"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8"/>
      <c r="Q38" s="1506">
        <f t="shared" si="14"/>
        <v>111</v>
      </c>
      <c r="R38" s="714" t="s">
        <v>17</v>
      </c>
      <c r="S38" s="715">
        <f t="shared" si="10"/>
        <v>100</v>
      </c>
      <c r="T38" s="714" t="s">
        <v>17</v>
      </c>
      <c r="U38" s="715">
        <f t="shared" si="11"/>
        <v>100</v>
      </c>
      <c r="V38" s="714" t="s">
        <v>17</v>
      </c>
      <c r="W38" s="715">
        <f t="shared" si="12"/>
        <v>100</v>
      </c>
      <c r="X38" s="1509"/>
      <c r="Y38" s="343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8"/>
      <c r="Q39" s="1506">
        <f t="shared" si="14"/>
        <v>111</v>
      </c>
      <c r="R39" s="714" t="s">
        <v>17</v>
      </c>
      <c r="S39" s="715">
        <f t="shared" si="10"/>
        <v>100</v>
      </c>
      <c r="T39" s="714" t="s">
        <v>17</v>
      </c>
      <c r="U39" s="715">
        <f t="shared" si="11"/>
        <v>100</v>
      </c>
      <c r="V39" s="714" t="s">
        <v>17</v>
      </c>
      <c r="W39" s="715">
        <f t="shared" si="12"/>
        <v>100</v>
      </c>
      <c r="X39" s="1509"/>
      <c r="Y39" s="343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8"/>
      <c r="Q40" s="1506">
        <f t="shared" si="14"/>
        <v>111</v>
      </c>
      <c r="R40" s="717" t="s">
        <v>17</v>
      </c>
      <c r="S40" s="718">
        <f t="shared" si="10"/>
        <v>100</v>
      </c>
      <c r="T40" s="717" t="s">
        <v>17</v>
      </c>
      <c r="U40" s="718">
        <f t="shared" si="11"/>
        <v>100</v>
      </c>
      <c r="V40" s="717" t="s">
        <v>17</v>
      </c>
      <c r="W40" s="718">
        <f t="shared" si="12"/>
        <v>100</v>
      </c>
      <c r="X40" s="719"/>
      <c r="Y40" s="3438"/>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31" t="str">
        <f>A41</f>
        <v>成交单价</v>
      </c>
      <c r="Q41" s="3431"/>
      <c r="R41" s="3462">
        <f>E41</f>
        <v>0</v>
      </c>
      <c r="S41" s="3462"/>
      <c r="T41" s="3462">
        <f>G41</f>
        <v>0</v>
      </c>
      <c r="U41" s="3462"/>
      <c r="V41" s="3462">
        <f>I41</f>
        <v>0</v>
      </c>
      <c r="W41" s="3462"/>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31" t="str">
        <f>A42</f>
        <v>比较价值（元/平方米）</v>
      </c>
      <c r="Q42" s="3431"/>
      <c r="R42" s="3491" t="e">
        <f>ROUND(PRODUCT(R41,AA7:AA40),0)</f>
        <v>#DIV/0!</v>
      </c>
      <c r="S42" s="3491"/>
      <c r="T42" s="3491" t="e">
        <f>ROUND(PRODUCT(T41,AB7:AB40),0)</f>
        <v>#DIV/0!</v>
      </c>
      <c r="U42" s="3491"/>
      <c r="V42" s="3491" t="e">
        <f>ROUND(PRODUCT(V41,AC7:AC40),0)</f>
        <v>#DIV/0!</v>
      </c>
      <c r="W42" s="349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28" t="str">
        <f>A43</f>
        <v>估价对象XX用房的比较价值（楼面单价，元/平方米）</v>
      </c>
      <c r="Q43" s="3429"/>
      <c r="R43" s="3492" t="e">
        <f>ROUND(IF(D42="简单平均",AVERAGE(R42:W42),R42*F42+T42*H42+V42*J42),0)</f>
        <v>#DIV/0!</v>
      </c>
      <c r="S43" s="3492"/>
      <c r="T43" s="3492"/>
      <c r="U43" s="3492"/>
      <c r="V43" s="3492"/>
      <c r="W43" s="349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6" t="s">
        <v>2524</v>
      </c>
      <c r="H50" s="349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19966.57</v>
      </c>
      <c r="F51" s="647" t="e">
        <f t="shared" ref="F51:F60" si="15">ROUND(B51*E51/10000,0)</f>
        <v>#DIV/0!</v>
      </c>
      <c r="G51" s="3442"/>
      <c r="H51" s="343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494"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494"/>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494"/>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494"/>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13382.27</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Ⅵ-BDA核心</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1.47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02"/>
      <c r="B4" s="3503"/>
      <c r="C4" s="3503"/>
      <c r="D4" s="3504"/>
      <c r="E4" s="3504"/>
      <c r="F4" s="3504"/>
      <c r="G4" s="3504"/>
      <c r="H4" s="3504"/>
      <c r="I4" s="3504"/>
      <c r="J4" s="3505"/>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t="e">
        <f t="shared" si="0"/>
        <v>#DIV/0!</v>
      </c>
      <c r="U7" s="1347"/>
      <c r="V7" s="1346" t="e">
        <f t="shared" si="1"/>
        <v>#DIV/0!</v>
      </c>
      <c r="W7" s="1512" t="s">
        <v>2595</v>
      </c>
      <c r="X7" s="1348" t="str">
        <f>G2</f>
        <v>六级</v>
      </c>
      <c r="Y7" s="1348" t="s">
        <v>2596</v>
      </c>
      <c r="Z7" s="1349">
        <f>G3</f>
        <v>1.47</v>
      </c>
      <c r="AA7" s="1350"/>
      <c r="AB7" s="1350"/>
      <c r="AC7" s="1351"/>
      <c r="AD7" s="1352"/>
      <c r="AE7" s="1352"/>
      <c r="AF7" s="1352"/>
      <c r="AG7" s="1352"/>
      <c r="AH7" s="1352"/>
      <c r="AI7" s="1352"/>
      <c r="AJ7" s="1353"/>
    </row>
    <row r="8" spans="1:36" ht="15">
      <c r="A8" s="3507"/>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499" t="s">
        <v>2600</v>
      </c>
      <c r="X8" s="3500"/>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07"/>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1"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7"/>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7"/>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1" t="s">
        <v>2624</v>
      </c>
      <c r="X11" s="1358" t="s">
        <v>2625</v>
      </c>
      <c r="Y11" s="1359">
        <f>$G$3</f>
        <v>1.47</v>
      </c>
      <c r="Z11" s="1359">
        <f t="shared" ref="Z11:AJ11" si="3">$G$3</f>
        <v>1.47</v>
      </c>
      <c r="AA11" s="1359">
        <f t="shared" si="3"/>
        <v>1.47</v>
      </c>
      <c r="AB11" s="1359">
        <f t="shared" si="3"/>
        <v>1.47</v>
      </c>
      <c r="AC11" s="1359">
        <f t="shared" si="3"/>
        <v>1.47</v>
      </c>
      <c r="AD11" s="1359">
        <f t="shared" si="3"/>
        <v>1.47</v>
      </c>
      <c r="AE11" s="1359">
        <f t="shared" si="3"/>
        <v>1.47</v>
      </c>
      <c r="AF11" s="1359">
        <f t="shared" si="3"/>
        <v>1.47</v>
      </c>
      <c r="AG11" s="1359">
        <f t="shared" si="3"/>
        <v>1.47</v>
      </c>
      <c r="AH11" s="1359">
        <f t="shared" si="3"/>
        <v>1.47</v>
      </c>
      <c r="AI11" s="1359">
        <f t="shared" si="3"/>
        <v>1.47</v>
      </c>
      <c r="AJ11" s="1359">
        <f t="shared" si="3"/>
        <v>1.47</v>
      </c>
    </row>
    <row r="12" spans="1:36" ht="25.5" thickBot="1">
      <c r="A12" s="350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1"/>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8"/>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01"/>
      <c r="X13" s="1360"/>
      <c r="Y13" s="1357">
        <f>(-0.163*(Y12^2)-0.59*Y12+7617)*(10^(-4))/Y11</f>
        <v>0.51816326530612244</v>
      </c>
      <c r="Z13" s="1357">
        <f t="shared" ref="Z13:AJ13" si="5">(-0.163*(Z12^2)-0.59*Z12+7617)*(10^(-4))/Z11</f>
        <v>0.51816326530612244</v>
      </c>
      <c r="AA13" s="1357">
        <f t="shared" si="5"/>
        <v>0.51816326530612244</v>
      </c>
      <c r="AB13" s="1357">
        <f t="shared" si="5"/>
        <v>0.51816326530612244</v>
      </c>
      <c r="AC13" s="1357">
        <f t="shared" si="5"/>
        <v>0.51816326530612244</v>
      </c>
      <c r="AD13" s="1357">
        <f t="shared" si="5"/>
        <v>0.51816326530612244</v>
      </c>
      <c r="AE13" s="1357">
        <f t="shared" si="5"/>
        <v>0.51816326530612244</v>
      </c>
      <c r="AF13" s="1357">
        <f t="shared" si="5"/>
        <v>0.51816326530612244</v>
      </c>
      <c r="AG13" s="1357">
        <f t="shared" si="5"/>
        <v>0.51816326530612244</v>
      </c>
      <c r="AH13" s="1357">
        <f t="shared" si="5"/>
        <v>0.51816326530612244</v>
      </c>
      <c r="AI13" s="1357">
        <f t="shared" si="5"/>
        <v>0.51816326530612244</v>
      </c>
      <c r="AJ13" s="1357">
        <f t="shared" si="5"/>
        <v>0.51816326530612244</v>
      </c>
    </row>
    <row r="14" spans="1:36" ht="15">
      <c r="A14" s="3508"/>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09"/>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6" t="s">
        <v>2643</v>
      </c>
      <c r="B16" s="2179" t="s">
        <v>2644</v>
      </c>
      <c r="C16" s="2341" t="e">
        <f>ROUND(IF(F17="与级别开发程度一致",0,(G17-E17)/C17),0)</f>
        <v>#DIV/0!</v>
      </c>
      <c r="D16" s="3522" t="s">
        <v>2648</v>
      </c>
      <c r="E16" s="3523"/>
      <c r="F16" s="3522" t="s">
        <v>2645</v>
      </c>
      <c r="G16" s="3523"/>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0"/>
      <c r="B17" s="2352" t="s">
        <v>2647</v>
      </c>
      <c r="C17" s="2353">
        <f>SUMPRODUCT((修正!A2:A5=E2)*(修正!B1:M1=G2)*(修正!B2:M5))</f>
        <v>0</v>
      </c>
      <c r="D17" s="193" t="str">
        <f>IF(OR(G2="八级",G2="九级",G2="十级",G2="十一级",G2="十二级"),"五通一平","七通一平")</f>
        <v>七通一平</v>
      </c>
      <c r="E17" s="2342">
        <f>SUMPRODUCT((修正!B1:M1=G2)*(修正!B15:M15))</f>
        <v>300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44642</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0.63390000000000002</v>
      </c>
      <c r="E22" s="855">
        <f>ROUNDDOWN(G3,1)</f>
        <v>1.4</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06" t="s">
        <v>155</v>
      </c>
      <c r="J22" s="877" t="str">
        <f>IF(G3&gt;10,D113,"——")</f>
        <v>——</v>
      </c>
      <c r="K22" s="1259"/>
      <c r="L22" s="2989"/>
      <c r="M22" s="2989"/>
      <c r="N22" s="2237" t="s">
        <v>2668</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9"/>
      <c r="B33" s="2282" t="s">
        <v>2690</v>
      </c>
      <c r="C33" s="180" t="e">
        <f>ROUND(D5*C19*C20*C24*F33,0)</f>
        <v>#DIV/0!</v>
      </c>
      <c r="D33" s="2266"/>
      <c r="E33" s="176" t="e">
        <f>ROUND(C33*D33/10000,0)</f>
        <v>#DIV/0!</v>
      </c>
      <c r="F33" s="176">
        <f>SUMIF(修正!A45:A56,G2,修正!B45:B56)</f>
        <v>0.7</v>
      </c>
      <c r="G33" s="176" t="e">
        <f t="shared" ref="G33" si="6">ROUND(IF(E2="工业",C33*$M$39,C33*$M$38),0)</f>
        <v>#DIV/0!</v>
      </c>
      <c r="H33" s="176">
        <f>D33</f>
        <v>0</v>
      </c>
      <c r="I33" s="176" t="e">
        <f>ROUND(G33*H33/10000,0)</f>
        <v>#DIV/0!</v>
      </c>
      <c r="J33" s="3524"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0"/>
      <c r="B34" s="2199" t="s">
        <v>2691</v>
      </c>
      <c r="C34" s="180" t="e">
        <f>ROUND(D5*C19*C20*C24*F34,0)</f>
        <v>#DIV/0!</v>
      </c>
      <c r="D34" s="2266"/>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2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0"/>
      <c r="B35" s="2199" t="s">
        <v>2692</v>
      </c>
      <c r="C35" s="180" t="e">
        <f>ROUND(D5*C19*C20*C24*F35,0)</f>
        <v>#DIV/0!</v>
      </c>
      <c r="D35" s="2266"/>
      <c r="E35" s="176" t="e">
        <f t="shared" si="7"/>
        <v>#DIV/0!</v>
      </c>
      <c r="F35" s="176">
        <f>SUMIF(修正!A45:A56,G2,修正!D45:D56)</f>
        <v>0.28000000000000003</v>
      </c>
      <c r="G35" s="176" t="e">
        <f>ROUND(IF(E2="工业",C35*$M$39,C35*$M$38),0)</f>
        <v>#DIV/0!</v>
      </c>
      <c r="H35" s="176">
        <f t="shared" si="8"/>
        <v>0</v>
      </c>
      <c r="I35" s="176" t="e">
        <f t="shared" si="9"/>
        <v>#DIV/0!</v>
      </c>
      <c r="J35" s="352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1"/>
      <c r="B36" s="2199" t="s">
        <v>2693</v>
      </c>
      <c r="C36" s="180" t="e">
        <f>ROUND(D5*C19*C20*C24*F36,0)</f>
        <v>#DIV/0!</v>
      </c>
      <c r="D36" s="2266"/>
      <c r="E36" s="176" t="e">
        <f t="shared" si="7"/>
        <v>#DIV/0!</v>
      </c>
      <c r="F36" s="176">
        <f>SUMIF(修正!A45:A56,G2,修正!E45:E56)</f>
        <v>0.25</v>
      </c>
      <c r="G36" s="176" t="e">
        <f>ROUND(IF(E2="工业",C36*$M$39,C36*$M$38),0)</f>
        <v>#DIV/0!</v>
      </c>
      <c r="H36" s="176">
        <f t="shared" si="8"/>
        <v>0</v>
      </c>
      <c r="I36" s="176" t="e">
        <f t="shared" si="9"/>
        <v>#DIV/0!</v>
      </c>
      <c r="J36" s="352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0.25</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0.25</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0.2</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1" t="s">
        <v>2731</v>
      </c>
      <c r="B90" s="3511"/>
      <c r="C90" s="3511"/>
      <c r="D90" s="3511"/>
      <c r="E90" s="3511"/>
      <c r="F90" s="3511"/>
      <c r="G90" s="3511"/>
      <c r="H90" s="3511"/>
      <c r="I90" s="3511"/>
      <c r="J90" s="3511"/>
      <c r="K90" s="2313"/>
      <c r="L90" s="2313"/>
      <c r="M90" s="2313"/>
      <c r="N90" s="2313"/>
    </row>
    <row r="91" spans="1:37">
      <c r="A91" s="3513" t="s">
        <v>2732</v>
      </c>
      <c r="B91" s="3513" t="s">
        <v>2733</v>
      </c>
      <c r="C91" s="2267" t="s">
        <v>2734</v>
      </c>
      <c r="D91" s="2268"/>
      <c r="E91" s="2268"/>
      <c r="F91" s="2268"/>
      <c r="G91" s="2268"/>
      <c r="H91" s="2268"/>
      <c r="I91" s="2268"/>
      <c r="J91" s="2314"/>
      <c r="K91" s="2315"/>
      <c r="L91" s="2315"/>
      <c r="M91" s="2315"/>
      <c r="N91" s="2315"/>
    </row>
    <row r="92" spans="1:37">
      <c r="A92" s="3513"/>
      <c r="B92" s="351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4"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5"/>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4" t="s">
        <v>2736</v>
      </c>
      <c r="B101" s="2320" t="s">
        <v>2737</v>
      </c>
      <c r="C101" s="2321">
        <f>$G$3</f>
        <v>1.47</v>
      </c>
      <c r="D101" s="2321">
        <f t="shared" ref="D101:N101" si="31">$G$3</f>
        <v>1.47</v>
      </c>
      <c r="E101" s="2321">
        <f t="shared" si="31"/>
        <v>1.47</v>
      </c>
      <c r="F101" s="2321">
        <f t="shared" si="31"/>
        <v>1.47</v>
      </c>
      <c r="G101" s="2321">
        <f t="shared" si="31"/>
        <v>1.47</v>
      </c>
      <c r="H101" s="2321">
        <f t="shared" si="31"/>
        <v>1.47</v>
      </c>
      <c r="I101" s="2321">
        <f t="shared" si="31"/>
        <v>1.47</v>
      </c>
      <c r="J101" s="2321">
        <f t="shared" si="31"/>
        <v>1.47</v>
      </c>
      <c r="K101" s="2321">
        <f t="shared" si="31"/>
        <v>1.47</v>
      </c>
      <c r="L101" s="2321">
        <f t="shared" si="31"/>
        <v>1.47</v>
      </c>
      <c r="M101" s="2321">
        <f t="shared" si="31"/>
        <v>1.47</v>
      </c>
      <c r="N101" s="2321">
        <f t="shared" si="31"/>
        <v>1.47</v>
      </c>
    </row>
    <row r="102" spans="1:14">
      <c r="A102" s="3515"/>
      <c r="B102" s="2316">
        <v>1</v>
      </c>
      <c r="C102" s="2317">
        <f>1.9362/C101</f>
        <v>1.3171428571428572</v>
      </c>
      <c r="D102" s="2317">
        <f>1.9362/D101</f>
        <v>1.3171428571428572</v>
      </c>
      <c r="E102" s="2317">
        <f>1.8629/E101</f>
        <v>1.2672789115646259</v>
      </c>
      <c r="F102" s="2317">
        <f>1.8629/F101</f>
        <v>1.2672789115646259</v>
      </c>
      <c r="G102" s="2317">
        <f>1.8629/G101</f>
        <v>1.2672789115646259</v>
      </c>
      <c r="H102" s="2317">
        <f>1.8629/H101</f>
        <v>1.2672789115646259</v>
      </c>
      <c r="I102" s="2317">
        <f>1.8629/I101</f>
        <v>1.2672789115646259</v>
      </c>
      <c r="J102" s="2317">
        <f>1.942/J101</f>
        <v>1.3210884353741497</v>
      </c>
      <c r="K102" s="2317">
        <f>1.942/K101</f>
        <v>1.3210884353741497</v>
      </c>
      <c r="L102" s="2317">
        <f>1.942/L101</f>
        <v>1.3210884353741497</v>
      </c>
      <c r="M102" s="2317">
        <f>1.942/M101</f>
        <v>1.3210884353741497</v>
      </c>
      <c r="N102" s="2317">
        <f>1.942/N101</f>
        <v>1.3210884353741497</v>
      </c>
    </row>
    <row r="103" spans="1:14">
      <c r="A103" s="3515"/>
      <c r="B103" s="2316">
        <v>2</v>
      </c>
      <c r="C103" s="2317">
        <f>1.4198/C101</f>
        <v>0.96585034013605442</v>
      </c>
      <c r="D103" s="2317">
        <f>1.4198/D101</f>
        <v>0.96585034013605442</v>
      </c>
      <c r="E103" s="2317">
        <f>1.3372/E101</f>
        <v>0.90965986394557818</v>
      </c>
      <c r="F103" s="2317">
        <f>1.3372/F101</f>
        <v>0.90965986394557818</v>
      </c>
      <c r="G103" s="2317">
        <f>1.3372/G101</f>
        <v>0.90965986394557818</v>
      </c>
      <c r="H103" s="2317">
        <f>1.3372/H101</f>
        <v>0.90965986394557818</v>
      </c>
      <c r="I103" s="2317">
        <f>1.3372/I101</f>
        <v>0.90965986394557818</v>
      </c>
      <c r="J103" s="2317">
        <f>1.2799/J101</f>
        <v>0.87068027210884358</v>
      </c>
      <c r="K103" s="2317">
        <f>1.2799/K101</f>
        <v>0.87068027210884358</v>
      </c>
      <c r="L103" s="2317">
        <f>1.2799/L101</f>
        <v>0.87068027210884358</v>
      </c>
      <c r="M103" s="2317">
        <f>1.2799/M101</f>
        <v>0.87068027210884358</v>
      </c>
      <c r="N103" s="2317">
        <f>1.2799/N101</f>
        <v>0.87068027210884358</v>
      </c>
    </row>
    <row r="104" spans="1:14">
      <c r="A104" s="3515"/>
      <c r="B104" s="2316">
        <v>3</v>
      </c>
      <c r="C104" s="2317">
        <f>1.1594/C101</f>
        <v>0.78870748299319726</v>
      </c>
      <c r="D104" s="2317">
        <f>1.1594/D101</f>
        <v>0.78870748299319726</v>
      </c>
      <c r="E104" s="2317">
        <f>1.0788/E101</f>
        <v>0.73387755102040819</v>
      </c>
      <c r="F104" s="2317">
        <f>1.0788/F101</f>
        <v>0.73387755102040819</v>
      </c>
      <c r="G104" s="2317">
        <f>1.0788/G101</f>
        <v>0.73387755102040819</v>
      </c>
      <c r="H104" s="2317">
        <f>1.0788/H101</f>
        <v>0.73387755102040819</v>
      </c>
      <c r="I104" s="2317">
        <f>1.0788/I101</f>
        <v>0.73387755102040819</v>
      </c>
      <c r="J104" s="2317">
        <f>1.0072/J101</f>
        <v>0.68517006802721092</v>
      </c>
      <c r="K104" s="2317">
        <f>1.0072/K101</f>
        <v>0.68517006802721092</v>
      </c>
      <c r="L104" s="2317">
        <f>1.0072/L101</f>
        <v>0.68517006802721092</v>
      </c>
      <c r="M104" s="2317">
        <f>1.0072/M101</f>
        <v>0.68517006802721092</v>
      </c>
      <c r="N104" s="2317">
        <f>1.0072/N101</f>
        <v>0.68517006802721092</v>
      </c>
    </row>
    <row r="105" spans="1:14">
      <c r="A105" s="3515"/>
      <c r="B105" s="2316">
        <v>4</v>
      </c>
      <c r="C105" s="2317">
        <f>0.9622/C101</f>
        <v>0.6545578231292517</v>
      </c>
      <c r="D105" s="2317">
        <f>0.9622/D101</f>
        <v>0.6545578231292517</v>
      </c>
      <c r="E105" s="2317">
        <f>0.8656/E101</f>
        <v>0.58884353741496598</v>
      </c>
      <c r="F105" s="2317">
        <f>0.8656/F101</f>
        <v>0.58884353741496598</v>
      </c>
      <c r="G105" s="2317">
        <f>0.8656/G101</f>
        <v>0.58884353741496598</v>
      </c>
      <c r="H105" s="2317">
        <f>0.8656/H101</f>
        <v>0.58884353741496598</v>
      </c>
      <c r="I105" s="2317">
        <f>0.8656/I101</f>
        <v>0.58884353741496598</v>
      </c>
      <c r="J105" s="2317">
        <f>0.7525/J101</f>
        <v>0.51190476190476186</v>
      </c>
      <c r="K105" s="2317">
        <f>0.7525/K101</f>
        <v>0.51190476190476186</v>
      </c>
      <c r="L105" s="2317">
        <f>0.7525/L101</f>
        <v>0.51190476190476186</v>
      </c>
      <c r="M105" s="2317">
        <f>0.7525/M101</f>
        <v>0.51190476190476186</v>
      </c>
      <c r="N105" s="2317">
        <f>0.7525/N101</f>
        <v>0.51190476190476186</v>
      </c>
    </row>
    <row r="106" spans="1:14">
      <c r="A106" s="3515"/>
      <c r="B106" s="2316">
        <v>5</v>
      </c>
      <c r="C106" s="2317">
        <f>0.8417/C101</f>
        <v>0.5725850340136055</v>
      </c>
      <c r="D106" s="2317">
        <f>0.8417/D101</f>
        <v>0.5725850340136055</v>
      </c>
      <c r="E106" s="2317">
        <f>0.7371/E101</f>
        <v>0.50142857142857145</v>
      </c>
      <c r="F106" s="2317">
        <f>0.7371/F101</f>
        <v>0.50142857142857145</v>
      </c>
      <c r="G106" s="2317">
        <f>0.7371/G101</f>
        <v>0.50142857142857145</v>
      </c>
      <c r="H106" s="2317">
        <f>0.7371/H101</f>
        <v>0.50142857142857145</v>
      </c>
      <c r="I106" s="2317">
        <f>0.7371/I101</f>
        <v>0.50142857142857145</v>
      </c>
      <c r="J106" s="2317">
        <f>0.5659/J101</f>
        <v>0.38496598639455781</v>
      </c>
      <c r="K106" s="2317">
        <f>0.5659/K101</f>
        <v>0.38496598639455781</v>
      </c>
      <c r="L106" s="2317">
        <f>0.5659/L101</f>
        <v>0.38496598639455781</v>
      </c>
      <c r="M106" s="2317">
        <f>0.5659/M101</f>
        <v>0.38496598639455781</v>
      </c>
      <c r="N106" s="2317">
        <f>0.5659/N101</f>
        <v>0.38496598639455781</v>
      </c>
    </row>
    <row r="107" spans="1:14">
      <c r="A107" s="3515"/>
      <c r="B107" s="2316">
        <v>6</v>
      </c>
      <c r="C107" s="2317">
        <f>0.7608/C101</f>
        <v>0.51755102040816325</v>
      </c>
      <c r="D107" s="2317">
        <f>0.7608/D101</f>
        <v>0.51755102040816325</v>
      </c>
      <c r="E107" s="2317">
        <f>0.6482/E101</f>
        <v>0.44095238095238098</v>
      </c>
      <c r="F107" s="2317">
        <f>0.6482/F101</f>
        <v>0.44095238095238098</v>
      </c>
      <c r="G107" s="2317">
        <f>0.6482/G101</f>
        <v>0.44095238095238098</v>
      </c>
      <c r="H107" s="2317">
        <f>0.6482/H101</f>
        <v>0.44095238095238098</v>
      </c>
      <c r="I107" s="2317">
        <f>0.6482/I101</f>
        <v>0.44095238095238098</v>
      </c>
      <c r="J107" s="2317">
        <f>0.4525/J101</f>
        <v>0.30782312925170069</v>
      </c>
      <c r="K107" s="2317">
        <f>0.4525/K101</f>
        <v>0.30782312925170069</v>
      </c>
      <c r="L107" s="2317">
        <f>0.4525/L101</f>
        <v>0.30782312925170069</v>
      </c>
      <c r="M107" s="2317">
        <f>0.4525/M101</f>
        <v>0.30782312925170069</v>
      </c>
      <c r="N107" s="2317">
        <f>0.4525/N101</f>
        <v>0.30782312925170069</v>
      </c>
    </row>
    <row r="108" spans="1:14">
      <c r="A108" s="3515"/>
      <c r="B108" s="3517"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6"/>
      <c r="B109" s="3518"/>
      <c r="C109" s="2319">
        <f>(-0.163*(C108^2)-0.59*C108+7617)*(10^(-4))/C101</f>
        <v>0.51816326530612244</v>
      </c>
      <c r="D109" s="2319">
        <f>(-0.163*(D108^2)-0.59*D108+7617)*(10^(-4))/D101</f>
        <v>0.51816326530612244</v>
      </c>
      <c r="E109" s="2319">
        <f>(-0.161*(E108^2)-7.509*E108+6533)*(10^(-4))/E101</f>
        <v>0.44442176870748301</v>
      </c>
      <c r="F109" s="2319">
        <f>(-0.161*(F108^2)-7.509*F108+6533)*(10^(-4))/F101</f>
        <v>0.44442176870748301</v>
      </c>
      <c r="G109" s="2319">
        <f>(-0.161*(G108^2)-7.509*G108+6533)*(10^(-4))/G101</f>
        <v>0.44442176870748301</v>
      </c>
      <c r="H109" s="2319">
        <f>(-0.161*(H108^2)-7.509*H108+6533)*(10^(-4))/H101</f>
        <v>0.44442176870748301</v>
      </c>
      <c r="I109" s="2319">
        <f>(-0.161*(I108^2)-7.509*I108+6533)*(10^(-4))/I101</f>
        <v>0.44442176870748301</v>
      </c>
      <c r="J109" s="2319">
        <f>(-0.214*(J108^2)-21.991*J108+4665)*(10^(-4))/J101</f>
        <v>0.31734693877551023</v>
      </c>
      <c r="K109" s="2319">
        <f>(-0.214*(K108^2)-21.991*K108+4665)*(10^(-4))/K101</f>
        <v>0.31734693877551023</v>
      </c>
      <c r="L109" s="2319">
        <f>(-0.214*(L108^2)-21.991*L108+4665)*(10^(-4))/L101</f>
        <v>0.31734693877551023</v>
      </c>
      <c r="M109" s="2319">
        <f>(-0.214*(M108^2)-21.991*M108+4665)*(10^(-4))/M101</f>
        <v>0.31734693877551023</v>
      </c>
      <c r="N109" s="2319">
        <f>(-0.214*(N108^2)-21.991*N108+4665)*(10^(-4))/N101</f>
        <v>0.31734693877551023</v>
      </c>
    </row>
    <row r="110" spans="1:14">
      <c r="A110" s="3512" t="s">
        <v>2739</v>
      </c>
      <c r="B110" s="3512"/>
      <c r="C110" s="3512"/>
      <c r="D110" s="3512"/>
      <c r="E110" s="3512"/>
      <c r="F110" s="3512"/>
      <c r="G110" s="3512"/>
      <c r="H110" s="3512"/>
      <c r="I110" s="3512"/>
      <c r="J110" s="3512"/>
      <c r="K110" s="2322"/>
      <c r="L110" s="2322"/>
      <c r="M110" s="2322"/>
      <c r="N110" s="2322"/>
    </row>
    <row r="112" spans="1:14" ht="13.5" thickBot="1"/>
    <row r="113" spans="1:13" ht="25.5" thickBot="1">
      <c r="A113" s="842" t="s">
        <v>2740</v>
      </c>
      <c r="B113" s="1197">
        <f>G3</f>
        <v>1.47</v>
      </c>
      <c r="C113" s="843" t="s">
        <v>2741</v>
      </c>
      <c r="D113" s="844">
        <f>SUMPRODUCT((A115:A118=F113)*(B114:M114=H113)*B115:M118)</f>
        <v>0</v>
      </c>
      <c r="E113" s="2158" t="s">
        <v>2574</v>
      </c>
      <c r="F113" s="2324">
        <f>E2</f>
        <v>0</v>
      </c>
      <c r="G113" s="2158" t="s">
        <v>2575</v>
      </c>
      <c r="H113" s="2324" t="str">
        <f>G2</f>
        <v>六级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0.91969999999999996</v>
      </c>
      <c r="C115" s="849">
        <f>B115</f>
        <v>0.91969999999999996</v>
      </c>
      <c r="D115" s="849">
        <f>ROUND(0.8331-0.0109*B113,4)</f>
        <v>0.81710000000000005</v>
      </c>
      <c r="E115" s="849">
        <f>D115</f>
        <v>0.81710000000000005</v>
      </c>
      <c r="F115" s="849">
        <f>E115</f>
        <v>0.81710000000000005</v>
      </c>
      <c r="G115" s="849">
        <f>F115</f>
        <v>0.81710000000000005</v>
      </c>
      <c r="H115" s="849">
        <f>G115</f>
        <v>0.81710000000000005</v>
      </c>
      <c r="I115" s="849">
        <f>ROUND(0.689-0.0155*B113,4)</f>
        <v>0.66620000000000001</v>
      </c>
      <c r="J115" s="849">
        <f t="shared" ref="J115:M118" si="33">I115</f>
        <v>0.66620000000000001</v>
      </c>
      <c r="K115" s="849">
        <f t="shared" si="33"/>
        <v>0.66620000000000001</v>
      </c>
      <c r="L115" s="849">
        <f t="shared" si="33"/>
        <v>0.66620000000000001</v>
      </c>
      <c r="M115" s="850">
        <f t="shared" si="33"/>
        <v>0.66620000000000001</v>
      </c>
    </row>
    <row r="116" spans="1:13">
      <c r="A116" s="848" t="s">
        <v>2640</v>
      </c>
      <c r="B116" s="849">
        <f>ROUND(0.949-0.012*B113,4)</f>
        <v>0.93140000000000001</v>
      </c>
      <c r="C116" s="849">
        <f>B116</f>
        <v>0.93140000000000001</v>
      </c>
      <c r="D116" s="849">
        <f>ROUND(0.8567-0.013*B113,4)</f>
        <v>0.83760000000000001</v>
      </c>
      <c r="E116" s="849">
        <f t="shared" ref="E116:H117" si="34">D116</f>
        <v>0.83760000000000001</v>
      </c>
      <c r="F116" s="849">
        <f t="shared" si="34"/>
        <v>0.83760000000000001</v>
      </c>
      <c r="G116" s="849">
        <f t="shared" si="34"/>
        <v>0.83760000000000001</v>
      </c>
      <c r="H116" s="849">
        <f t="shared" si="34"/>
        <v>0.83760000000000001</v>
      </c>
      <c r="I116" s="849">
        <f>ROUND(0.7694-0.014*B113,4)</f>
        <v>0.74880000000000002</v>
      </c>
      <c r="J116" s="849">
        <f t="shared" si="33"/>
        <v>0.74880000000000002</v>
      </c>
      <c r="K116" s="849">
        <f t="shared" si="33"/>
        <v>0.74880000000000002</v>
      </c>
      <c r="L116" s="849">
        <f t="shared" si="33"/>
        <v>0.74880000000000002</v>
      </c>
      <c r="M116" s="850">
        <f t="shared" si="33"/>
        <v>0.74880000000000002</v>
      </c>
    </row>
    <row r="117" spans="1:13">
      <c r="A117" s="848" t="s">
        <v>2641</v>
      </c>
      <c r="B117" s="849">
        <f>ROUND(0.8808-0.006*B113,4)</f>
        <v>0.872</v>
      </c>
      <c r="C117" s="849">
        <f>B117</f>
        <v>0.872</v>
      </c>
      <c r="D117" s="849">
        <f>ROUND(0.8748-0.008*B113,4)</f>
        <v>0.86299999999999999</v>
      </c>
      <c r="E117" s="849">
        <f t="shared" si="34"/>
        <v>0.86299999999999999</v>
      </c>
      <c r="F117" s="849">
        <f t="shared" si="34"/>
        <v>0.86299999999999999</v>
      </c>
      <c r="G117" s="849">
        <f t="shared" si="34"/>
        <v>0.86299999999999999</v>
      </c>
      <c r="H117" s="849">
        <f t="shared" si="34"/>
        <v>0.86299999999999999</v>
      </c>
      <c r="I117" s="849">
        <f>ROUND(0.7412-0.0095*B113,4)</f>
        <v>0.72719999999999996</v>
      </c>
      <c r="J117" s="849">
        <f t="shared" si="33"/>
        <v>0.72719999999999996</v>
      </c>
      <c r="K117" s="849">
        <f t="shared" si="33"/>
        <v>0.72719999999999996</v>
      </c>
      <c r="L117" s="849">
        <f t="shared" si="33"/>
        <v>0.72719999999999996</v>
      </c>
      <c r="M117" s="850">
        <f t="shared" si="33"/>
        <v>0.72719999999999996</v>
      </c>
    </row>
    <row r="118" spans="1:13" ht="13.5" thickBot="1">
      <c r="A118" s="670" t="s">
        <v>2642</v>
      </c>
      <c r="B118" s="851">
        <f>ROUND(0.7275-0.01*B113,4)</f>
        <v>0.71279999999999999</v>
      </c>
      <c r="C118" s="851">
        <f>B118</f>
        <v>0.71279999999999999</v>
      </c>
      <c r="D118" s="851">
        <f>ROUND(0.7043-0.012*B113,4)</f>
        <v>0.68669999999999998</v>
      </c>
      <c r="E118" s="851">
        <f>D118</f>
        <v>0.68669999999999998</v>
      </c>
      <c r="F118" s="851">
        <f>E118</f>
        <v>0.68669999999999998</v>
      </c>
      <c r="G118" s="851">
        <f>ROUND(0.6299-0.0122*B113,4)</f>
        <v>0.61199999999999999</v>
      </c>
      <c r="H118" s="851">
        <f>G118</f>
        <v>0.61199999999999999</v>
      </c>
      <c r="I118" s="851">
        <f>ROUND(0.5667-0.0136*B113,4)</f>
        <v>0.54669999999999996</v>
      </c>
      <c r="J118" s="851">
        <f t="shared" si="33"/>
        <v>0.54669999999999996</v>
      </c>
      <c r="K118" s="851">
        <f t="shared" si="33"/>
        <v>0.54669999999999996</v>
      </c>
      <c r="L118" s="851">
        <f t="shared" si="33"/>
        <v>0.54669999999999996</v>
      </c>
      <c r="M118" s="852">
        <f t="shared" si="33"/>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1.1861999999999999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f ca="1">结果表!H101</f>
        <v>31626</v>
      </c>
      <c r="E5" s="1646"/>
    </row>
    <row r="6" spans="1:5" ht="15.75">
      <c r="A6" s="1646"/>
      <c r="B6" s="3212"/>
      <c r="C6" s="1649" t="s">
        <v>1529</v>
      </c>
      <c r="D6" s="959" t="str">
        <f ca="1">NUMBERSTRING(INT(D5*10000),2)&amp;"元整"</f>
        <v>叁亿壹仟陆佰贰拾陆万元整</v>
      </c>
      <c r="E6" s="1646"/>
    </row>
    <row r="7" spans="1:5" ht="15.75">
      <c r="A7" s="1646"/>
      <c r="B7" s="3217"/>
      <c r="C7" s="1650" t="s">
        <v>1530</v>
      </c>
      <c r="D7" s="960">
        <f ca="1">结果表!H102</f>
        <v>12750</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f ca="1">结果表!H107</f>
        <v>31626</v>
      </c>
      <c r="E13" s="1646"/>
    </row>
    <row r="14" spans="1:5" ht="15.75">
      <c r="A14" s="1646"/>
      <c r="B14" s="3212"/>
      <c r="C14" s="1649" t="s">
        <v>1529</v>
      </c>
      <c r="D14" s="959" t="str">
        <f ca="1">NUMBERSTRING(INT(D13*10000),2)&amp;"元整"</f>
        <v>叁亿壹仟陆佰贰拾陆万元整</v>
      </c>
      <c r="E14" s="1646"/>
    </row>
    <row r="15" spans="1:5" ht="15">
      <c r="A15" s="1646"/>
      <c r="B15" s="3217"/>
      <c r="C15" s="1650" t="s">
        <v>1539</v>
      </c>
      <c r="D15" s="968">
        <f ca="1">结果表!H108</f>
        <v>12750</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39939</v>
      </c>
      <c r="C2" s="2" t="s">
        <v>133</v>
      </c>
      <c r="D2" s="205"/>
      <c r="E2" s="205"/>
      <c r="F2" s="205"/>
      <c r="G2" s="205"/>
    </row>
    <row r="3" spans="1:7" s="206" customFormat="1" ht="18" customHeight="1" thickBot="1">
      <c r="A3" s="209" t="s">
        <v>85</v>
      </c>
      <c r="B3" s="210">
        <f ca="1">ROUND(B2*10000/'数据-汇总表'!E3,0)</f>
        <v>16102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496</v>
      </c>
      <c r="D10" s="954">
        <f>'数据-汇总表'!E6</f>
        <v>24804.469999999998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496</v>
      </c>
      <c r="D19" s="958">
        <f>'数据-汇总表'!E3</f>
        <v>24804.469999999998</v>
      </c>
      <c r="E19" s="217">
        <f>'数据-取费表'!B31</f>
        <v>200</v>
      </c>
      <c r="F19" s="237"/>
      <c r="G19" s="1" t="s">
        <v>1042</v>
      </c>
    </row>
    <row r="20" spans="1:7" s="220" customFormat="1" ht="13.5" customHeight="1">
      <c r="A20" s="885" t="s">
        <v>1025</v>
      </c>
      <c r="B20" s="216" t="s">
        <v>104</v>
      </c>
      <c r="C20" s="238">
        <f>ROUND((C5+C19)*F20,0)</f>
        <v>422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1357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3229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3229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28261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9568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8682</v>
      </c>
      <c r="D34" s="223"/>
      <c r="E34" s="226"/>
      <c r="F34" s="263">
        <f>IF('数据-取费表'!B24=0,1,'数据-取费表'!N16)</f>
        <v>1</v>
      </c>
      <c r="G34" s="225" t="s">
        <v>116</v>
      </c>
    </row>
    <row r="35" spans="1:7" ht="13.5" customHeight="1">
      <c r="A35" s="888" t="s">
        <v>796</v>
      </c>
      <c r="B35" s="221" t="s">
        <v>60</v>
      </c>
      <c r="C35" s="226">
        <f>ROUND(C34*F35,0)</f>
        <v>260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496</v>
      </c>
      <c r="D37" s="223">
        <f>'数据-汇总表'!E3</f>
        <v>24804.469999999998</v>
      </c>
      <c r="E37" s="255">
        <f>'数据-取费表'!B35</f>
        <v>200</v>
      </c>
      <c r="F37" s="265"/>
      <c r="G37" s="267" t="s">
        <v>119</v>
      </c>
    </row>
    <row r="38" spans="1:7" ht="13.5" customHeight="1">
      <c r="A38" s="888" t="s">
        <v>799</v>
      </c>
      <c r="B38" s="221" t="s">
        <v>63</v>
      </c>
      <c r="C38" s="226">
        <f>ROUND(C34*F38,0)</f>
        <v>130</v>
      </c>
      <c r="D38" s="226"/>
      <c r="E38" s="226"/>
      <c r="F38" s="265">
        <f>'数据-取费表'!B36</f>
        <v>1.4999999999999999E-2</v>
      </c>
      <c r="G38" s="225" t="s">
        <v>117</v>
      </c>
    </row>
    <row r="39" spans="1:7" s="220" customFormat="1" ht="13.5" customHeight="1">
      <c r="A39" s="885" t="s">
        <v>783</v>
      </c>
      <c r="B39" s="216" t="s">
        <v>104</v>
      </c>
      <c r="C39" s="238">
        <f>ROUND(C33*F20,0)</f>
        <v>191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306</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300</v>
      </c>
      <c r="D42" s="244"/>
      <c r="E42" s="244"/>
      <c r="F42" s="245"/>
      <c r="G42" s="3399" t="s">
        <v>121</v>
      </c>
    </row>
    <row r="43" spans="1:7" ht="13.5" customHeight="1">
      <c r="A43" s="888" t="s">
        <v>792</v>
      </c>
      <c r="B43" s="221" t="s">
        <v>1032</v>
      </c>
      <c r="C43" s="244">
        <f ca="1">ROUND(IF('数据-取费表'!B22&lt;=1,C39*F22*'数据-取费表'!B21/2,C39*(POWER((1+F22),'数据-取费表'!B21/2)-1)),0)</f>
        <v>6</v>
      </c>
      <c r="D43" s="244"/>
      <c r="E43" s="244"/>
      <c r="F43" s="245"/>
      <c r="G43" s="3400"/>
    </row>
    <row r="44" spans="1:7" ht="13.5" customHeight="1">
      <c r="A44" s="888" t="s">
        <v>793</v>
      </c>
      <c r="B44" s="221" t="s">
        <v>1034</v>
      </c>
      <c r="C44" s="244">
        <f ca="1">ROUND(IF('数据-取费表'!B22&lt;=1,C40*F22*'数据-取费表'!B21/2,C40*(POWER((1+F22),'数据-取费表'!B21/2)-1)),4)</f>
        <v>5.9999999999999995E-4</v>
      </c>
      <c r="D44" s="244"/>
      <c r="E44" s="244"/>
      <c r="F44" s="245"/>
      <c r="G44" s="3401"/>
    </row>
    <row r="45" spans="1:7" s="220" customFormat="1" ht="13.5" customHeight="1">
      <c r="A45" s="885" t="s">
        <v>786</v>
      </c>
      <c r="B45" s="250" t="s">
        <v>112</v>
      </c>
      <c r="C45" s="251">
        <f>C46</f>
        <v>1464</v>
      </c>
      <c r="D45" s="241">
        <f>C47</f>
        <v>3.0000000000000001E-3</v>
      </c>
      <c r="E45" s="242" t="s">
        <v>129</v>
      </c>
      <c r="F45" s="252"/>
      <c r="G45" s="253" t="s">
        <v>1040</v>
      </c>
    </row>
    <row r="46" spans="1:7" s="220" customFormat="1" ht="13.5" customHeight="1">
      <c r="A46" s="888" t="s">
        <v>794</v>
      </c>
      <c r="B46" s="254" t="s">
        <v>1033</v>
      </c>
      <c r="C46" s="255">
        <f>ROUND((C33+C39)*F27,0)</f>
        <v>1464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12477</v>
      </c>
      <c r="D49" s="238"/>
      <c r="E49" s="238"/>
      <c r="F49" s="270"/>
      <c r="G49" s="240" t="s">
        <v>1041</v>
      </c>
    </row>
    <row r="50" spans="1:7" s="264" customFormat="1" ht="24">
      <c r="A50" s="885" t="s">
        <v>789</v>
      </c>
      <c r="B50" s="216" t="s">
        <v>124</v>
      </c>
      <c r="C50" s="238"/>
      <c r="D50" s="238"/>
      <c r="E50" s="238"/>
      <c r="F50" s="270">
        <f>IF('数据-取费表'!B24=0,'数据-取费表'!N16,1)</f>
        <v>0.93600000000000005</v>
      </c>
      <c r="G50" s="253" t="s">
        <v>125</v>
      </c>
    </row>
    <row r="51" spans="1:7" ht="16.5" customHeight="1">
      <c r="A51" s="885" t="s">
        <v>790</v>
      </c>
      <c r="B51" s="216" t="s">
        <v>132</v>
      </c>
      <c r="C51" s="238">
        <f ca="1">ROUND(C49*F50,0)</f>
        <v>11678</v>
      </c>
      <c r="D51" s="238"/>
      <c r="E51" s="238"/>
      <c r="F51" s="270"/>
      <c r="G51" s="240" t="s">
        <v>64</v>
      </c>
    </row>
    <row r="52" spans="1:7" s="214" customFormat="1" ht="16.5" thickBot="1">
      <c r="A52" s="271" t="s">
        <v>65</v>
      </c>
      <c r="B52" s="272"/>
      <c r="C52" s="273">
        <f ca="1">C31+C51</f>
        <v>39939</v>
      </c>
      <c r="D52" s="272"/>
      <c r="E52" s="272"/>
      <c r="F52" s="272"/>
      <c r="G52" s="274"/>
    </row>
    <row r="55" spans="1:7" ht="15">
      <c r="B55" s="276" t="s">
        <v>66</v>
      </c>
      <c r="C55" s="277"/>
    </row>
    <row r="56" spans="1:7">
      <c r="B56" s="279" t="s">
        <v>67</v>
      </c>
      <c r="C56" s="280">
        <f ca="1">ROUND(C51/C52,3)</f>
        <v>0.29199999999999998</v>
      </c>
    </row>
    <row r="57" spans="1:7">
      <c r="B57" s="279" t="s">
        <v>68</v>
      </c>
      <c r="C57" s="281">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44642</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3" t="s">
        <v>1543</v>
      </c>
      <c r="E3" s="963" t="s">
        <v>1549</v>
      </c>
      <c r="F3" s="963" t="s">
        <v>1543</v>
      </c>
      <c r="G3" s="963" t="s">
        <v>1544</v>
      </c>
      <c r="H3" s="963" t="s">
        <v>1543</v>
      </c>
      <c r="I3" s="963" t="s">
        <v>1544</v>
      </c>
    </row>
    <row r="4" spans="1:9" ht="15">
      <c r="A4" s="1660" t="str">
        <f>项目基本情况!S2</f>
        <v>北京市房地产</v>
      </c>
      <c r="B4" s="963">
        <f>项目基本情况!C17</f>
        <v>24804.469999999998</v>
      </c>
      <c r="C4" s="963">
        <f>项目基本情况!C18</f>
        <v>13382.27</v>
      </c>
      <c r="D4" s="963">
        <f ca="1">结果表!D118</f>
        <v>11543</v>
      </c>
      <c r="E4" s="963">
        <f ca="1">结果表!E118</f>
        <v>4653</v>
      </c>
      <c r="F4" s="963">
        <f ca="1">结果表!F118</f>
        <v>20083</v>
      </c>
      <c r="G4" s="963">
        <f ca="1">结果表!G118</f>
        <v>8097</v>
      </c>
      <c r="H4" s="963">
        <f ca="1">结果表!H118</f>
        <v>31626</v>
      </c>
      <c r="I4" s="963">
        <f ca="1">结果表!I118</f>
        <v>12750</v>
      </c>
    </row>
    <row r="5" spans="1:9" ht="30" customHeight="1">
      <c r="A5" s="3225" t="s">
        <v>1545</v>
      </c>
      <c r="B5" s="3225"/>
      <c r="C5" s="3225"/>
      <c r="D5" s="3226" t="str">
        <f ca="1">结果表!D119</f>
        <v>壹亿壹仟伍佰肆拾叁万元整</v>
      </c>
      <c r="E5" s="3226"/>
      <c r="F5" s="3226" t="str">
        <f ca="1">结果表!F119</f>
        <v>贰亿零捌拾叁万元整</v>
      </c>
      <c r="G5" s="3226"/>
      <c r="H5" s="3226" t="str">
        <f ca="1">结果表!H119</f>
        <v>叁亿壹仟陆佰贰拾陆万元整</v>
      </c>
      <c r="I5" s="3226"/>
    </row>
    <row r="6" spans="1:9" ht="15.75">
      <c r="A6" s="3224" t="str">
        <f>结果表!A120</f>
        <v>估价师知悉的法定优先受偿款</v>
      </c>
      <c r="B6" s="3224"/>
      <c r="C6" s="3224"/>
      <c r="D6" s="3224">
        <f>结果表!D120</f>
        <v>0</v>
      </c>
      <c r="E6" s="3224"/>
      <c r="F6" s="3224"/>
      <c r="G6" s="3224"/>
      <c r="H6" s="3224"/>
      <c r="I6" s="3224"/>
    </row>
    <row r="7" spans="1:9" ht="15">
      <c r="A7" s="3225" t="s">
        <v>1545</v>
      </c>
      <c r="B7" s="3225"/>
      <c r="C7" s="3225"/>
      <c r="D7" s="3227" t="str">
        <f>结果表!D121</f>
        <v>零元整</v>
      </c>
      <c r="E7" s="3228"/>
      <c r="F7" s="3228"/>
      <c r="G7" s="3228"/>
      <c r="H7" s="3228"/>
      <c r="I7" s="3229"/>
    </row>
    <row r="8" spans="1:9" ht="15.75">
      <c r="A8" s="3224" t="str">
        <f>结果表!A122</f>
        <v>房地产抵押价值</v>
      </c>
      <c r="B8" s="3224"/>
      <c r="C8" s="3224"/>
      <c r="D8" s="3224">
        <f ca="1">结果表!D122</f>
        <v>31626</v>
      </c>
      <c r="E8" s="3224"/>
      <c r="F8" s="3224"/>
      <c r="G8" s="3224"/>
      <c r="H8" s="3224"/>
      <c r="I8" s="3224"/>
    </row>
    <row r="9" spans="1:9" ht="15">
      <c r="A9" s="3225" t="s">
        <v>1545</v>
      </c>
      <c r="B9" s="3225"/>
      <c r="C9" s="3225"/>
      <c r="D9" s="3226" t="str">
        <f ca="1">结果表!D123</f>
        <v>叁亿壹仟陆佰贰拾陆万元整</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1545</v>
      </c>
      <c r="B11" s="3225"/>
      <c r="C11" s="3225"/>
      <c r="D11" s="3226" t="e">
        <f>结果表!D125</f>
        <v>#VALUE!</v>
      </c>
      <c r="E11" s="3226"/>
      <c r="F11" s="3226"/>
      <c r="G11" s="3226"/>
      <c r="H11" s="3226"/>
      <c r="I11" s="3226"/>
    </row>
    <row r="12" spans="1:9" ht="15.75">
      <c r="A12" s="3224" t="str">
        <f>结果表!A126</f>
        <v/>
      </c>
      <c r="B12" s="3224"/>
      <c r="C12" s="3224"/>
      <c r="D12" s="3224" t="str">
        <f>结果表!D126</f>
        <v>——</v>
      </c>
      <c r="E12" s="3224"/>
      <c r="F12" s="3224"/>
      <c r="G12" s="3224"/>
      <c r="H12" s="3224"/>
      <c r="I12" s="3224"/>
    </row>
    <row r="13" spans="1:9" ht="15.75" thickBot="1">
      <c r="A13" s="3221" t="s">
        <v>1545</v>
      </c>
      <c r="B13" s="3221"/>
      <c r="C13" s="3221"/>
      <c r="D13" s="3222" t="e">
        <f>结果表!D127</f>
        <v>#VALUE!</v>
      </c>
      <c r="E13" s="3222"/>
      <c r="F13" s="3222"/>
      <c r="G13" s="3222"/>
      <c r="H13" s="3222"/>
      <c r="I13" s="3222"/>
    </row>
    <row r="14" spans="1:9" ht="15" thickTop="1">
      <c r="A14" s="3223" t="s">
        <v>1550</v>
      </c>
      <c r="B14" s="3223"/>
      <c r="C14" s="3223"/>
      <c r="D14" s="3223"/>
      <c r="E14" s="3223"/>
      <c r="F14" s="3223"/>
      <c r="G14" s="3223"/>
      <c r="H14" s="3223"/>
      <c r="I14" s="322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1567</v>
      </c>
      <c r="B1" s="3238"/>
      <c r="C1" s="3238"/>
      <c r="D1" s="3238"/>
    </row>
    <row r="2" spans="1:4" ht="18">
      <c r="A2" s="3239" t="s">
        <v>1551</v>
      </c>
      <c r="B2" s="3239"/>
      <c r="C2" s="3239"/>
      <c r="D2" s="3239"/>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9" t="s">
        <v>1557</v>
      </c>
      <c r="B6" s="3239"/>
      <c r="C6" s="3239"/>
      <c r="D6" s="323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0"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2" t="str">
        <f>IF(项目基本情况!B8="抵押","4.本次评估估价师所知悉的法定优先受偿款情况说明如下：","——")</f>
        <v>4.本次评估估价师所知悉的法定优先受偿款情况说明如下：</v>
      </c>
      <c r="B14" s="3237"/>
      <c r="C14" s="3237"/>
      <c r="D14" s="3237"/>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4" t="s">
        <v>1561</v>
      </c>
      <c r="B16" s="3234"/>
      <c r="C16" s="3234"/>
      <c r="D16" s="3234"/>
    </row>
    <row r="17" spans="1:4" ht="144" customHeight="1">
      <c r="A17" s="3234" t="s">
        <v>1562</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1563</v>
      </c>
      <c r="B22" s="3236"/>
      <c r="C22" s="3236"/>
      <c r="D22" s="323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44646</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6"/>
      <c r="E18" s="3251" t="s">
        <v>2844</v>
      </c>
      <c r="F18" s="3250"/>
      <c r="G18" s="3250"/>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2022-03-26T05:18:51Z</dcterms:modified>
</cp:coreProperties>
</file>