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G:\高鹏\项目\北京市东城区南弓匠营胡同5号楼1层1单元102号住宅用房房地产市场价值评估\测算\"/>
    </mc:Choice>
  </mc:AlternateContent>
  <xr:revisionPtr revIDLastSave="0" documentId="13_ncr:1_{6CD8F1B2-CECB-45FC-9175-45585C11C02D}" xr6:coauthVersionLast="47" xr6:coauthVersionMax="47" xr10:uidLastSave="{00000000-0000-0000-0000-000000000000}"/>
  <bookViews>
    <workbookView xWindow="-120" yWindow="-120" windowWidth="19440" windowHeight="15000" tabRatio="899" firstSheet="12"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0" i="1" l="1"/>
  <c r="Y20" i="1"/>
  <c r="L47" i="81"/>
  <c r="L45" i="81"/>
  <c r="L43" i="81"/>
  <c r="L41" i="81"/>
  <c r="L39" i="81"/>
  <c r="L49" i="81" l="1"/>
  <c r="H60" i="21"/>
  <c r="D60" i="21"/>
  <c r="D59" i="21"/>
  <c r="E59" i="21" s="1"/>
  <c r="F59" i="21" s="1"/>
  <c r="F91" i="21"/>
  <c r="E91" i="21" s="1"/>
  <c r="D91" i="21" s="1"/>
  <c r="H91" i="21"/>
  <c r="C91" i="21" l="1"/>
  <c r="F27" i="21"/>
  <c r="F33" i="21"/>
  <c r="H33" i="21" s="1"/>
  <c r="Q50" i="81"/>
  <c r="Q51" i="81"/>
  <c r="Q49" i="81"/>
  <c r="I5" i="21"/>
  <c r="G5" i="21"/>
  <c r="X9" i="81"/>
  <c r="X10" i="81"/>
  <c r="X11" i="81"/>
  <c r="X12" i="81"/>
  <c r="X13" i="81"/>
  <c r="X14" i="81"/>
  <c r="J33" i="21" l="1"/>
  <c r="D66" i="21"/>
  <c r="B65" i="21"/>
  <c r="I37" i="21"/>
  <c r="G37" i="21"/>
  <c r="E37" i="21"/>
  <c r="G59" i="21" l="1"/>
  <c r="H59" i="21" s="1"/>
  <c r="I33" i="21"/>
  <c r="G33" i="21"/>
  <c r="E33" i="21"/>
  <c r="E15" i="21"/>
  <c r="I15" i="21" s="1"/>
  <c r="E5" i="21"/>
  <c r="J59" i="21" l="1"/>
  <c r="K59" i="21" s="1"/>
  <c r="L59" i="21" s="1"/>
  <c r="I59" i="21"/>
  <c r="G15"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D2" i="35"/>
  <c r="F6" i="67"/>
  <c r="E8" i="76"/>
  <c r="B9" i="76"/>
  <c r="AO13" i="1"/>
  <c r="B8" i="76"/>
  <c r="B10" i="76"/>
  <c r="D2" i="33"/>
  <c r="M9" i="67"/>
  <c r="F38" i="67"/>
  <c r="M22" i="67"/>
  <c r="F36" i="67"/>
  <c r="E12" i="76"/>
  <c r="B7" i="76"/>
  <c r="F42" i="67"/>
  <c r="M27" i="67"/>
  <c r="F9" i="67"/>
  <c r="E13" i="76"/>
  <c r="F16" i="67"/>
  <c r="E2" i="68"/>
  <c r="M8" i="67"/>
  <c r="D2" i="21"/>
  <c r="F13" i="67"/>
  <c r="F37" i="67"/>
  <c r="M24" i="67"/>
  <c r="E7" i="76"/>
  <c r="B13" i="76"/>
  <c r="M26" i="67"/>
  <c r="D2" i="34"/>
  <c r="E9" i="76"/>
  <c r="D35" i="9"/>
  <c r="AO11" i="1"/>
  <c r="M28" i="67"/>
  <c r="E10" i="76"/>
  <c r="AO9" i="1"/>
  <c r="D2" i="36"/>
  <c r="B11" i="76"/>
  <c r="D34" i="9"/>
  <c r="J15" i="67"/>
  <c r="AO7" i="1"/>
  <c r="F40" i="67"/>
  <c r="B12" i="76"/>
  <c r="F8" i="67"/>
  <c r="L47" i="67"/>
  <c r="E2" i="69"/>
  <c r="F26" i="67"/>
  <c r="D2" i="37"/>
  <c r="C76" i="67"/>
  <c r="M6" i="67"/>
  <c r="M23" i="67"/>
  <c r="AO10" i="1"/>
  <c r="F20" i="31"/>
  <c r="E11" i="76"/>
  <c r="AO12" i="1"/>
  <c r="AO8" i="1"/>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H37" i="21"/>
  <c r="F37" i="21"/>
  <c r="S37" i="21" s="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U29" i="2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M29" i="67"/>
  <c r="F7" i="67"/>
  <c r="F7" i="73"/>
  <c r="L48" i="67"/>
  <c r="F43" i="67"/>
  <c r="F6" i="73"/>
  <c r="S13" i="39" l="1"/>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J37" i="21"/>
  <c r="W37" i="21" s="1"/>
  <c r="E540" i="3"/>
  <c r="AA37" i="21"/>
  <c r="E19" i="3"/>
  <c r="E39" i="3"/>
  <c r="E123" i="3"/>
  <c r="E147" i="3"/>
  <c r="E230" i="3"/>
  <c r="E274" i="3"/>
  <c r="E358" i="3"/>
  <c r="E398" i="3"/>
  <c r="E292" i="3"/>
  <c r="E324" i="3"/>
  <c r="E383" i="3"/>
  <c r="E427" i="3"/>
  <c r="E535" i="3"/>
  <c r="E567" i="3"/>
  <c r="E504" i="3"/>
  <c r="E524" i="3"/>
  <c r="E43" i="3"/>
  <c r="E8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L51" i="81" s="1"/>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4" i="73"/>
  <c r="M28" i="15"/>
  <c r="F40" i="15"/>
  <c r="F8" i="15"/>
  <c r="C14" i="15"/>
  <c r="M26" i="15"/>
  <c r="D3" i="73"/>
  <c r="F13" i="15"/>
  <c r="F6" i="15"/>
  <c r="M22" i="15"/>
  <c r="F38" i="15"/>
  <c r="F41" i="15"/>
  <c r="L48" i="15"/>
  <c r="F3" i="73"/>
  <c r="F16" i="15"/>
  <c r="M29" i="15"/>
  <c r="F43" i="15"/>
  <c r="M27" i="15"/>
  <c r="L47" i="15"/>
  <c r="J15" i="15"/>
  <c r="M24" i="15"/>
  <c r="C16" i="67"/>
  <c r="F9" i="15"/>
  <c r="C76" i="15"/>
  <c r="M23" i="15"/>
  <c r="M6" i="15"/>
  <c r="M21" i="15"/>
  <c r="F37" i="15"/>
  <c r="F35" i="15"/>
  <c r="D5" i="73"/>
  <c r="G1" i="73" s="1"/>
  <c r="F26" i="15"/>
  <c r="D6" i="73"/>
  <c r="M9" i="15"/>
  <c r="F7" i="15"/>
  <c r="F36" i="15"/>
  <c r="F5" i="73"/>
  <c r="D4" i="73"/>
  <c r="F42" i="15"/>
  <c r="M8" i="15"/>
  <c r="E107" i="3" l="1"/>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B40" i="1"/>
  <c r="F22" i="11" s="1"/>
  <c r="C23"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C16" i="15"/>
  <c r="AY6" i="3" l="1"/>
  <c r="AY585" i="3" s="1"/>
  <c r="C44" i="11"/>
  <c r="D41" i="11" s="1"/>
  <c r="H7" i="35"/>
  <c r="AY569" i="3"/>
  <c r="AY561" i="3"/>
  <c r="AY529" i="3"/>
  <c r="AY513" i="3"/>
  <c r="AY481" i="3"/>
  <c r="AY473" i="3"/>
  <c r="AY441" i="3"/>
  <c r="AY433" i="3"/>
  <c r="AY558" i="3"/>
  <c r="AY542" i="3"/>
  <c r="AY510" i="3"/>
  <c r="AY502" i="3"/>
  <c r="AY470" i="3"/>
  <c r="AY462" i="3"/>
  <c r="AY430" i="3"/>
  <c r="AY414" i="3"/>
  <c r="AY382" i="3"/>
  <c r="AY374" i="3"/>
  <c r="AY343" i="3"/>
  <c r="AY335" i="3"/>
  <c r="AY303" i="3"/>
  <c r="AY287" i="3"/>
  <c r="AY255" i="3"/>
  <c r="AY247" i="3"/>
  <c r="AY215" i="3"/>
  <c r="AY207" i="3"/>
  <c r="AY175" i="3"/>
  <c r="AY423" i="3"/>
  <c r="AY391" i="3"/>
  <c r="AY383" i="3"/>
  <c r="AY583" i="3"/>
  <c r="AY575" i="3"/>
  <c r="AY543" i="3"/>
  <c r="AY527" i="3"/>
  <c r="AY573" i="3"/>
  <c r="AY565" i="3"/>
  <c r="AY533" i="3"/>
  <c r="AY525" i="3"/>
  <c r="AY493" i="3"/>
  <c r="AY477" i="3"/>
  <c r="AY445" i="3"/>
  <c r="AY437" i="3"/>
  <c r="AY562" i="3"/>
  <c r="AY554" i="3"/>
  <c r="AY522" i="3"/>
  <c r="AY506" i="3"/>
  <c r="AY474" i="3"/>
  <c r="AY466" i="3"/>
  <c r="AY434" i="3"/>
  <c r="AY426" i="3"/>
  <c r="AY394" i="3"/>
  <c r="AY378" i="3"/>
  <c r="AY347" i="3"/>
  <c r="AY339" i="3"/>
  <c r="AY307" i="3"/>
  <c r="AY299" i="3"/>
  <c r="AY267" i="3"/>
  <c r="AY251" i="3"/>
  <c r="AY219" i="3"/>
  <c r="AY211" i="3"/>
  <c r="AY179" i="3"/>
  <c r="AY171" i="3"/>
  <c r="AY403" i="3"/>
  <c r="AY387"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AA7" i="33" s="1"/>
  <c r="R48" i="33" s="1"/>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S7" i="33"/>
  <c r="D65" i="40"/>
  <c r="E63" i="40"/>
  <c r="W7" i="34"/>
  <c r="AC7" i="34"/>
  <c r="V49" i="34" s="1"/>
  <c r="I49" i="34" s="1"/>
  <c r="J7" i="37"/>
  <c r="C14" i="67"/>
  <c r="AE6" i="1"/>
  <c r="C17" i="67"/>
  <c r="AY371" i="3" l="1"/>
  <c r="AY411" i="3"/>
  <c r="AY187" i="3"/>
  <c r="AY235" i="3"/>
  <c r="AY275" i="3"/>
  <c r="AY315" i="3"/>
  <c r="AY362" i="3"/>
  <c r="AY402" i="3"/>
  <c r="AY442" i="3"/>
  <c r="AY490" i="3"/>
  <c r="AY530" i="3"/>
  <c r="AY570" i="3"/>
  <c r="AY461" i="3"/>
  <c r="AY501" i="3"/>
  <c r="AY541" i="3"/>
  <c r="D3"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22" i="11" s="1"/>
  <c r="F41" i="69"/>
  <c r="C44" i="69"/>
  <c r="D41" i="69" s="1"/>
  <c r="C26" i="69"/>
  <c r="D22" i="69" s="1"/>
  <c r="O36" i="43"/>
  <c r="M36" i="43"/>
  <c r="N36" i="43"/>
  <c r="L37" i="43"/>
  <c r="Q37" i="43" s="1"/>
  <c r="P36" i="43"/>
  <c r="C23" i="68"/>
  <c r="C44" i="68"/>
  <c r="D41" i="68" s="1"/>
  <c r="F41" i="68"/>
  <c r="C59" i="15"/>
  <c r="M19" i="6"/>
  <c r="M27" i="6" s="1"/>
  <c r="C18" i="12"/>
  <c r="C23" i="15"/>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8" i="6" l="1"/>
  <c r="D20" i="6"/>
  <c r="D29" i="6"/>
  <c r="H24" i="6"/>
  <c r="D22" i="6"/>
  <c r="D9" i="6"/>
  <c r="D14" i="6"/>
  <c r="D6" i="6"/>
  <c r="H26" i="6"/>
  <c r="D24" i="6"/>
  <c r="R24" i="6" s="1"/>
  <c r="H21" i="6"/>
  <c r="R21" i="6" s="1"/>
  <c r="D5" i="6"/>
  <c r="D13" i="6"/>
  <c r="C18" i="4"/>
  <c r="H22" i="6"/>
  <c r="E61" i="40"/>
  <c r="D26" i="6"/>
  <c r="R26" i="6" s="1"/>
  <c r="H23" i="6"/>
  <c r="R23" i="6" s="1"/>
  <c r="H20" i="6"/>
  <c r="L19" i="9"/>
  <c r="D12" i="6"/>
  <c r="M19" i="9"/>
  <c r="C118" i="9" s="1"/>
  <c r="H25" i="6"/>
  <c r="R25" i="6" s="1"/>
  <c r="D19" i="6"/>
  <c r="D10" i="6"/>
  <c r="D16" i="6"/>
  <c r="C21" i="12"/>
  <c r="C22" i="12" s="1"/>
  <c r="C27" i="12" s="1"/>
  <c r="C25" i="12" s="1"/>
  <c r="N37" i="43"/>
  <c r="C31" i="11"/>
  <c r="P37" i="43"/>
  <c r="O37" i="43"/>
  <c r="M37" i="43"/>
  <c r="C30" i="43"/>
  <c r="B2" i="43" s="1"/>
  <c r="C31" i="43"/>
  <c r="C29" i="15"/>
  <c r="Q49" i="15" s="1"/>
  <c r="C19" i="67"/>
  <c r="C20" i="67" s="1"/>
  <c r="C23" i="67" s="1"/>
  <c r="C33" i="69"/>
  <c r="C39" i="69" s="1"/>
  <c r="C43" i="69"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0" i="6" l="1"/>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F35" i="67"/>
  <c r="D20" i="9"/>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C20" i="9"/>
  <c r="AO6" i="1"/>
  <c r="G20" i="9" l="1"/>
  <c r="I20" i="9" s="1"/>
  <c r="C103" i="9"/>
  <c r="B6" i="70"/>
  <c r="B2" i="70" s="1"/>
  <c r="B3" i="70" s="1"/>
  <c r="C21" i="9"/>
  <c r="C102" i="9"/>
  <c r="D22" i="9"/>
  <c r="T12" i="71"/>
  <c r="D12" i="71"/>
  <c r="U12" i="71" s="1"/>
  <c r="C11" i="71"/>
  <c r="M65" i="40"/>
  <c r="N63" i="40"/>
  <c r="M69" i="39"/>
  <c r="N67" i="39"/>
  <c r="G19" i="9" l="1"/>
  <c r="D30" i="9" s="1"/>
  <c r="I19" i="9"/>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52" i="72" l="1"/>
  <c r="G4" i="52"/>
  <c r="B22" i="72"/>
  <c r="D6" i="53"/>
  <c r="D9" i="52"/>
  <c r="D123" i="9"/>
  <c r="C73" i="9"/>
  <c r="C78" i="9"/>
  <c r="B47" i="72"/>
  <c r="D4" i="52"/>
  <c r="C86" i="9"/>
  <c r="C93" i="9"/>
  <c r="N58" i="9"/>
  <c r="P57" i="9"/>
  <c r="D59" i="9"/>
  <c r="M55" i="9"/>
  <c r="H5" i="52"/>
  <c r="H119" i="9"/>
  <c r="C97" i="9"/>
  <c r="D58" i="9"/>
  <c r="D56" i="9"/>
  <c r="M54" i="9"/>
  <c r="C64" i="9"/>
  <c r="C63" i="9"/>
  <c r="C67" i="9"/>
  <c r="C68" i="9"/>
  <c r="D54" i="9"/>
  <c r="B21" i="72"/>
  <c r="D7" i="53"/>
  <c r="D122" i="9"/>
  <c r="D8" i="52"/>
  <c r="C85" i="9"/>
  <c r="C95" i="9"/>
  <c r="C96" i="9"/>
  <c r="E96" i="9"/>
  <c r="E97" i="9"/>
  <c r="B31" i="72"/>
  <c r="D15" i="53"/>
  <c r="C81" i="9"/>
  <c r="M48" i="9"/>
  <c r="B30" i="72"/>
  <c r="C72" i="9"/>
  <c r="C79" i="9"/>
  <c r="C80" i="9"/>
  <c r="E80" i="9"/>
  <c r="E81" i="9"/>
  <c r="F119" i="9"/>
  <c r="F5" i="52"/>
  <c r="B53" i="72"/>
  <c r="D118" i="9"/>
  <c r="D119" i="9"/>
  <c r="D5" i="52"/>
  <c r="B49" i="72"/>
  <c r="I4" i="52"/>
  <c r="C105" i="9"/>
  <c r="C104" i="9"/>
  <c r="H4" i="52"/>
  <c r="H102" i="9"/>
  <c r="C5" i="74"/>
  <c r="D13" i="53"/>
  <c r="D14" i="53"/>
  <c r="B32" i="72"/>
  <c r="E118" i="9"/>
  <c r="E4" i="52"/>
  <c r="B48" i="72"/>
  <c r="D53" i="9"/>
  <c r="D52" i="9"/>
  <c r="N61" i="9"/>
  <c r="D45" i="9"/>
  <c r="D55" i="9"/>
  <c r="M53" i="9"/>
  <c r="N57" i="9"/>
  <c r="N59" i="9"/>
  <c r="N60" i="9"/>
  <c r="G118" i="9"/>
  <c r="F118" i="9"/>
  <c r="F4" i="52"/>
  <c r="B51" i="72"/>
  <c r="H107" i="9"/>
  <c r="H108" i="9"/>
  <c r="C6" i="74"/>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<sst xmlns="http://schemas.openxmlformats.org/spreadsheetml/2006/main" count="7987" uniqueCount="3499">
  <si>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</si>
  <si>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</si>
  <si>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</si>
  <si>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</si>
  <si>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</si>
  <si>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</si>
  <si>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</si>
  <si>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</si>
  <si>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</si>
  <si>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</si>
  <si>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</si>
  <si>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</si>
  <si>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</si>
  <si>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</si>
  <si>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</si>
  <si>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</si>
  <si>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</si>
  <si>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</si>
  <si>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</si>
  <si>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</si>
  <si>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</si>
  <si>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</si>
  <si>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</si>
  <si>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</si>
  <si>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</si>
  <si>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</si>
  <si>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</si>
  <si>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</si>
  <si>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</si>
  <si>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</si>
  <si>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</si>
  <si>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</si>
  <si>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</si>
  <si>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</si>
  <si>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</si>
  <si>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</si>
  <si>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</si>
  <si>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</si>
  <si>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</si>
  <si>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</si>
  <si>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</si>
  <si>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</si>
  <si>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</si>
  <si>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</si>
  <si>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</si>
  <si>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</si>
  <si>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</si>
  <si>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</si>
  <si>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</si>
  <si>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</si>
  <si>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</si>
  <si>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</si>
  <si>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</si>
  <si>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</si>
  <si>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</si>
  <si>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</si>
  <si>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</si>
  <si>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</si>
  <si>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</si>
  <si>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</si>
  <si>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</si>
  <si>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</si>
  <si>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</si>
  <si>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</si>
  <si>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</si>
  <si>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</si>
  <si>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</si>
  <si>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</si>
  <si>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</si>
  <si>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</si>
  <si>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</si>
  <si>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</si>
  <si>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</si>
  <si>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</si>
  <si>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</si>
  <si>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</si>
  <si>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</si>
  <si>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</si>
  <si>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</si>
  <si>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</si>
  <si>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</si>
  <si>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</si>
  <si>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</si>
  <si>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</si>
  <si>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</si>
  <si>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</si>
  <si>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</si>
  <si>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</si>
  <si>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</si>
  <si>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</si>
  <si>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</si>
  <si>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</si>
  <si>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</si>
  <si>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</si>
  <si>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</si>
  <si>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</si>
  <si>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</si>
  <si>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</si>
  <si>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</si>
  <si>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</si>
  <si>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</si>
  <si>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</si>
  <si>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</si>
  <si>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</si>
  <si>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</si>
  <si>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</si>
  <si>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</si>
  <si>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</si>
  <si>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</si>
  <si>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</si>
  <si>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</si>
  <si>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</si>
  <si>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</si>
  <si>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</si>
  <si>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</si>
  <si>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</si>
  <si>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</si>
  <si>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</si>
  <si>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</si>
  <si>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</si>
  <si>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</si>
  <si>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</si>
  <si>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</si>
  <si>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</si>
  <si>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</si>
  <si>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</si>
  <si>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</si>
  <si>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</si>
  <si>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</si>
  <si>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</si>
  <si>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</si>
  <si>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</si>
  <si>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</si>
  <si>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</si>
  <si>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</si>
  <si>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</si>
  <si>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</si>
  <si>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</si>
  <si>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</si>
  <si>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</si>
  <si>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</si>
  <si>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</si>
  <si>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</si>
  <si>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</si>
  <si>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</si>
  <si>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</si>
  <si>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</si>
  <si>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</si>
  <si>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</si>
  <si>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</si>
  <si>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</si>
  <si>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</si>
  <si>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</si>
  <si>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</si>
  <si>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</si>
  <si>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</si>
  <si>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</si>
  <si>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</si>
  <si>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</si>
  <si>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</si>
  <si>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</si>
  <si>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</si>
  <si>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</si>
  <si>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</si>
  <si>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</si>
  <si>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</si>
  <si>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</si>
  <si>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</si>
  <si>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</si>
  <si>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</si>
  <si>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</si>
  <si>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</si>
  <si>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</si>
  <si>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</si>
  <si>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</si>
  <si>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</si>
  <si>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</si>
  <si>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</si>
  <si>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</si>
  <si>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</si>
  <si>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</si>
  <si>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</si>
  <si>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</si>
  <si>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</si>
  <si>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</si>
  <si>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</si>
  <si>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</si>
  <si>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</si>
  <si>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</si>
  <si>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</si>
  <si>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</si>
  <si>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</si>
  <si>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</si>
  <si>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</si>
  <si>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</si>
  <si>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</si>
  <si>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</si>
  <si>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</si>
  <si>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</si>
  <si>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</si>
  <si>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</si>
  <si>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</si>
  <si>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</si>
  <si>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</si>
  <si>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</si>
  <si>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</si>
  <si>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</si>
  <si>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</si>
  <si>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</si>
  <si>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</si>
  <si>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</si>
  <si>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</si>
  <si>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</si>
  <si>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</si>
  <si>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</si>
  <si>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</si>
  <si>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</si>
  <si>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</si>
  <si>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</si>
  <si>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</si>
  <si>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</si>
  <si>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</si>
  <si>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</si>
  <si>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</si>
  <si>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</si>
  <si>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</si>
  <si>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</si>
  <si>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</si>
  <si>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</si>
  <si>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</si>
  <si>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</si>
  <si>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</si>
  <si>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</si>
  <si>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</si>
  <si>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</si>
  <si>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</si>
  <si>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</si>
  <si>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</si>
  <si>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</si>
  <si>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</si>
  <si>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</si>
  <si>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</si>
  <si>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</si>
  <si>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</si>
  <si>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</si>
  <si>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</si>
  <si>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</si>
  <si>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</si>
  <si>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</si>
  <si>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</si>
  <si>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</si>
  <si>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</si>
  <si>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</si>
  <si>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</si>
  <si>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</si>
  <si>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</si>
  <si>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</si>
  <si>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</si>
  <si>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</si>
  <si>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</si>
  <si>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</si>
  <si>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</si>
  <si>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</si>
  <si>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</si>
  <si>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</si>
  <si>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</si>
  <si>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</si>
  <si>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</si>
  <si>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</si>
  <si>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</si>
  <si>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</si>
  <si>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</si>
  <si>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</si>
  <si>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</si>
  <si>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</si>
  <si>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</si>
  <si>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</si>
  <si>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</si>
  <si>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</si>
  <si>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</si>
  <si>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</si>
  <si>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</si>
  <si>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</si>
  <si>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</si>
  <si>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</si>
  <si>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</si>
  <si>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</si>
  <si>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</si>
  <si>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</si>
  <si>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</si>
  <si>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</si>
  <si>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</si>
  <si>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</si>
  <si>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</si>
  <si>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</si>
  <si>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</si>
  <si>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</si>
  <si>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</si>
  <si>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</si>
  <si>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</si>
  <si>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</si>
  <si>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</si>
  <si>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</si>
  <si>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</si>
  <si>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</si>
  <si>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</si>
  <si>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</si>
  <si>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</si>
  <si>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</si>
  <si>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</si>
  <si>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</si>
  <si>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</si>
  <si>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</si>
  <si>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</si>
  <si>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</si>
  <si>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</si>
  <si>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</si>
  <si>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</si>
  <si>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</si>
  <si>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</si>
  <si>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</si>
  <si>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</si>
  <si>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</si>
  <si>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</si>
  <si>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</si>
  <si>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</si>
  <si>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</si>
  <si>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</si>
  <si>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</si>
  <si>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</si>
  <si>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</si>
  <si>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</si>
  <si>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</si>
  <si>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</si>
  <si>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</si>
  <si>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</si>
  <si>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</si>
  <si>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</si>
  <si>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</si>
  <si>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</si>
  <si>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</si>
  <si>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</si>
  <si>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</si>
  <si>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</si>
  <si>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</si>
  <si>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</si>
  <si>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</si>
  <si>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</si>
  <si>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</si>
  <si>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</si>
  <si>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</si>
  <si>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</si>
  <si>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</si>
  <si>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</si>
  <si>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</si>
  <si>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</si>
  <si>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</si>
  <si>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</si>
  <si>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</si>
  <si>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</si>
  <si>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</si>
  <si>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</si>
  <si>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</si>
  <si>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</si>
  <si>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</si>
  <si>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</si>
  <si>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</si>
  <si>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</si>
  <si>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</si>
  <si>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</si>
  <si>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</si>
  <si>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</si>
  <si>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</si>
  <si>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</si>
  <si>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</si>
  <si>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</si>
  <si>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</si>
  <si>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</si>
  <si>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</si>
  <si>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</si>
  <si>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</si>
  <si>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</si>
  <si>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</si>
  <si>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</si>
  <si>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</si>
  <si>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</si>
  <si>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</si>
  <si>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</si>
  <si>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</si>
  <si>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</si>
  <si>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</si>
  <si>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</si>
  <si>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</si>
  <si>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</si>
  <si>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</si>
  <si>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</si>
  <si>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</si>
  <si>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</si>
  <si>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</si>
  <si>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</si>
  <si>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</si>
  <si>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</si>
  <si>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</si>
  <si>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</si>
  <si>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</si>
  <si>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</si>
  <si>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</si>
  <si>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</si>
  <si>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</si>
  <si>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</si>
  <si>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</si>
  <si>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</si>
  <si>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</si>
  <si>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</si>
  <si>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</si>
  <si>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</si>
  <si>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</si>
  <si>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</si>
  <si>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</si>
  <si>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</si>
  <si>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</si>
  <si>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</si>
  <si>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</si>
  <si>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</si>
  <si>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</si>
  <si>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</si>
  <si>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</si>
  <si>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</si>
  <si>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</si>
  <si>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</si>
  <si>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</si>
  <si>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</si>
  <si>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</si>
  <si>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</si>
  <si>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</si>
  <si>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</si>
  <si>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</si>
  <si>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</si>
  <si>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</si>
  <si>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</si>
  <si>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</si>
  <si>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</si>
  <si>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</si>
  <si>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</si>
  <si>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</si>
  <si>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</si>
  <si>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</si>
  <si>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</si>
  <si>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</si>
  <si>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</si>
  <si>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</si>
  <si>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</si>
  <si>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</si>
  <si>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</si>
  <si>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</si>
  <si>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</si>
  <si>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</si>
  <si>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</si>
  <si>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</si>
  <si>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</si>
  <si>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</si>
  <si>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</si>
  <si>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</si>
  <si>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</si>
  <si>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</si>
  <si>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</si>
  <si>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</si>
  <si>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</si>
  <si>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</si>
  <si>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</si>
  <si>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</si>
  <si>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</si>
  <si>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</si>
  <si>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</si>
  <si>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</si>
  <si>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</si>
  <si>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</si>
  <si>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</si>
  <si>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</si>
  <si>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</si>
  <si>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</si>
  <si>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</si>
  <si>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</si>
  <si>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</si>
  <si>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</si>
  <si>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</si>
  <si>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</si>
  <si>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</si>
  <si>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</si>
  <si>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</si>
  <si>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</si>
  <si>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</si>
  <si>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</si>
  <si>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</si>
  <si>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</si>
  <si>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</si>
  <si>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</si>
  <si>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</si>
  <si>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</si>
  <si>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</si>
  <si>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</si>
  <si>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</si>
  <si>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</si>
  <si>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</si>
  <si>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</si>
  <si>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</si>
  <si>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</si>
  <si>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</si>
  <si>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</si>
  <si>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</si>
  <si>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</si>
  <si>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</si>
  <si>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</si>
  <si>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</si>
  <si>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</si>
  <si>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</si>
  <si>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</si>
  <si>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</si>
  <si>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</si>
  <si>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</si>
  <si>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</si>
  <si>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</si>
  <si>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</si>
  <si>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</si>
  <si>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</si>
  <si>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</si>
  <si>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</si>
  <si>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</si>
  <si>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</si>
  <si>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</si>
  <si>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</si>
  <si>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</si>
  <si>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</si>
  <si>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</si>
  <si>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</si>
  <si>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</si>
  <si>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</si>
  <si>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</si>
  <si>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</si>
  <si>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</si>
  <si>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</si>
  <si>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</si>
  <si>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</si>
  <si>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</si>
  <si>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</si>
  <si>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</si>
  <si>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</si>
  <si>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</si>
  <si>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</si>
  <si>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</si>
  <si>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</si>
  <si>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</si>
  <si>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</si>
  <si>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</si>
  <si>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</si>
  <si>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</si>
  <si>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</si>
  <si>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</si>
  <si>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</si>
  <si>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</si>
  <si>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</si>
  <si>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</si>
  <si>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</si>
  <si>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</si>
  <si>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</si>
  <si>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</si>
  <si>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</si>
  <si>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</si>
  <si>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</si>
  <si>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</si>
  <si>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</si>
  <si>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</si>
  <si>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</si>
  <si>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</si>
  <si>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</si>
  <si>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</si>
  <si>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</si>
  <si>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</si>
  <si>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</si>
  <si>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</si>
  <si>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</si>
  <si>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</si>
  <si>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</si>
  <si>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</si>
  <si>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</si>
  <si>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</si>
  <si>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</si>
  <si>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</si>
  <si>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</si>
  <si>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</si>
  <si>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</si>
  <si>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</si>
  <si>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</si>
  <si>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</si>
  <si>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</si>
  <si>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</si>
  <si>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</si>
  <si>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</si>
  <si>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</si>
  <si>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</si>
  <si>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</si>
  <si>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</si>
  <si>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</si>
  <si>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</si>
  <si>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</si>
  <si>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</si>
  <si>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</si>
  <si>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</si>
  <si>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</si>
  <si>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</si>
  <si>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</si>
  <si>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</si>
  <si>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</si>
  <si>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</si>
  <si>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</si>
  <si>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</si>
  <si>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</si>
  <si>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</si>
  <si>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</si>
  <si>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</si>
  <si>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</si>
  <si>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</si>
  <si>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</si>
  <si>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</si>
  <si>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</si>
  <si>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</si>
  <si>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</si>
  <si>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</si>
  <si>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</si>
  <si>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</si>
  <si>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</si>
  <si>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</si>
  <si>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</si>
  <si>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</si>
  <si>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</si>
  <si>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</si>
  <si>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</si>
  <si>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</si>
  <si>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</si>
  <si>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</si>
  <si>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</si>
  <si>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</si>
  <si>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</si>
  <si>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</si>
  <si>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</si>
  <si>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</si>
  <si>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</si>
  <si>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</si>
  <si>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</si>
  <si>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</si>
  <si>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</si>
  <si>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</si>
  <si>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</si>
  <si>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</si>
  <si>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</si>
  <si>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</si>
  <si>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</si>
  <si>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</si>
  <si>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</si>
  <si>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</si>
  <si>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</si>
  <si>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</si>
  <si>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</si>
  <si>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</si>
  <si>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</si>
  <si>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</si>
  <si>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</si>
  <si>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</si>
  <si>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</si>
  <si>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</si>
  <si>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</si>
  <si>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</si>
  <si>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</si>
  <si>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</si>
  <si>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</si>
  <si>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</si>
  <si>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</si>
  <si>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</si>
  <si>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</si>
  <si>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</si>
  <si>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</si>
  <si>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</si>
  <si>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</si>
  <si>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</si>
  <si>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</si>
  <si>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</si>
  <si>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</si>
  <si>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</si>
  <si>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</si>
  <si>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</si>
  <si>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</si>
  <si>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</si>
  <si>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</si>
  <si>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</si>
  <si>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</si>
  <si>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</si>
  <si>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</si>
  <si>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</si>
  <si>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</si>
  <si>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</si>
  <si>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</si>
  <si>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</si>
  <si>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</si>
  <si>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</si>
  <si>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</si>
  <si>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</si>
  <si>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</si>
  <si>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</si>
  <si>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</si>
  <si>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</si>
  <si>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</si>
  <si>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</si>
  <si>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</si>
  <si>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</si>
  <si>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</si>
  <si>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</si>
  <si>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</si>
  <si>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</si>
  <si>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</si>
  <si>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</si>
  <si>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</si>
  <si>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</si>
  <si>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</si>
  <si>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</si>
  <si>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</si>
  <si>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</si>
  <si>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</si>
  <si>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</si>
  <si>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</si>
  <si>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</si>
  <si>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</si>
  <si>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</si>
  <si>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</si>
  <si>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</si>
  <si>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</si>
  <si>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</si>
  <si>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</si>
  <si>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</si>
  <si>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</si>
  <si>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</si>
  <si>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</si>
  <si>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</si>
  <si>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</si>
  <si>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</si>
  <si>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</si>
  <si>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</si>
  <si>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</si>
  <si>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</si>
  <si>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</si>
  <si>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</si>
  <si>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</si>
  <si>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</si>
  <si>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</si>
  <si>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</si>
  <si>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</si>
  <si>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</si>
  <si>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</si>
  <si>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</si>
  <si>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</si>
  <si>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</si>
  <si>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</si>
  <si>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</si>
  <si>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</si>
  <si>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</si>
  <si>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</si>
  <si>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</si>
  <si>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</si>
  <si>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</si>
  <si>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</si>
  <si>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</si>
  <si>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</si>
  <si>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</si>
  <si>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</si>
  <si>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</si>
  <si>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</si>
  <si>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</si>
  <si>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</si>
  <si>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</si>
  <si>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</si>
  <si>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</si>
  <si>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</si>
  <si>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</si>
  <si>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</si>
  <si>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</si>
  <si>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</si>
  <si>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</si>
  <si>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</si>
  <si>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</si>
  <si>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</si>
  <si>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</si>
  <si>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</si>
  <si>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</si>
  <si>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</si>
  <si>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</si>
  <si>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</si>
  <si>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</si>
  <si>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</si>
  <si>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</si>
  <si>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</si>
  <si>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</si>
  <si>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</si>
  <si>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</si>
  <si>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</si>
  <si>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</si>
  <si>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</si>
  <si>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</si>
  <si>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</si>
  <si>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</si>
  <si>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</si>
  <si>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</si>
  <si>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</si>
  <si>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</si>
  <si>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</si>
  <si>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</si>
  <si>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</si>
  <si>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</si>
  <si>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</si>
  <si>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</si>
  <si>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</si>
  <si>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</si>
  <si>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</si>
  <si>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</si>
  <si>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</si>
  <si>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</si>
  <si>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</si>
  <si>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</si>
  <si>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</si>
  <si>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</si>
  <si>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</si>
  <si>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</si>
  <si>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</si>
  <si>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</si>
  <si>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</si>
  <si>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</si>
  <si>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</si>
  <si>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</si>
  <si>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</si>
  <si>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</si>
  <si>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</si>
  <si>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</si>
  <si>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</si>
  <si>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</si>
  <si>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</si>
  <si>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</si>
  <si>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</si>
  <si>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</si>
  <si>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</si>
  <si>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</si>
  <si>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</si>
  <si>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</si>
  <si>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</si>
  <si>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</si>
  <si>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</si>
  <si>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</si>
  <si>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</si>
  <si>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</si>
  <si>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</si>
  <si>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</si>
  <si>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</si>
  <si>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</si>
  <si>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</si>
  <si>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</si>
  <si>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</si>
  <si>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</si>
  <si>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</si>
  <si>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</si>
  <si>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</si>
  <si>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</si>
  <si>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</si>
  <si>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</si>
  <si>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</si>
  <si>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</si>
  <si>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</si>
  <si>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</si>
  <si>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</si>
  <si>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</si>
  <si>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</si>
  <si>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</si>
  <si>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</si>
  <si>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</si>
  <si>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</si>
  <si>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</si>
  <si>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</si>
  <si>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</si>
  <si>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</si>
  <si>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</si>
  <si>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</si>
  <si>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</si>
  <si>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</si>
  <si>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</si>
  <si>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</si>
  <si>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</si>
  <si>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</si>
  <si>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</si>
  <si>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</si>
  <si>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</si>
  <si>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</si>
  <si>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</si>
  <si>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</si>
  <si>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</si>
  <si>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</si>
  <si>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</si>
  <si>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</si>
  <si>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</si>
  <si>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</si>
  <si>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</si>
  <si>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</si>
  <si>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</si>
  <si>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</si>
  <si>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</si>
  <si>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</si>
  <si>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</si>
  <si>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</si>
  <si>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</si>
  <si>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</si>
  <si>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</si>
  <si>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</si>
  <si>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</si>
  <si>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</si>
  <si>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</si>
  <si>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</si>
  <si>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</si>
  <si>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</si>
  <si>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</si>
  <si>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</si>
  <si>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</si>
  <si>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</si>
  <si>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</si>
  <si>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</si>
  <si>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</si>
  <si>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</si>
  <si>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</si>
  <si>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</si>
  <si>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</si>
  <si>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</si>
  <si>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</si>
  <si>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</si>
  <si>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</si>
  <si>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</si>
  <si>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</si>
  <si>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</si>
  <si>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</si>
  <si>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</si>
  <si>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</si>
  <si>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</si>
  <si>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</si>
  <si>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</si>
  <si>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</si>
  <si>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</si>
  <si>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</si>
  <si>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</si>
  <si>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</si>
  <si>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</si>
  <si>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</si>
  <si>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</si>
  <si>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</si>
  <si>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</si>
  <si>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</si>
  <si>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</si>
  <si>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</si>
  <si>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</si>
  <si>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</si>
  <si>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</si>
  <si>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</si>
  <si>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</si>
  <si>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</si>
  <si>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</si>
  <si>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</si>
  <si>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</si>
  <si>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</si>
  <si>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</si>
  <si>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</si>
  <si>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</si>
  <si>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</si>
  <si>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</si>
  <si>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</si>
  <si>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</si>
  <si>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</si>
  <si>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</si>
  <si>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</si>
  <si>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</si>
  <si>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</si>
  <si>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</si>
  <si>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</si>
  <si>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</si>
  <si>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</si>
  <si>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</si>
  <si>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</si>
  <si>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</si>
  <si>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</si>
  <si>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</si>
  <si>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</si>
  <si>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</si>
  <si>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</si>
  <si>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</si>
  <si>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</si>
  <si>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</si>
  <si>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</si>
  <si>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</si>
  <si>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</si>
  <si>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</si>
  <si>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</si>
  <si>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</si>
  <si>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</si>
  <si>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</si>
  <si>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</si>
  <si>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</si>
  <si>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</si>
  <si>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</si>
  <si>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</si>
  <si>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</si>
  <si>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</si>
  <si>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</si>
  <si>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</si>
  <si>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</si>
  <si>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</si>
  <si>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</si>
  <si>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</si>
  <si>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</si>
  <si>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</si>
  <si>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</si>
  <si>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</si>
  <si>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</si>
  <si>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</si>
  <si>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</si>
  <si>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</si>
  <si>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</si>
  <si>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</si>
  <si>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</si>
  <si>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</si>
  <si>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</si>
  <si>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</si>
  <si>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</si>
  <si>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</si>
  <si>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</si>
  <si>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</si>
  <si>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</si>
  <si>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</si>
  <si>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</si>
  <si>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</si>
  <si>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</si>
  <si>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</si>
  <si>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</si>
  <si>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</si>
  <si>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</si>
  <si>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</si>
  <si>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</si>
  <si>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</si>
  <si>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</si>
  <si>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</si>
  <si>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</si>
  <si>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</si>
  <si>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</si>
  <si>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</si>
  <si>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</si>
  <si>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</si>
  <si>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</si>
  <si>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</si>
  <si>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</si>
  <si>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</si>
  <si>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</si>
  <si>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</si>
  <si>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</si>
  <si>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</si>
  <si>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</si>
  <si>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</si>
  <si>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</si>
  <si>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</si>
  <si>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</si>
  <si>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</si>
  <si>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</si>
  <si>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</si>
  <si>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</si>
  <si>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</si>
  <si>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</si>
  <si>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</si>
  <si>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</si>
  <si>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</si>
  <si>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</si>
  <si>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</si>
  <si>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</si>
  <si>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</si>
  <si>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</si>
  <si>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</si>
  <si>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</si>
  <si>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</si>
  <si>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</si>
  <si>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</si>
  <si>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</si>
  <si>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</si>
  <si>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</si>
  <si>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</si>
  <si>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</si>
  <si>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</si>
  <si>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</si>
  <si>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</si>
  <si>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</si>
  <si>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</si>
  <si>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</si>
  <si>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</si>
  <si>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</si>
  <si>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</si>
  <si>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</si>
  <si>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</si>
  <si>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</si>
  <si>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</si>
  <si>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</si>
  <si>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</si>
  <si>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</si>
  <si>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</si>
  <si>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</si>
  <si>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</si>
  <si>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</si>
  <si>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</si>
  <si>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</si>
  <si>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</si>
  <si>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</si>
  <si>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</si>
  <si>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</si>
  <si>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</si>
  <si>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</si>
  <si>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</si>
  <si>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</si>
  <si>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</si>
  <si>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</si>
  <si>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</si>
  <si>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</si>
  <si>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</si>
  <si>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</si>
  <si>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</si>
  <si>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</si>
  <si>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</si>
  <si>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</si>
  <si>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</si>
  <si>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</si>
  <si>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</si>
  <si>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</si>
  <si>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</si>
  <si>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</si>
  <si>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</si>
  <si>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</si>
  <si>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</si>
  <si>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</si>
  <si>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</si>
  <si>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</si>
  <si>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</si>
  <si>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</si>
  <si>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</si>
  <si>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</si>
  <si>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</si>
  <si>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</si>
  <si>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</si>
  <si>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</si>
  <si>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</si>
  <si>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</si>
  <si>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</si>
  <si>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</si>
  <si>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</si>
  <si>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</si>
  <si>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</si>
  <si>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</si>
  <si>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</si>
  <si>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</si>
  <si>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</si>
  <si>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</si>
  <si>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</si>
  <si>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</si>
  <si>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</si>
  <si>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</si>
  <si>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</si>
  <si>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</si>
  <si>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</si>
  <si>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</si>
  <si>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</si>
  <si>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</si>
  <si>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</si>
  <si>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</si>
  <si>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</si>
  <si>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</si>
  <si>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</si>
  <si>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</si>
  <si>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</si>
  <si>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</si>
  <si>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</si>
  <si>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</si>
  <si>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</si>
  <si>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</si>
  <si>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</si>
  <si>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</si>
  <si>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</si>
  <si>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</si>
  <si>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</si>
  <si>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</si>
  <si>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</si>
  <si>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</si>
  <si>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</si>
  <si>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</si>
  <si>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</si>
  <si>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</si>
  <si>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</si>
  <si>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</si>
  <si>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</si>
  <si>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</si>
  <si>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</si>
  <si>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</si>
  <si>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</si>
  <si>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</si>
  <si>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</si>
  <si>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</si>
  <si>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</si>
  <si>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</si>
  <si>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</si>
  <si>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</si>
  <si>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</si>
  <si>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</si>
  <si>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</si>
  <si>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</si>
  <si>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</si>
  <si>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</si>
  <si>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</si>
  <si>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</si>
  <si>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</si>
  <si>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</si>
  <si>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</si>
  <si>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</si>
  <si>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</si>
  <si>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</si>
  <si>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</si>
  <si>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</si>
  <si>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</si>
  <si>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</si>
  <si>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</si>
  <si>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</si>
  <si>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</si>
  <si>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</si>
  <si>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</si>
  <si>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</si>
  <si>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</si>
  <si>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</si>
  <si>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</si>
  <si>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</si>
  <si>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</si>
  <si>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</si>
  <si>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</si>
  <si>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</si>
  <si>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</si>
  <si>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</si>
  <si>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</si>
  <si>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</si>
  <si>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</si>
  <si>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</si>
  <si>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</si>
  <si>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</si>
  <si>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</si>
  <si>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</si>
  <si>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</si>
  <si>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</si>
  <si>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</si>
  <si>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</si>
  <si>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</si>
  <si>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</si>
  <si>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</si>
  <si>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</si>
  <si>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</si>
  <si>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</si>
  <si>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</si>
  <si>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</si>
  <si>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</si>
  <si>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</si>
  <si>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</si>
  <si>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</si>
  <si>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</si>
  <si>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</si>
  <si>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</si>
  <si>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</si>
  <si>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</si>
  <si>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</si>
  <si>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</si>
  <si>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</si>
  <si>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</si>
  <si>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</si>
  <si>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</si>
  <si>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</si>
  <si>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</si>
  <si>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</si>
  <si>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</si>
  <si>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</si>
  <si>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</si>
  <si>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</si>
  <si>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</si>
  <si>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</si>
  <si>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</si>
  <si>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</si>
  <si>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</si>
  <si>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</si>
  <si>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</si>
  <si>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</si>
  <si>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</si>
  <si>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</si>
  <si>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</si>
  <si>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</si>
  <si>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</si>
  <si>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</si>
  <si>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</si>
  <si>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</si>
  <si>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</si>
  <si>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</si>
  <si>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</si>
  <si>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</si>
  <si>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</si>
  <si>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</si>
  <si>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</si>
  <si>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</si>
  <si>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</si>
  <si>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</si>
  <si>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</si>
  <si>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</si>
  <si>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</si>
  <si>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</si>
  <si>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</si>
  <si>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</si>
  <si>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</si>
  <si>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</si>
  <si>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</si>
  <si>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</si>
  <si>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</si>
  <si>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</si>
  <si>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</si>
  <si>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</si>
  <si>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</si>
  <si>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</si>
  <si>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</si>
  <si>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</si>
  <si>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</si>
  <si>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</si>
  <si>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</si>
  <si>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</si>
  <si>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</si>
  <si>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</si>
  <si>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</si>
  <si>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</si>
  <si>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</si>
  <si>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</si>
  <si>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</si>
  <si>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</si>
  <si>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</si>
  <si>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</si>
  <si>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</si>
  <si>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</si>
  <si>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</si>
  <si>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</si>
  <si>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</si>
  <si>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</si>
  <si>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</si>
  <si>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</si>
  <si>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</si>
  <si>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</si>
  <si>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</si>
  <si>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</si>
  <si>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</si>
  <si>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</si>
  <si>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</si>
  <si>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</si>
  <si>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</si>
  <si>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</si>
  <si>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</si>
  <si>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</si>
  <si>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</si>
  <si>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</si>
  <si>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</si>
  <si>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</si>
  <si>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</si>
  <si>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</si>
  <si>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</si>
  <si>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</si>
  <si>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</si>
  <si>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</si>
  <si>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</si>
  <si>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</si>
  <si>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</si>
  <si>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</si>
  <si>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</si>
  <si>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</si>
  <si>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</si>
  <si>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</si>
  <si>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</si>
  <si>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</si>
  <si>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</si>
  <si>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</si>
  <si>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</si>
  <si>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</si>
  <si>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</si>
  <si>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</si>
  <si>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</si>
  <si>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</si>
  <si>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</si>
  <si>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</si>
  <si>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</si>
  <si>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</si>
  <si>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</si>
  <si>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</si>
  <si>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</si>
  <si>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</si>
  <si>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</si>
  <si>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</si>
  <si>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</si>
  <si>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</si>
  <si>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</si>
  <si>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</si>
  <si>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</si>
  <si>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</si>
  <si>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</si>
  <si>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</si>
  <si>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</si>
  <si>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</si>
  <si>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</si>
  <si>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</si>
  <si>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</si>
  <si>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</si>
  <si>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</si>
  <si>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</si>
  <si>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</si>
  <si>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</si>
  <si>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</si>
  <si>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</si>
  <si>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</si>
  <si>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</si>
  <si>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</si>
  <si>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</si>
  <si>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</si>
  <si>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</si>
  <si>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</si>
  <si>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</si>
  <si>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</si>
  <si>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</si>
  <si>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</si>
  <si>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</si>
  <si>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</si>
  <si>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</si>
  <si>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</si>
  <si>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</si>
  <si>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</si>
  <si>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</si>
  <si>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</si>
  <si>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</si>
  <si>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</si>
  <si>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</si>
  <si>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</si>
  <si>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</si>
  <si>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</si>
  <si>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</si>
  <si>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</si>
  <si>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</si>
  <si>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</si>
  <si>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</si>
  <si>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</si>
  <si>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</si>
  <si>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</si>
  <si>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</si>
  <si>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</si>
  <si>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</si>
  <si>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</si>
  <si>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</si>
  <si>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</si>
  <si>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</si>
  <si>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</si>
  <si>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</si>
  <si>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</si>
  <si>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</si>
  <si>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</si>
  <si>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</si>
  <si>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</si>
  <si>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</si>
  <si>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</si>
  <si>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</si>
  <si>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</si>
  <si>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</si>
  <si>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</si>
  <si>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</si>
  <si>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</si>
  <si>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</si>
  <si>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</si>
  <si>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</si>
  <si>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</si>
  <si>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</si>
  <si>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</si>
  <si>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</si>
  <si>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</si>
  <si>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</si>
  <si>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</si>
  <si>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</si>
  <si>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</si>
  <si>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</si>
  <si>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</si>
  <si>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</si>
  <si>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</si>
  <si>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</si>
  <si>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</si>
  <si>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</si>
  <si>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</si>
  <si>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</si>
  <si>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</si>
  <si>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</si>
  <si>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</si>
  <si>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</si>
  <si>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</si>
  <si>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</si>
  <si>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</si>
  <si>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</si>
  <si>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</si>
  <si>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</si>
  <si>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</si>
  <si>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</si>
  <si>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</si>
  <si>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</si>
  <si>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</si>
  <si>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</si>
  <si>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</si>
  <si>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</si>
  <si>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</si>
  <si>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</si>
  <si>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</si>
  <si>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</si>
  <si>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</si>
  <si>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</si>
  <si>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</si>
  <si>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</si>
  <si>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</si>
  <si>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</si>
  <si>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</si>
  <si>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</si>
  <si>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</si>
  <si>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</si>
  <si>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</si>
  <si>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</si>
  <si>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</si>
  <si>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</si>
  <si>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</si>
  <si>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</si>
  <si>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</si>
  <si>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</si>
  <si>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</si>
  <si>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</si>
  <si>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</si>
  <si>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</si>
  <si>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</si>
  <si>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</si>
  <si>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</si>
  <si>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</si>
  <si>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</si>
  <si>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</si>
  <si>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</si>
  <si>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</si>
  <si>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</si>
  <si>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</si>
  <si>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</si>
  <si>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</si>
  <si>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</si>
  <si>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</si>
  <si>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</si>
  <si>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</si>
  <si>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</si>
  <si>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</si>
  <si>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</si>
  <si>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</si>
  <si>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</si>
  <si>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</si>
  <si>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</si>
  <si>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</si>
  <si>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</si>
  <si>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</si>
  <si>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</si>
  <si>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</si>
  <si>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</si>
  <si>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</si>
  <si>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</si>
  <si>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</si>
  <si>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</si>
  <si>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</si>
  <si>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</si>
  <si>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</si>
  <si>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</si>
  <si>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</si>
  <si>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</si>
  <si>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</si>
  <si>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</si>
  <si>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</si>
  <si>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</si>
  <si>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</si>
  <si>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</si>
  <si>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</si>
  <si>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</si>
  <si>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</si>
  <si>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</si>
  <si>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</si>
  <si>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</si>
  <si>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</si>
  <si>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</si>
  <si>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</si>
  <si>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</si>
  <si>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</si>
  <si>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</si>
  <si>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</si>
  <si>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</si>
  <si>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</si>
  <si>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</si>
  <si>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</si>
  <si>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</si>
  <si>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</si>
  <si>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</si>
  <si>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</si>
  <si>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</si>
  <si>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</si>
  <si>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</si>
  <si>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</si>
  <si>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</si>
  <si>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</si>
  <si>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</si>
  <si>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</si>
  <si>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</si>
  <si>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</si>
  <si>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</si>
  <si>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</si>
  <si>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</si>
  <si>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</si>
  <si>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</si>
  <si>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</si>
  <si>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</si>
  <si>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</si>
  <si>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</si>
  <si>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</si>
  <si>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</si>
  <si>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</si>
  <si>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</si>
  <si>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</si>
  <si>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</si>
  <si>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</si>
  <si>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</si>
  <si>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</si>
  <si>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</si>
  <si>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</si>
  <si>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</si>
  <si>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</si>
  <si>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</si>
  <si>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</si>
  <si>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</si>
  <si>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</si>
  <si>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</si>
  <si>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</si>
  <si>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</si>
  <si>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</si>
  <si>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</si>
  <si>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</si>
  <si>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</si>
  <si>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</si>
  <si>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</si>
  <si>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</si>
  <si>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</si>
  <si>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</si>
  <si>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</si>
  <si>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</si>
  <si>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</si>
  <si>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</si>
  <si>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</si>
  <si>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</si>
  <si>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</si>
  <si>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</si>
  <si>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</si>
  <si>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</si>
  <si>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</si>
  <si>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</si>
  <si>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</si>
  <si>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</si>
  <si>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</si>
  <si>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</si>
  <si>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</si>
  <si>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</si>
  <si>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</si>
  <si>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</si>
  <si>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</si>
  <si>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</si>
  <si>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</si>
  <si>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</si>
  <si>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</si>
  <si>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</si>
  <si>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</si>
  <si>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</si>
  <si>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</si>
  <si>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</si>
  <si>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</si>
  <si>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</si>
  <si>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</si>
  <si>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</si>
  <si>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</si>
  <si>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</si>
  <si>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</si>
  <si>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</si>
  <si>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</si>
  <si>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</si>
  <si>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</si>
  <si>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</si>
  <si>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</si>
  <si>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</si>
  <si>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</si>
  <si>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</si>
  <si>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</si>
  <si>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</si>
  <si>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</si>
  <si>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</si>
  <si>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</si>
  <si>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</si>
  <si>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</si>
  <si>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</si>
  <si>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</si>
  <si>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</si>
  <si>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</si>
  <si>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</si>
  <si>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</si>
  <si>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</si>
  <si>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</si>
  <si>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</si>
  <si>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</si>
  <si>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</si>
  <si>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</si>
  <si>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</si>
  <si>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</si>
  <si>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</si>
  <si>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</si>
  <si>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</si>
  <si>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</si>
  <si>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</si>
  <si>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</si>
  <si>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</si>
  <si>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</si>
  <si>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</si>
  <si>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</si>
  <si>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</si>
  <si>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</si>
  <si>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</si>
  <si>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</si>
  <si>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</si>
  <si>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</si>
  <si>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</si>
  <si>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</si>
  <si>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</si>
  <si>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</si>
  <si>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</si>
  <si>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</si>
  <si>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</si>
  <si>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</si>
  <si>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</si>
  <si>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</si>
  <si>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</si>
  <si>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</si>
  <si>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</si>
  <si>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</si>
  <si>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</si>
  <si>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</si>
  <si>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</si>
  <si>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</si>
  <si>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</si>
  <si>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</si>
  <si>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</si>
  <si>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</si>
  <si>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</si>
  <si>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</si>
  <si>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</si>
  <si>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</si>
  <si>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</si>
  <si>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</si>
  <si>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</si>
  <si>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</si>
  <si>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</si>
  <si>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</si>
  <si>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</si>
  <si>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</si>
  <si>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</si>
  <si>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</si>
  <si>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</si>
  <si>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</si>
  <si>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</si>
  <si>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</si>
  <si>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</si>
  <si>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</si>
  <si>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</si>
  <si>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</si>
  <si>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</si>
  <si>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</si>
  <si>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</si>
  <si>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</si>
  <si>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</si>
  <si>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</si>
  <si>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</si>
  <si>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</si>
  <si>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</si>
  <si>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</si>
  <si>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</si>
  <si>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</si>
  <si>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</si>
  <si>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</si>
  <si>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</si>
  <si>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</si>
  <si>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</si>
  <si>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</si>
  <si>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</si>
  <si>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</si>
  <si>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</si>
  <si>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</si>
  <si>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</si>
  <si>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</si>
  <si>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</si>
  <si>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</si>
  <si>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</si>
  <si>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</si>
  <si>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</si>
  <si>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</si>
  <si>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</si>
  <si>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</si>
  <si>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</si>
  <si>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</si>
  <si>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</si>
  <si>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</si>
  <si>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</si>
  <si>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</si>
  <si>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</si>
  <si>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</si>
  <si>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</si>
  <si>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</si>
  <si>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</si>
  <si>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</si>
  <si>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</si>
  <si>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</si>
  <si>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</si>
  <si>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</si>
  <si>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</si>
  <si>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</si>
  <si>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</si>
  <si>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</si>
  <si>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</si>
  <si>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</si>
  <si>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</si>
  <si>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</si>
  <si>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</si>
  <si>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</si>
  <si>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</si>
  <si>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</si>
  <si>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</si>
  <si>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</si>
  <si>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</si>
  <si>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</si>
  <si>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</si>
  <si>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</si>
  <si>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</si>
  <si>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</si>
  <si>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</si>
  <si>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</si>
  <si>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</si>
  <si>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</si>
  <si>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</si>
  <si>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</si>
  <si>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</si>
  <si>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</si>
  <si>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</si>
  <si>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</si>
  <si>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</si>
  <si>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</si>
  <si>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</si>
  <si>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</si>
  <si>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</si>
  <si>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</si>
  <si>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</si>
  <si>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</si>
  <si>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</si>
  <si>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</si>
  <si>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</si>
  <si>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</si>
  <si>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</si>
  <si>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</si>
  <si>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</si>
  <si>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</si>
  <si>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</si>
  <si>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</si>
  <si>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</si>
  <si>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</si>
  <si>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</si>
  <si>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</si>
  <si>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</si>
  <si>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</si>
  <si>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</si>
  <si>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</si>
  <si>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</si>
  <si>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</si>
  <si>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</si>
  <si>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</si>
  <si>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</si>
  <si>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</si>
  <si>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</si>
  <si>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</si>
  <si>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</si>
  <si>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</si>
  <si>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</si>
  <si>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</si>
  <si>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</si>
  <si>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</si>
  <si>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</si>
  <si>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</si>
  <si>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</si>
  <si>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</si>
  <si>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</si>
  <si>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</si>
  <si>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</si>
  <si>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</si>
  <si>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</si>
  <si>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</si>
  <si>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</si>
  <si>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</si>
  <si>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</si>
  <si>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</si>
  <si>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</si>
  <si>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</si>
  <si>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</si>
  <si>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</si>
  <si>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</si>
  <si>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</si>
  <si>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</si>
  <si>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</si>
  <si>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</si>
  <si>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</si>
  <si>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</si>
  <si>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</si>
  <si>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</si>
  <si>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</si>
  <si>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</si>
  <si>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</si>
  <si>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</si>
  <si>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</si>
  <si>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</si>
  <si>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</si>
  <si>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</si>
  <si>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</si>
  <si>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</si>
  <si>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</si>
  <si>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</si>
  <si>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</si>
  <si>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</si>
  <si>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</si>
  <si>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</si>
  <si>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</si>
  <si>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</si>
  <si>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</si>
  <si>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</si>
  <si>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</si>
  <si>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</si>
  <si>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</si>
  <si>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</si>
  <si>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</si>
  <si>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</si>
  <si>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</si>
  <si>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</si>
  <si>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</si>
  <si>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</si>
  <si>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</si>
  <si>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</si>
  <si>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</si>
  <si>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</si>
  <si>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</si>
  <si>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</si>
  <si>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</si>
  <si>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</si>
  <si>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</si>
  <si>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</si>
  <si>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</si>
  <si>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</si>
  <si>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</si>
  <si>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</si>
  <si>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</si>
  <si>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</si>
  <si>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</si>
  <si>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</si>
  <si>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</si>
  <si>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</si>
  <si>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</si>
  <si>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</si>
  <si>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</si>
  <si>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</si>
  <si>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</si>
  <si>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</si>
  <si>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</si>
  <si>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</si>
  <si>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</si>
  <si>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</si>
  <si>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</si>
  <si>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</si>
  <si>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</si>
  <si>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</si>
  <si>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</si>
  <si>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</si>
  <si>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</si>
  <si>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</si>
  <si>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</si>
  <si>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</si>
  <si>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</si>
  <si>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</si>
  <si>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</si>
  <si>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</si>
  <si>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</si>
  <si>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</si>
  <si>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</si>
  <si>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</si>
  <si>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</si>
  <si>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</si>
  <si>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</si>
  <si>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</si>
  <si>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</si>
  <si>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</si>
  <si>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</si>
  <si>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</si>
  <si>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</si>
  <si>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</si>
  <si>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</si>
  <si>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</si>
  <si>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</si>
  <si>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</si>
  <si>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</si>
  <si>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</si>
  <si>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</si>
  <si>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</si>
  <si>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</si>
  <si>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</si>
  <si>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</si>
  <si>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</si>
  <si>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</si>
  <si>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</si>
  <si>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</si>
  <si>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</si>
  <si>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</si>
  <si>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</si>
  <si>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</si>
  <si>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</si>
  <si>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</si>
  <si>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</si>
  <si>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</si>
  <si>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</si>
  <si>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</si>
  <si>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</si>
  <si>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</si>
  <si>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</si>
  <si>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</si>
  <si>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</si>
  <si>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</si>
  <si>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</si>
  <si>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</si>
  <si>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</si>
  <si>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</si>
  <si>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</si>
  <si>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</si>
  <si>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</si>
  <si>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</si>
  <si>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</si>
  <si>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</si>
  <si>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</si>
  <si>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</si>
  <si>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</si>
  <si>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</si>
  <si>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</si>
  <si>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</si>
  <si>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</si>
  <si>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</si>
  <si>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</si>
  <si>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</si>
  <si>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</si>
  <si>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</si>
  <si>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</si>
  <si>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</si>
  <si>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</si>
  <si>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</si>
  <si>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</si>
  <si>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</si>
  <si>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</si>
  <si>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</si>
  <si>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</si>
  <si>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</si>
  <si>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</si>
  <si>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</si>
  <si>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</si>
  <si>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</si>
  <si>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</si>
  <si>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</si>
  <si>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</si>
  <si>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</si>
  <si>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</si>
  <si>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</si>
  <si>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</si>
  <si>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</si>
  <si>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</si>
  <si>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</si>
  <si>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</si>
  <si>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</si>
  <si>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</si>
  <si>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</si>
  <si>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</si>
  <si>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</si>
  <si>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</si>
  <si>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</si>
  <si>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</si>
  <si>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</si>
  <si>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</si>
  <si>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</si>
  <si>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</si>
  <si>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</si>
  <si>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</si>
  <si>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</si>
  <si>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</si>
  <si>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</si>
  <si>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</si>
  <si>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</si>
  <si>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</si>
  <si>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</si>
  <si>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</si>
  <si>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</si>
  <si>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</si>
  <si>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</si>
  <si>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</si>
  <si>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</si>
  <si>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</si>
  <si>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</si>
  <si>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</si>
  <si>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</si>
  <si>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</si>
  <si>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</si>
  <si>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</si>
  <si>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</si>
  <si>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</si>
  <si>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</si>
  <si>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</si>
  <si>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</si>
  <si>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</si>
  <si>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</si>
  <si>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</si>
  <si>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</si>
  <si>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</si>
  <si>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</si>
  <si>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</si>
  <si>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</si>
  <si>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</si>
  <si>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</si>
  <si>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</si>
  <si>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</si>
  <si>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</si>
  <si>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</si>
  <si>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</si>
  <si>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</si>
  <si>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</si>
  <si>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</si>
  <si>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</si>
  <si>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</si>
  <si>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</si>
  <si>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</si>
  <si>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</si>
  <si>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</si>
  <si>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</si>
  <si>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</si>
  <si>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</si>
  <si>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</si>
  <si>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</si>
  <si>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</si>
  <si>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</si>
  <si>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</si>
  <si>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</si>
  <si>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</si>
  <si>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</si>
  <si>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</si>
  <si>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</si>
  <si>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</si>
  <si>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</si>
  <si>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</si>
  <si>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</si>
  <si>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</si>
  <si>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</si>
  <si>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</si>
  <si>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</si>
  <si>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</si>
  <si>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</si>
  <si>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</si>
  <si>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</si>
  <si>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</si>
  <si>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</si>
  <si>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</si>
  <si>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</si>
  <si>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</si>
  <si>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</si>
  <si>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</si>
  <si>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</si>
  <si>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</si>
  <si>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</si>
  <si>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</si>
  <si>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</si>
  <si>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</si>
  <si>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</si>
  <si>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</si>
  <si>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</si>
  <si>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</si>
  <si>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</si>
  <si>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</si>
  <si>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</si>
  <si>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</si>
  <si>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</si>
  <si>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</si>
  <si>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</si>
  <si>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</si>
  <si>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</si>
  <si>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</si>
  <si>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</si>
  <si>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</si>
  <si>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</si>
  <si>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</si>
  <si>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</si>
  <si>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</si>
  <si>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</si>
  <si>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</si>
  <si>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</si>
  <si>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</si>
  <si>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</si>
  <si>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</si>
  <si>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</si>
  <si>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</si>
  <si>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</si>
  <si>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</si>
  <si>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</si>
  <si>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</si>
  <si>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</si>
  <si>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</si>
  <si>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</si>
  <si>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</si>
  <si>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</si>
  <si>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</si>
  <si>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</si>
  <si>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</si>
  <si>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</si>
  <si>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</si>
  <si>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</si>
  <si>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</si>
  <si>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</si>
  <si>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</si>
  <si>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</si>
  <si>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</si>
  <si>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</si>
  <si>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</si>
  <si>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</si>
  <si>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</si>
  <si>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</si>
  <si>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</si>
  <si>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</si>
  <si>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</si>
  <si>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</si>
  <si>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</si>
  <si>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</si>
  <si>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</si>
  <si>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</si>
  <si>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</si>
  <si>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</si>
  <si>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</si>
  <si>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</si>
  <si>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</si>
  <si>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</si>
  <si>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</si>
  <si>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</si>
  <si>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</si>
  <si>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</si>
  <si>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</si>
  <si>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</si>
  <si>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</si>
  <si>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</si>
  <si>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</si>
  <si>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</si>
  <si>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</si>
  <si>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</si>
  <si>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</si>
  <si>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</si>
  <si>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</si>
  <si>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</si>
  <si>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</si>
  <si>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</si>
  <si>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</si>
  <si>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</si>
  <si>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</si>
  <si>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</si>
  <si>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</si>
  <si>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</si>
  <si>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</si>
  <si>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</si>
  <si>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</si>
  <si>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</si>
  <si>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</si>
  <si>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</si>
  <si>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</si>
  <si>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</si>
  <si>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</si>
  <si>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</si>
  <si>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</si>
  <si>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</si>
  <si>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</si>
  <si>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</si>
  <si>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</si>
  <si>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</si>
  <si>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</si>
  <si>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</si>
  <si>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</si>
  <si>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</si>
  <si>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</si>
  <si>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</si>
  <si>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</si>
  <si>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</si>
  <si>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</si>
  <si>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</si>
  <si>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</si>
  <si>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</si>
  <si>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</si>
  <si>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</si>
  <si>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</si>
  <si>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</si>
  <si>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</si>
  <si>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</si>
  <si>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</si>
  <si>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</si>
  <si>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</si>
  <si>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</si>
  <si>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</si>
  <si>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</si>
  <si>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</si>
  <si>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</si>
  <si>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</si>
  <si>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</si>
  <si>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</si>
  <si>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</si>
  <si>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</si>
  <si>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</si>
  <si>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</si>
  <si>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</si>
  <si>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</si>
  <si>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</si>
  <si>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</si>
  <si>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</si>
  <si>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</si>
  <si>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</si>
  <si>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</si>
  <si>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</si>
  <si>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</si>
  <si>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</si>
  <si>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</si>
  <si>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</si>
  <si>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</si>
  <si>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</si>
  <si>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</si>
  <si>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</si>
  <si>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</si>
  <si>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</si>
  <si>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</si>
  <si>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</si>
  <si>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</si>
  <si>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</si>
  <si>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</si>
  <si>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</si>
  <si>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</si>
  <si>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</si>
  <si>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</si>
  <si>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</si>
  <si>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</si>
  <si>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</si>
  <si>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</si>
  <si>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</si>
  <si>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</si>
  <si>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</si>
  <si>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</si>
  <si>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</si>
  <si>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</si>
  <si>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</si>
  <si>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</si>
  <si>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</si>
  <si>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</si>
  <si>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</si>
  <si>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</si>
  <si>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</si>
  <si>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</si>
  <si>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</si>
  <si>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</si>
  <si>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</si>
  <si>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</si>
  <si>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</si>
  <si>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</si>
  <si>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</si>
  <si>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</si>
  <si>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</si>
  <si>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</si>
  <si>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</si>
  <si>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</si>
  <si>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</si>
  <si>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</si>
  <si>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</si>
  <si>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</si>
  <si>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</si>
  <si>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</si>
  <si>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</si>
  <si>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</si>
  <si>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</si>
  <si>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</si>
  <si>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</si>
  <si>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</si>
  <si>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</si>
  <si>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</si>
  <si>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</si>
  <si>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</si>
  <si>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</si>
  <si>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</si>
  <si>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</si>
  <si>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</si>
  <si>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</si>
  <si>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</si>
  <si>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</si>
  <si>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</si>
  <si>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</si>
  <si>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</si>
  <si>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</si>
  <si>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</si>
  <si>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</si>
  <si>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</si>
  <si>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</si>
  <si>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</si>
  <si>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</si>
  <si>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</si>
  <si>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</si>
  <si>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</si>
  <si>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</si>
  <si>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</si>
  <si>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</si>
  <si>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</si>
  <si>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</si>
  <si>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</si>
  <si>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</si>
  <si>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</si>
  <si>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</si>
  <si>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</si>
  <si>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</si>
  <si>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</si>
  <si>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</si>
  <si>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</si>
  <si>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</si>
  <si>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</si>
  <si>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</si>
  <si>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</si>
  <si>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</si>
  <si>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</si>
  <si>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</si>
  <si>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</si>
  <si>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</si>
  <si>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</si>
  <si>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</si>
  <si>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</si>
  <si>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</si>
  <si>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</si>
  <si>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</si>
  <si>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</si>
  <si>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</si>
  <si>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</si>
  <si>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</si>
  <si>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</si>
  <si>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</si>
  <si>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</si>
  <si>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</si>
  <si>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</si>
  <si>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</si>
  <si>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</si>
  <si>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</si>
  <si>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</si>
  <si>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</si>
  <si>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</si>
  <si>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</si>
  <si>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</si>
  <si>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</si>
  <si>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</si>
  <si>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</si>
  <si>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</si>
  <si>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</si>
  <si>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</si>
  <si>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</si>
  <si>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</si>
  <si>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</si>
  <si>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</si>
  <si>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</si>
  <si>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</si>
  <si>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</si>
  <si>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</si>
  <si>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</si>
  <si>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</si>
  <si>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</si>
  <si>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</si>
  <si>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</si>
  <si>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</si>
  <si>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</si>
  <si>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</si>
  <si>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</si>
  <si>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</si>
  <si>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</si>
  <si>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</si>
  <si>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</si>
  <si>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</si>
  <si>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</si>
  <si>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</si>
  <si>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</si>
  <si>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</si>
  <si>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</si>
  <si>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</si>
  <si>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</si>
  <si>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</si>
  <si>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</si>
  <si>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</si>
  <si>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</si>
  <si>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</si>
  <si>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</si>
  <si>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</si>
  <si>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</si>
  <si>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</si>
  <si>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</si>
  <si>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</si>
  <si>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</si>
  <si>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</si>
  <si>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</si>
  <si>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</si>
  <si>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</si>
  <si>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</si>
  <si>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</si>
  <si>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</si>
  <si>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</si>
  <si>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</si>
  <si>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</si>
  <si>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</si>
  <si>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</si>
  <si>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</si>
  <si>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</si>
  <si>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</si>
  <si>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</si>
  <si>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</si>
  <si>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</si>
  <si>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</si>
  <si>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</si>
  <si>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</si>
  <si>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</si>
  <si>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</si>
  <si>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</si>
  <si>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</si>
  <si>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</si>
  <si>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</si>
  <si>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</si>
  <si>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</si>
  <si>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</si>
  <si>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</si>
  <si>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</si>
  <si>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</si>
  <si>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</si>
  <si>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</si>
  <si>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</si>
  <si>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</si>
  <si>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</si>
  <si>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</si>
  <si>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</si>
  <si>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</si>
  <si>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</si>
  <si>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</si>
  <si>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</si>
  <si>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</si>
  <si>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</si>
  <si>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</si>
  <si>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</si>
  <si>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</si>
  <si>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</si>
  <si>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</si>
  <si>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</si>
  <si>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</si>
  <si>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</si>
  <si>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</si>
  <si>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</si>
  <si>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</si>
  <si>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</si>
  <si>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</si>
  <si>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</si>
  <si>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</si>
  <si>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</si>
  <si>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</si>
  <si>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</si>
  <si>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</si>
  <si>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</si>
  <si>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</si>
  <si>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</si>
  <si>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</si>
  <si>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</si>
  <si>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</si>
  <si>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</si>
  <si>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</si>
  <si>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</si>
  <si>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</si>
  <si>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</si>
  <si>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</si>
  <si>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</si>
  <si>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</si>
  <si>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</si>
  <si>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</si>
  <si>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</si>
  <si>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</si>
  <si>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</si>
  <si>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</si>
  <si>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</si>
  <si>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</si>
  <si>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</si>
  <si>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</si>
  <si>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</si>
  <si>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</si>
  <si>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</si>
  <si>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</si>
  <si>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</si>
  <si>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</si>
  <si>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</si>
  <si>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</si>
  <si>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</si>
  <si>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</si>
  <si>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</si>
  <si>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</si>
  <si>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</si>
  <si>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</si>
  <si>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</si>
  <si>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</si>
  <si>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</si>
  <si>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</si>
  <si>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</si>
  <si>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</si>
  <si>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</si>
  <si>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</si>
  <si>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</si>
  <si>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</si>
  <si>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</si>
  <si>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</si>
  <si>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</si>
  <si>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</si>
  <si>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</si>
  <si>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</si>
  <si>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</si>
  <si>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</si>
  <si>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</si>
  <si>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</si>
  <si>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</si>
  <si>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</si>
  <si>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</si>
  <si>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</si>
  <si>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</si>
  <si>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</si>
  <si>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</si>
  <si>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</si>
  <si>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</si>
  <si>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</si>
  <si>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</si>
  <si>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</si>
  <si>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</si>
  <si>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</si>
  <si>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</si>
  <si>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</si>
  <si>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</si>
  <si>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</si>
  <si>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</si>
  <si>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</si>
  <si>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</si>
  <si>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</si>
  <si>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</si>
  <si>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</si>
  <si>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</si>
  <si>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</si>
  <si>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</si>
  <si>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</si>
  <si>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</si>
  <si>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</si>
  <si>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</si>
  <si>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</si>
  <si>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</si>
  <si>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</si>
  <si>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</si>
  <si>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</si>
  <si>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</si>
  <si>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</si>
  <si>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</si>
  <si>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</si>
  <si>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</si>
  <si>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</si>
  <si>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</si>
  <si>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</si>
  <si>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</si>
  <si>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</si>
  <si>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</si>
  <si>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</si>
  <si>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</si>
  <si>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</si>
  <si>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</si>
  <si>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</si>
  <si>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</si>
  <si>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</si>
  <si>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</si>
  <si>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</si>
  <si>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</si>
  <si>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</si>
  <si>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</si>
  <si>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</si>
  <si>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</si>
  <si>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</si>
  <si>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</si>
  <si>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</si>
  <si>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</si>
  <si>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</si>
  <si>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</si>
  <si>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</si>
  <si>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</si>
  <si>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</si>
  <si>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</si>
  <si>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</si>
  <si>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</si>
  <si>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</si>
  <si>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</si>
  <si>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</si>
  <si>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</si>
  <si>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</si>
  <si>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</si>
  <si>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</si>
  <si>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</si>
  <si>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</si>
  <si>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</si>
  <si>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</si>
  <si>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</si>
  <si>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</si>
  <si>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</si>
  <si>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</si>
  <si>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</si>
  <si>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</si>
  <si>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</si>
  <si>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</si>
  <si>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</si>
  <si>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</si>
  <si>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</si>
  <si>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</si>
  <si>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</si>
  <si>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</si>
  <si>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</si>
  <si>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</si>
  <si>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</si>
  <si>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</si>
  <si>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</si>
  <si>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</si>
  <si>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</si>
  <si>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</si>
  <si>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</si>
  <si>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</si>
  <si>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</si>
  <si>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</si>
  <si>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</si>
  <si>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</si>
  <si>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</si>
  <si>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</si>
  <si>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</si>
  <si>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</si>
  <si>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</si>
  <si>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</si>
  <si>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</si>
  <si>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</si>
  <si>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</si>
  <si>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</si>
  <si>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</si>
  <si>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</si>
  <si>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</si>
  <si>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</si>
  <si>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</si>
  <si>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</si>
  <si>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</si>
  <si>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</si>
  <si>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</si>
  <si>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</si>
  <si>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</si>
  <si>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</si>
  <si>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</si>
  <si>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</si>
  <si>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</si>
  <si>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</si>
  <si>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</si>
  <si>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</si>
  <si>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</si>
  <si>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</si>
  <si>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</si>
  <si>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</si>
  <si>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</si>
  <si>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</si>
  <si>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</si>
  <si>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</si>
  <si>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</si>
  <si>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</si>
  <si>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</si>
  <si>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</si>
  <si>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</si>
  <si>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</si>
  <si>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</si>
  <si>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</si>
  <si>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</si>
  <si>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</si>
  <si>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</si>
  <si>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</si>
  <si>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</si>
  <si>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</si>
  <si>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</si>
  <si>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</si>
  <si>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</si>
  <si>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</si>
  <si>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</si>
  <si>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</si>
  <si>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</si>
  <si>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</si>
  <si>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</si>
  <si>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</si>
  <si>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</si>
  <si>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</si>
  <si>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</si>
  <si>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</si>
  <si>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</si>
  <si>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</si>
  <si>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</si>
  <si>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</si>
  <si>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</si>
  <si>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</si>
  <si>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</si>
  <si>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</si>
  <si>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</si>
  <si>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</si>
  <si>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</si>
  <si>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</si>
  <si>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</si>
  <si>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</si>
  <si>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</si>
  <si>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</si>
  <si>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</si>
  <si>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</si>
  <si>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</si>
  <si>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</si>
  <si>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</si>
  <si>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</si>
  <si>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</si>
  <si>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</si>
  <si>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</si>
  <si>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</si>
  <si>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</si>
  <si>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</si>
  <si>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</si>
  <si>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</si>
  <si>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</si>
  <si>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</si>
  <si>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</si>
  <si>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</si>
  <si>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</si>
  <si>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</si>
  <si>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</si>
  <si>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</si>
  <si>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</si>
  <si>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</si>
  <si>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</si>
  <si>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</si>
  <si>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</si>
  <si>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</si>
  <si>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</si>
  <si>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</si>
  <si>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</si>
  <si>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</si>
  <si>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</si>
  <si>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</si>
  <si>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</si>
  <si>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</si>
  <si>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</si>
  <si>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</si>
  <si>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</si>
  <si>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</si>
  <si>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</si>
  <si>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</si>
  <si>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</si>
  <si>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</si>
  <si>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</si>
  <si>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</si>
  <si>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</si>
  <si>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</si>
  <si>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</si>
  <si>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</si>
  <si>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</si>
  <si>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</si>
  <si>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</si>
  <si>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</si>
  <si>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</si>
  <si>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</si>
  <si>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</si>
  <si>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</si>
  <si>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</si>
  <si>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</si>
  <si>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</si>
  <si>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</si>
  <si>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</si>
  <si>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</si>
  <si>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</si>
  <si>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</si>
  <si>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</si>
  <si>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</si>
  <si>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</si>
  <si>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</si>
  <si>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</si>
  <si>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</si>
  <si>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</si>
  <si>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</si>
  <si>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</si>
  <si>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</si>
  <si>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</si>
  <si>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</si>
  <si>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</si>
  <si>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</si>
  <si>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</si>
  <si>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</si>
  <si>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</si>
  <si>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</si>
  <si>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</si>
  <si>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</si>
  <si>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</si>
  <si>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</si>
  <si>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</si>
  <si>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</si>
  <si>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</si>
  <si>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</si>
  <si>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</si>
  <si>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</si>
  <si>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</si>
  <si>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</si>
  <si>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</si>
  <si>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</si>
  <si>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</si>
  <si>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</si>
  <si>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</si>
  <si>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</si>
  <si>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</si>
  <si>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</si>
  <si>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</si>
  <si>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</si>
  <si>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</si>
  <si>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</si>
  <si>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</si>
  <si>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</si>
  <si>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</si>
  <si>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</si>
  <si>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</si>
  <si>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</si>
  <si>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</si>
  <si>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</si>
  <si>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</si>
  <si>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</si>
  <si>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</si>
  <si>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</si>
  <si>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</si>
  <si>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</si>
  <si>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</si>
  <si>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</si>
  <si>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</si>
  <si>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</si>
  <si>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</si>
  <si>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</si>
  <si>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</si>
  <si>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</si>
  <si>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</si>
  <si>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</si>
  <si>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</si>
  <si>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</si>
  <si>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</si>
  <si>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</si>
  <si>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</si>
  <si>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</si>
  <si>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</si>
  <si>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</si>
  <si>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</si>
  <si>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</si>
  <si>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</si>
  <si>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</si>
  <si>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</si>
  <si>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</si>
  <si>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</si>
  <si>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</si>
  <si>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</si>
  <si>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</si>
  <si>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</si>
  <si>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</si>
  <si>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</si>
  <si>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</si>
  <si>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</si>
  <si>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</si>
  <si>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</si>
  <si>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</si>
  <si>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</si>
  <si>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</si>
  <si>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</si>
  <si>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</si>
  <si>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</si>
  <si>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</si>
  <si>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</si>
  <si>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</si>
  <si>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</si>
  <si>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</si>
  <si>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</si>
  <si>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</si>
  <si>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</si>
  <si>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</si>
  <si>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</si>
  <si>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</si>
  <si>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</si>
  <si>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</si>
  <si>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</si>
  <si>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</si>
  <si>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</si>
  <si>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</si>
  <si>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</si>
  <si>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</si>
  <si>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</si>
  <si>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</si>
  <si>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</si>
  <si>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</si>
  <si>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</si>
  <si>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</si>
  <si>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</si>
  <si>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</si>
  <si>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</si>
  <si>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</si>
  <si>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</si>
  <si>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</si>
  <si>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</si>
  <si>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</si>
  <si>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</si>
  <si>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</si>
  <si>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</si>
  <si>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</si>
  <si>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</si>
  <si>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</si>
  <si>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</si>
  <si>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</si>
  <si>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</si>
  <si>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</si>
  <si>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</si>
  <si>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</si>
  <si>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</si>
  <si>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</si>
  <si>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</si>
  <si>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</si>
  <si>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</si>
  <si>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</si>
  <si>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</si>
  <si>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</si>
  <si>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</si>
  <si>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</si>
  <si>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</si>
  <si>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</si>
  <si>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</si>
  <si>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</si>
  <si>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</si>
  <si>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</si>
  <si>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</si>
  <si>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</si>
  <si>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</si>
  <si>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</si>
  <si>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</si>
  <si>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</si>
  <si>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</si>
  <si>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</si>
  <si>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</si>
  <si>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</si>
  <si>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</si>
  <si>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</si>
  <si>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</si>
  <si>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</si>
  <si>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</si>
  <si>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</si>
  <si>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</si>
  <si>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</si>
  <si>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</si>
  <si>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</si>
  <si>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</si>
  <si>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</si>
  <si>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</si>
  <si>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</si>
  <si>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</si>
  <si>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</si>
  <si>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</si>
  <si>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</si>
  <si>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</si>
  <si>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</si>
  <si>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</si>
  <si>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</si>
  <si>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</si>
  <si>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</si>
  <si>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</si>
  <si>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</si>
  <si>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</si>
  <si>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</si>
  <si>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</si>
  <si>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</si>
  <si>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</si>
  <si>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</si>
  <si>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</si>
  <si>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</si>
  <si>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</si>
  <si>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</si>
  <si>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</si>
  <si>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</si>
  <si>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</si>
  <si>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</si>
  <si>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</si>
  <si>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</si>
  <si>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</si>
  <si>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</si>
  <si>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</si>
  <si>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</si>
  <si>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</si>
  <si>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</si>
  <si>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</si>
  <si>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</si>
  <si>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</si>
  <si>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</si>
  <si>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</si>
  <si>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</si>
  <si>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</si>
  <si>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</si>
  <si>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</si>
  <si>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</si>
  <si>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</si>
  <si>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</si>
  <si>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</si>
  <si>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</si>
  <si>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</si>
  <si>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</si>
  <si>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</si>
  <si>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</si>
  <si>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</si>
  <si>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</si>
  <si>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</si>
  <si>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</si>
  <si>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</si>
  <si>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</si>
  <si>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</si>
  <si>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</si>
  <si>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</si>
  <si>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</si>
  <si>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</si>
  <si>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</si>
  <si>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</si>
  <si>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</si>
  <si>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</si>
  <si>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</si>
  <si>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</si>
  <si>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</si>
  <si>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</si>
  <si>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</si>
  <si>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</si>
  <si>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</si>
  <si>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</si>
  <si>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</si>
  <si>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</si>
  <si>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</si>
  <si>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</si>
  <si>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</si>
  <si>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</si>
  <si>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</si>
  <si>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</si>
  <si>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</si>
  <si>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</si>
  <si>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</si>
  <si>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</si>
  <si>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</si>
  <si>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</si>
  <si>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</si>
  <si>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</si>
  <si>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</si>
  <si>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</si>
  <si>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</si>
  <si>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</si>
  <si>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</si>
  <si>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</si>
  <si>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</si>
  <si>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</si>
  <si>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</si>
  <si>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</si>
  <si>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</si>
  <si>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</si>
  <si>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</si>
  <si>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</si>
  <si>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</si>
  <si>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</si>
  <si>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</si>
  <si>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</si>
  <si>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</si>
  <si>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</si>
  <si>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</si>
  <si>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</si>
  <si>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</si>
  <si>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</si>
  <si>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</si>
  <si>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</si>
  <si>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</si>
  <si>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</si>
  <si>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</si>
  <si>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</si>
  <si>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</si>
  <si>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</si>
  <si>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</si>
  <si>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</si>
  <si>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</si>
  <si>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</si>
  <si>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</si>
  <si>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</si>
  <si>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</si>
  <si>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</si>
  <si>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</si>
  <si>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</si>
  <si>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</si>
  <si>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</si>
  <si>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</si>
  <si>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</si>
  <si>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</si>
  <si>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</si>
  <si>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</si>
  <si>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</si>
  <si>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</si>
  <si>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</si>
  <si>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</si>
  <si>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</si>
  <si>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</si>
  <si>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</si>
  <si>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</si>
  <si>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</si>
  <si>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</si>
  <si>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</si>
  <si>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</si>
  <si>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</si>
  <si>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</si>
  <si>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</si>
  <si>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</si>
  <si>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</si>
  <si>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</si>
  <si>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</si>
  <si>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</si>
  <si>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</si>
  <si>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</si>
  <si>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</si>
  <si>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</si>
  <si>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</si>
  <si>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</si>
  <si>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</si>
  <si>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</si>
  <si>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</si>
  <si>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</si>
  <si>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</si>
  <si>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</si>
  <si>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</si>
  <si>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</si>
  <si>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</si>
  <si>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</si>
  <si>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</si>
  <si>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</si>
  <si>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</si>
  <si>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</si>
  <si>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</si>
  <si>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</si>
  <si>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</si>
  <si>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</si>
  <si>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</si>
  <si>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</si>
  <si>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</si>
  <si>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</si>
  <si>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</si>
  <si>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</si>
  <si>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</si>
  <si>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</si>
  <si>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</si>
  <si>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</si>
  <si>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</si>
  <si>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</si>
  <si>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</si>
  <si>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</si>
  <si>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</si>
  <si>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</si>
  <si>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</si>
  <si>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</si>
  <si>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</si>
  <si>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</si>
  <si>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</si>
  <si>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</si>
  <si>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</si>
  <si>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</si>
  <si>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</si>
  <si>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</si>
  <si>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</si>
  <si>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</si>
  <si>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</si>
  <si>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</si>
  <si>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</si>
  <si>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</si>
  <si>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</si>
  <si>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</si>
  <si>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</si>
  <si>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</si>
  <si>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</si>
  <si>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</si>
  <si>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</si>
  <si>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</si>
  <si>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</si>
  <si>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</si>
  <si>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</si>
  <si>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</si>
  <si>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</si>
  <si>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</si>
  <si>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</si>
  <si>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</si>
  <si>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</si>
  <si>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</si>
  <si>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</si>
  <si>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</si>
  <si>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</si>
  <si>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</si>
  <si>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</si>
  <si>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</si>
  <si>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</si>
  <si>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</si>
  <si>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</si>
  <si>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</si>
  <si>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</si>
  <si>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</si>
  <si>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</si>
  <si>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</si>
  <si>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</si>
  <si>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</si>
  <si>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</si>
  <si>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</si>
  <si>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</si>
  <si>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</si>
  <si>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</si>
  <si>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</si>
  <si>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</si>
  <si>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</si>
  <si>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</si>
  <si>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</si>
  <si>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</si>
  <si>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</si>
  <si>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</si>
  <si>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</si>
  <si>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</si>
  <si>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</si>
  <si>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</si>
  <si>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</si>
  <si>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</si>
  <si>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</si>
  <si>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</si>
  <si>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</si>
  <si>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</si>
  <si>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</si>
  <si>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</si>
  <si>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</si>
  <si>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</si>
  <si>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</si>
  <si>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</si>
  <si>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</si>
  <si>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</si>
  <si>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</si>
  <si>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</si>
  <si>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</si>
  <si>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</si>
  <si>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</si>
  <si>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</si>
  <si>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</si>
  <si>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</si>
  <si>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</si>
  <si>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</si>
  <si>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</si>
  <si>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</si>
  <si>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</si>
  <si>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</si>
  <si>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</si>
  <si>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</si>
  <si>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</si>
  <si>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</si>
  <si>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</si>
  <si>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</si>
  <si>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</si>
  <si>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</si>
  <si>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</si>
  <si>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</si>
  <si>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</si>
  <si>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</si>
  <si>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</si>
  <si>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</si>
  <si>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</si>
  <si>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</si>
  <si>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</si>
  <si>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</si>
  <si>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</si>
  <si>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</si>
  <si>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</si>
  <si>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</si>
  <si>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</si>
  <si>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</si>
  <si>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</si>
  <si>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</si>
  <si>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</si>
  <si>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</si>
  <si>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</si>
  <si>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</si>
  <si>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</si>
  <si>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</si>
  <si>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</si>
  <si>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</si>
  <si>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</si>
  <si>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</si>
  <si>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</si>
  <si>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</si>
  <si>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</si>
  <si>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</si>
  <si>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</si>
  <si>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</si>
  <si>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</si>
  <si>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</si>
  <si>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</si>
  <si>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</si>
  <si>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</si>
  <si>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</si>
  <si>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</si>
  <si>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</si>
  <si>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</si>
  <si>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</si>
  <si>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</si>
  <si>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</si>
  <si>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</si>
  <si>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</si>
  <si>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</si>
  <si>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</si>
  <si>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</si>
  <si>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</si>
  <si>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</si>
  <si>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</si>
  <si>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</si>
  <si>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</si>
  <si>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</si>
  <si>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</si>
  <si>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</si>
  <si>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</si>
  <si>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</si>
  <si>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</si>
  <si>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</si>
  <si>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</si>
  <si>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</si>
  <si>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</si>
  <si>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2室1厅1卫1厨</t>
    <phoneticPr fontId="134" type="noConversion"/>
  </si>
  <si>
    <t>房屋性质</t>
    <phoneticPr fontId="3" type="noConversion"/>
  </si>
  <si>
    <t>商品房</t>
  </si>
  <si>
    <t>商品房</t>
    <phoneticPr fontId="24" type="noConversion"/>
  </si>
  <si>
    <t>商品房</t>
    <phoneticPr fontId="24" type="noConversion"/>
  </si>
  <si>
    <t>成本价出售住宅</t>
    <phoneticPr fontId="24" type="noConversion"/>
  </si>
  <si>
    <t>南弓匠营</t>
    <phoneticPr fontId="134" type="noConversion"/>
  </si>
  <si>
    <t>南门仓胡同6号楼11单元201号</t>
    <phoneticPr fontId="134" type="noConversion"/>
  </si>
  <si>
    <t>南弓匠营胡同9号楼10单元402号</t>
    <phoneticPr fontId="134" type="noConversion"/>
  </si>
  <si>
    <t>朝阳门北小街6号楼5单元201号</t>
    <phoneticPr fontId="134" type="noConversion"/>
  </si>
  <si>
    <t>南门仓</t>
    <phoneticPr fontId="134" type="noConversion"/>
  </si>
  <si>
    <t>多层板楼</t>
  </si>
  <si>
    <t>周边有南门仓社区、豆瓣小区、竹竿小区、朝内小区等住宅小区，居住社区成熟度较好。</t>
    <phoneticPr fontId="40" type="noConversion"/>
  </si>
  <si>
    <t>3室1厅1卫1厨</t>
    <phoneticPr fontId="134" type="noConversion"/>
  </si>
  <si>
    <t>周边有24路、58路、63路、101路、109路等多条公交线路，地铁2号线与6号线换乘站朝阳门站，地铁5号线与6号线换乘站东四站，综合评价交通便捷度好</t>
    <phoneticPr fontId="40" type="noConversion"/>
  </si>
  <si>
    <t>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t>
    <phoneticPr fontId="40" type="noConversion"/>
  </si>
  <si>
    <t>自然环境：东四奥林匹克社区公园等自然水系景观；
人文环境：孚王府、南豆芽清真寺、中央歌剧院等人文场所；
综合评价环境状况较好。</t>
    <phoneticPr fontId="40" type="noConversion"/>
  </si>
  <si>
    <t>南弓匠营胡同5号楼1层1单元102号</t>
    <phoneticPr fontId="3" type="noConversion"/>
  </si>
  <si>
    <t>东西</t>
  </si>
  <si>
    <t>南北</t>
  </si>
  <si>
    <t>西南</t>
  </si>
  <si>
    <t>1/6</t>
    <phoneticPr fontId="24" type="noConversion"/>
  </si>
  <si>
    <t>4/6</t>
    <phoneticPr fontId="24" type="noConversion"/>
  </si>
  <si>
    <t>2/6</t>
    <phoneticPr fontId="24" type="noConversion"/>
  </si>
  <si>
    <t>混合</t>
  </si>
  <si>
    <t>混合</t>
    <phoneticPr fontId="24" type="noConversion"/>
  </si>
  <si>
    <t>简单装修</t>
  </si>
  <si>
    <t>3/6</t>
    <phoneticPr fontId="3" type="noConversion"/>
  </si>
  <si>
    <t>4/6</t>
    <phoneticPr fontId="3" type="noConversion"/>
  </si>
  <si>
    <t>5/6</t>
    <phoneticPr fontId="3" type="noConversion"/>
  </si>
  <si>
    <t>2/6</t>
    <phoneticPr fontId="3" type="noConversion"/>
  </si>
  <si>
    <t>1/6</t>
    <phoneticPr fontId="3" type="noConversion"/>
  </si>
  <si>
    <t>6/6</t>
    <phoneticPr fontId="3" type="noConversion"/>
  </si>
  <si>
    <t>较差</t>
  </si>
  <si>
    <t>豆瓣胡同</t>
  </si>
  <si>
    <t>南门仓胡同小区</t>
  </si>
  <si>
    <t>南门仓胡同</t>
  </si>
  <si>
    <t>竹竿小区</t>
  </si>
  <si>
    <t>南弓匠营胡同</t>
  </si>
  <si>
    <t>西水井胡同小区</t>
  </si>
  <si>
    <t>2月平均租金</t>
    <phoneticPr fontId="134" type="noConversion"/>
  </si>
  <si>
    <t>平均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</si>
</sst>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8"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0" fontId="0" fillId="0" borderId="1" xfId="0" applyBorder="1" applyAlignment="1"/>
    <xf numFmtId="14" fontId="0" fillId="0" borderId="1" xfId="0" applyNumberFormat="1" applyBorder="1" applyAlignment="1"/>
    <xf numFmtId="176" fontId="44" fillId="7" borderId="24" xfId="1" applyNumberFormat="1" applyFont="1" applyFill="1" applyBorder="1" applyAlignment="1" applyProtection="1">
      <alignment horizontal="center" vertical="center"/>
      <protection locked="0"/>
    </xf>
    <xf numFmtId="10" fontId="47" fillId="9" borderId="24" xfId="0" applyNumberFormat="1" applyFont="1" applyFill="1" applyBorder="1" applyAlignment="1">
      <alignment horizontal="center" vertical="center"/>
    </xf>
    <xf numFmtId="10" fontId="113" fillId="9" borderId="23" xfId="0" applyNumberFormat="1" applyFont="1" applyFill="1" applyBorder="1" applyProtection="1">
      <alignment vertical="center"/>
      <protection locked="0"/>
    </xf>
    <xf numFmtId="10" fontId="47" fillId="9" borderId="1" xfId="1" applyNumberFormat="1" applyFont="1" applyFill="1" applyBorder="1" applyAlignment="1" applyProtection="1">
      <alignment horizontal="center" vertical="center"/>
      <protection locked="0"/>
    </xf>
    <xf numFmtId="179" fontId="52" fillId="9" borderId="24" xfId="0" applyNumberFormat="1" applyFont="1" applyFill="1" applyBorder="1" applyAlignment="1">
      <alignment horizontal="center" vertical="center"/>
    </xf>
    <xf numFmtId="49" fontId="51" fillId="9" borderId="23"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98" fontId="47" fillId="6" borderId="1" xfId="0" applyNumberFormat="1"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31</xdr:row>
      <xdr:rowOff>171450</xdr:rowOff>
    </xdr:from>
    <xdr:to>
      <xdr:col>23</xdr:col>
      <xdr:colOff>66675</xdr:colOff>
      <xdr:row>45</xdr:row>
      <xdr:rowOff>104775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7625" y="884872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23</xdr:row>
      <xdr:rowOff>142875</xdr:rowOff>
    </xdr:from>
    <xdr:to>
      <xdr:col>5</xdr:col>
      <xdr:colOff>633932</xdr:colOff>
      <xdr:row>35</xdr:row>
      <xdr:rowOff>189827</xdr:rowOff>
    </xdr:to>
    <xdr:pic>
      <xdr:nvPicPr>
        <xdr:cNvPr id="2" name="图片 1">
          <a:extLst>
            <a:ext uri="{FF2B5EF4-FFF2-40B4-BE49-F238E27FC236}">
              <a16:creationId xmlns:a16="http://schemas.microsoft.com/office/drawing/2014/main" id="{775E9A7C-260D-637A-22B7-3C8927E07774}"/>
            </a:ext>
          </a:extLst>
        </xdr:cNvPr>
        <xdr:cNvPicPr>
          <a:picLocks noChangeAspect="1"/>
        </xdr:cNvPicPr>
      </xdr:nvPicPr>
      <xdr:blipFill>
        <a:blip xmlns:r="http://schemas.openxmlformats.org/officeDocument/2006/relationships" r:embed="rId2"/>
        <a:stretch>
          <a:fillRect/>
        </a:stretch>
      </xdr:blipFill>
      <xdr:spPr>
        <a:xfrm>
          <a:off x="666750" y="6305550"/>
          <a:ext cx="5806007" cy="3818852"/>
        </a:xfrm>
        <a:prstGeom prst="rect">
          <a:avLst/>
        </a:prstGeom>
      </xdr:spPr>
    </xdr:pic>
    <xdr:clientData/>
  </xdr:twoCellAnchor>
  <xdr:twoCellAnchor editAs="oneCell">
    <xdr:from>
      <xdr:col>0</xdr:col>
      <xdr:colOff>0</xdr:colOff>
      <xdr:row>4</xdr:row>
      <xdr:rowOff>133350</xdr:rowOff>
    </xdr:from>
    <xdr:to>
      <xdr:col>4</xdr:col>
      <xdr:colOff>299322</xdr:colOff>
      <xdr:row>22</xdr:row>
      <xdr:rowOff>238125</xdr:rowOff>
    </xdr:to>
    <xdr:pic>
      <xdr:nvPicPr>
        <xdr:cNvPr id="3" name="图片 2">
          <a:extLst>
            <a:ext uri="{FF2B5EF4-FFF2-40B4-BE49-F238E27FC236}">
              <a16:creationId xmlns:a16="http://schemas.microsoft.com/office/drawing/2014/main" id="{69627F19-F79E-9D9A-C507-E7A0DF6FA460}"/>
            </a:ext>
          </a:extLst>
        </xdr:cNvPr>
        <xdr:cNvPicPr>
          <a:picLocks noChangeAspect="1"/>
        </xdr:cNvPicPr>
      </xdr:nvPicPr>
      <xdr:blipFill>
        <a:blip xmlns:r="http://schemas.openxmlformats.org/officeDocument/2006/relationships" r:embed="rId3"/>
        <a:stretch>
          <a:fillRect/>
        </a:stretch>
      </xdr:blipFill>
      <xdr:spPr>
        <a:xfrm>
          <a:off x="0" y="1228725"/>
          <a:ext cx="5414247" cy="4857750"/>
        </a:xfrm>
        <a:prstGeom prst="rect">
          <a:avLst/>
        </a:prstGeom>
      </xdr:spPr>
    </xdr:pic>
    <xdr:clientData/>
  </xdr:twoCellAnchor>
  <xdr:twoCellAnchor editAs="oneCell">
    <xdr:from>
      <xdr:col>5</xdr:col>
      <xdr:colOff>19050</xdr:colOff>
      <xdr:row>8</xdr:row>
      <xdr:rowOff>65477</xdr:rowOff>
    </xdr:from>
    <xdr:to>
      <xdr:col>15</xdr:col>
      <xdr:colOff>381000</xdr:colOff>
      <xdr:row>12</xdr:row>
      <xdr:rowOff>145934</xdr:rowOff>
    </xdr:to>
    <xdr:pic>
      <xdr:nvPicPr>
        <xdr:cNvPr id="4" name="图片 3">
          <a:extLst>
            <a:ext uri="{FF2B5EF4-FFF2-40B4-BE49-F238E27FC236}">
              <a16:creationId xmlns:a16="http://schemas.microsoft.com/office/drawing/2014/main" id="{2FBF95EC-27BE-EC13-033A-7C256BD553E4}"/>
            </a:ext>
          </a:extLst>
        </xdr:cNvPr>
        <xdr:cNvPicPr>
          <a:picLocks noChangeAspect="1"/>
        </xdr:cNvPicPr>
      </xdr:nvPicPr>
      <xdr:blipFill>
        <a:blip xmlns:r="http://schemas.openxmlformats.org/officeDocument/2006/relationships" r:embed="rId4"/>
        <a:stretch>
          <a:fillRect/>
        </a:stretch>
      </xdr:blipFill>
      <xdr:spPr>
        <a:xfrm>
          <a:off x="5781675" y="2227652"/>
          <a:ext cx="7915275" cy="766257"/>
        </a:xfrm>
        <a:prstGeom prst="rect">
          <a:avLst/>
        </a:prstGeom>
      </xdr:spPr>
    </xdr:pic>
    <xdr:clientData/>
  </xdr:twoCellAnchor>
  <xdr:twoCellAnchor editAs="oneCell">
    <xdr:from>
      <xdr:col>15</xdr:col>
      <xdr:colOff>504826</xdr:colOff>
      <xdr:row>8</xdr:row>
      <xdr:rowOff>47626</xdr:rowOff>
    </xdr:from>
    <xdr:to>
      <xdr:col>20</xdr:col>
      <xdr:colOff>200026</xdr:colOff>
      <xdr:row>12</xdr:row>
      <xdr:rowOff>114551</xdr:rowOff>
    </xdr:to>
    <xdr:pic>
      <xdr:nvPicPr>
        <xdr:cNvPr id="5" name="图片 4">
          <a:extLst>
            <a:ext uri="{FF2B5EF4-FFF2-40B4-BE49-F238E27FC236}">
              <a16:creationId xmlns:a16="http://schemas.microsoft.com/office/drawing/2014/main" id="{42485899-922A-4A29-C7AB-905A774C98E6}"/>
            </a:ext>
          </a:extLst>
        </xdr:cNvPr>
        <xdr:cNvPicPr>
          <a:picLocks noChangeAspect="1"/>
        </xdr:cNvPicPr>
      </xdr:nvPicPr>
      <xdr:blipFill>
        <a:blip xmlns:r="http://schemas.openxmlformats.org/officeDocument/2006/relationships" r:embed="rId5"/>
        <a:stretch>
          <a:fillRect/>
        </a:stretch>
      </xdr:blipFill>
      <xdr:spPr>
        <a:xfrm>
          <a:off x="13668376" y="2209801"/>
          <a:ext cx="3771900" cy="752725"/>
        </a:xfrm>
        <a:prstGeom prst="rect">
          <a:avLst/>
        </a:prstGeom>
      </xdr:spPr>
    </xdr:pic>
    <xdr:clientData/>
  </xdr:twoCellAnchor>
  <xdr:twoCellAnchor editAs="oneCell">
    <xdr:from>
      <xdr:col>5</xdr:col>
      <xdr:colOff>1</xdr:colOff>
      <xdr:row>6</xdr:row>
      <xdr:rowOff>537317</xdr:rowOff>
    </xdr:from>
    <xdr:to>
      <xdr:col>15</xdr:col>
      <xdr:colOff>304800</xdr:colOff>
      <xdr:row>8</xdr:row>
      <xdr:rowOff>47626</xdr:rowOff>
    </xdr:to>
    <xdr:pic>
      <xdr:nvPicPr>
        <xdr:cNvPr id="6" name="图片 5">
          <a:extLst>
            <a:ext uri="{FF2B5EF4-FFF2-40B4-BE49-F238E27FC236}">
              <a16:creationId xmlns:a16="http://schemas.microsoft.com/office/drawing/2014/main" id="{0AE13087-76BC-D823-3698-F53C09BA89B0}"/>
            </a:ext>
          </a:extLst>
        </xdr:cNvPr>
        <xdr:cNvPicPr>
          <a:picLocks noChangeAspect="1"/>
        </xdr:cNvPicPr>
      </xdr:nvPicPr>
      <xdr:blipFill>
        <a:blip xmlns:r="http://schemas.openxmlformats.org/officeDocument/2006/relationships" r:embed="rId6"/>
        <a:stretch>
          <a:fillRect/>
        </a:stretch>
      </xdr:blipFill>
      <xdr:spPr>
        <a:xfrm>
          <a:off x="5762626" y="1975592"/>
          <a:ext cx="7858124" cy="234209"/>
        </a:xfrm>
        <a:prstGeom prst="rect">
          <a:avLst/>
        </a:prstGeom>
      </xdr:spPr>
    </xdr:pic>
    <xdr:clientData/>
  </xdr:twoCellAnchor>
  <xdr:twoCellAnchor editAs="oneCell">
    <xdr:from>
      <xdr:col>15</xdr:col>
      <xdr:colOff>447675</xdr:colOff>
      <xdr:row>6</xdr:row>
      <xdr:rowOff>536895</xdr:rowOff>
    </xdr:from>
    <xdr:to>
      <xdr:col>20</xdr:col>
      <xdr:colOff>209550</xdr:colOff>
      <xdr:row>8</xdr:row>
      <xdr:rowOff>57114</xdr:rowOff>
    </xdr:to>
    <xdr:pic>
      <xdr:nvPicPr>
        <xdr:cNvPr id="7" name="图片 6">
          <a:extLst>
            <a:ext uri="{FF2B5EF4-FFF2-40B4-BE49-F238E27FC236}">
              <a16:creationId xmlns:a16="http://schemas.microsoft.com/office/drawing/2014/main" id="{8973472A-77B0-9774-F276-7F86DE3FBDDB}"/>
            </a:ext>
          </a:extLst>
        </xdr:cNvPr>
        <xdr:cNvPicPr>
          <a:picLocks noChangeAspect="1"/>
        </xdr:cNvPicPr>
      </xdr:nvPicPr>
      <xdr:blipFill>
        <a:blip xmlns:r="http://schemas.openxmlformats.org/officeDocument/2006/relationships" r:embed="rId7"/>
        <a:stretch>
          <a:fillRect/>
        </a:stretch>
      </xdr:blipFill>
      <xdr:spPr>
        <a:xfrm>
          <a:off x="13611225" y="1975170"/>
          <a:ext cx="3838575" cy="244119"/>
        </a:xfrm>
        <a:prstGeom prst="rect">
          <a:avLst/>
        </a:prstGeom>
      </xdr:spPr>
    </xdr:pic>
    <xdr:clientData/>
  </xdr:twoCellAnchor>
  <xdr:twoCellAnchor editAs="oneCell">
    <xdr:from>
      <xdr:col>4</xdr:col>
      <xdr:colOff>685799</xdr:colOff>
      <xdr:row>13</xdr:row>
      <xdr:rowOff>0</xdr:rowOff>
    </xdr:from>
    <xdr:to>
      <xdr:col>16</xdr:col>
      <xdr:colOff>516041</xdr:colOff>
      <xdr:row>15</xdr:row>
      <xdr:rowOff>266699</xdr:rowOff>
    </xdr:to>
    <xdr:pic>
      <xdr:nvPicPr>
        <xdr:cNvPr id="8" name="图片 7">
          <a:extLst>
            <a:ext uri="{FF2B5EF4-FFF2-40B4-BE49-F238E27FC236}">
              <a16:creationId xmlns:a16="http://schemas.microsoft.com/office/drawing/2014/main" id="{35E324A2-A24F-86CD-881A-BE27DD4EDD2B}"/>
            </a:ext>
          </a:extLst>
        </xdr:cNvPr>
        <xdr:cNvPicPr>
          <a:picLocks noChangeAspect="1"/>
        </xdr:cNvPicPr>
      </xdr:nvPicPr>
      <xdr:blipFill>
        <a:blip xmlns:r="http://schemas.openxmlformats.org/officeDocument/2006/relationships" r:embed="rId8"/>
        <a:stretch>
          <a:fillRect/>
        </a:stretch>
      </xdr:blipFill>
      <xdr:spPr>
        <a:xfrm>
          <a:off x="5762624" y="3019425"/>
          <a:ext cx="8793267" cy="895349"/>
        </a:xfrm>
        <a:prstGeom prst="rect">
          <a:avLst/>
        </a:prstGeom>
      </xdr:spPr>
    </xdr:pic>
    <xdr:clientData/>
  </xdr:twoCellAnchor>
  <xdr:twoCellAnchor editAs="oneCell">
    <xdr:from>
      <xdr:col>16</xdr:col>
      <xdr:colOff>657225</xdr:colOff>
      <xdr:row>13</xdr:row>
      <xdr:rowOff>9525</xdr:rowOff>
    </xdr:from>
    <xdr:to>
      <xdr:col>20</xdr:col>
      <xdr:colOff>238125</xdr:colOff>
      <xdr:row>15</xdr:row>
      <xdr:rowOff>163366</xdr:rowOff>
    </xdr:to>
    <xdr:pic>
      <xdr:nvPicPr>
        <xdr:cNvPr id="9" name="图片 8">
          <a:extLst>
            <a:ext uri="{FF2B5EF4-FFF2-40B4-BE49-F238E27FC236}">
              <a16:creationId xmlns:a16="http://schemas.microsoft.com/office/drawing/2014/main" id="{194EB31A-FBE3-B39E-6656-DF7D4E7A9479}"/>
            </a:ext>
          </a:extLst>
        </xdr:cNvPr>
        <xdr:cNvPicPr>
          <a:picLocks noChangeAspect="1"/>
        </xdr:cNvPicPr>
      </xdr:nvPicPr>
      <xdr:blipFill>
        <a:blip xmlns:r="http://schemas.openxmlformats.org/officeDocument/2006/relationships" r:embed="rId9"/>
        <a:stretch>
          <a:fillRect/>
        </a:stretch>
      </xdr:blipFill>
      <xdr:spPr>
        <a:xfrm>
          <a:off x="14506575" y="3028950"/>
          <a:ext cx="2971800" cy="782491"/>
        </a:xfrm>
        <a:prstGeom prst="rect">
          <a:avLst/>
        </a:prstGeom>
      </xdr:spPr>
    </xdr:pic>
    <xdr:clientData/>
  </xdr:twoCellAnchor>
  <xdr:twoCellAnchor editAs="oneCell">
    <xdr:from>
      <xdr:col>4</xdr:col>
      <xdr:colOff>666750</xdr:colOff>
      <xdr:row>15</xdr:row>
      <xdr:rowOff>228601</xdr:rowOff>
    </xdr:from>
    <xdr:to>
      <xdr:col>16</xdr:col>
      <xdr:colOff>466725</xdr:colOff>
      <xdr:row>26</xdr:row>
      <xdr:rowOff>3718</xdr:rowOff>
    </xdr:to>
    <xdr:pic>
      <xdr:nvPicPr>
        <xdr:cNvPr id="10" name="图片 9">
          <a:extLst>
            <a:ext uri="{FF2B5EF4-FFF2-40B4-BE49-F238E27FC236}">
              <a16:creationId xmlns:a16="http://schemas.microsoft.com/office/drawing/2014/main" id="{26B86995-D52B-341E-630B-681B75ED3B0D}"/>
            </a:ext>
          </a:extLst>
        </xdr:cNvPr>
        <xdr:cNvPicPr>
          <a:picLocks noChangeAspect="1"/>
        </xdr:cNvPicPr>
      </xdr:nvPicPr>
      <xdr:blipFill>
        <a:blip xmlns:r="http://schemas.openxmlformats.org/officeDocument/2006/relationships" r:embed="rId10"/>
        <a:stretch>
          <a:fillRect/>
        </a:stretch>
      </xdr:blipFill>
      <xdr:spPr>
        <a:xfrm>
          <a:off x="5743575" y="3876676"/>
          <a:ext cx="8763000" cy="3232692"/>
        </a:xfrm>
        <a:prstGeom prst="rect">
          <a:avLst/>
        </a:prstGeom>
      </xdr:spPr>
    </xdr:pic>
    <xdr:clientData/>
  </xdr:twoCellAnchor>
  <xdr:twoCellAnchor editAs="oneCell">
    <xdr:from>
      <xdr:col>16</xdr:col>
      <xdr:colOff>638176</xdr:colOff>
      <xdr:row>15</xdr:row>
      <xdr:rowOff>228600</xdr:rowOff>
    </xdr:from>
    <xdr:to>
      <xdr:col>20</xdr:col>
      <xdr:colOff>390526</xdr:colOff>
      <xdr:row>25</xdr:row>
      <xdr:rowOff>237307</xdr:rowOff>
    </xdr:to>
    <xdr:pic>
      <xdr:nvPicPr>
        <xdr:cNvPr id="17" name="图片 16">
          <a:extLst>
            <a:ext uri="{FF2B5EF4-FFF2-40B4-BE49-F238E27FC236}">
              <a16:creationId xmlns:a16="http://schemas.microsoft.com/office/drawing/2014/main" id="{7395DEC0-80BD-FE2F-1BBB-DB3B3663F899}"/>
            </a:ext>
          </a:extLst>
        </xdr:cNvPr>
        <xdr:cNvPicPr>
          <a:picLocks noChangeAspect="1"/>
        </xdr:cNvPicPr>
      </xdr:nvPicPr>
      <xdr:blipFill>
        <a:blip xmlns:r="http://schemas.openxmlformats.org/officeDocument/2006/relationships" r:embed="rId11"/>
        <a:stretch>
          <a:fillRect/>
        </a:stretch>
      </xdr:blipFill>
      <xdr:spPr>
        <a:xfrm>
          <a:off x="14487526" y="3876675"/>
          <a:ext cx="3143250" cy="3151957"/>
        </a:xfrm>
        <a:prstGeom prst="rect">
          <a:avLst/>
        </a:prstGeom>
      </xdr:spPr>
    </xdr:pic>
    <xdr:clientData/>
  </xdr:twoCellAnchor>
  <xdr:twoCellAnchor editAs="oneCell">
    <xdr:from>
      <xdr:col>5</xdr:col>
      <xdr:colOff>847725</xdr:colOff>
      <xdr:row>26</xdr:row>
      <xdr:rowOff>195416</xdr:rowOff>
    </xdr:from>
    <xdr:to>
      <xdr:col>14</xdr:col>
      <xdr:colOff>408578</xdr:colOff>
      <xdr:row>36</xdr:row>
      <xdr:rowOff>9067</xdr:rowOff>
    </xdr:to>
    <xdr:pic>
      <xdr:nvPicPr>
        <xdr:cNvPr id="11" name="图片 10">
          <a:extLst>
            <a:ext uri="{FF2B5EF4-FFF2-40B4-BE49-F238E27FC236}">
              <a16:creationId xmlns:a16="http://schemas.microsoft.com/office/drawing/2014/main" id="{22F10BAC-DEDE-F67C-8717-2621A6500489}"/>
            </a:ext>
          </a:extLst>
        </xdr:cNvPr>
        <xdr:cNvPicPr>
          <a:picLocks noChangeAspect="1"/>
        </xdr:cNvPicPr>
      </xdr:nvPicPr>
      <xdr:blipFill>
        <a:blip xmlns:r="http://schemas.openxmlformats.org/officeDocument/2006/relationships" r:embed="rId12"/>
        <a:stretch>
          <a:fillRect/>
        </a:stretch>
      </xdr:blipFill>
      <xdr:spPr>
        <a:xfrm>
          <a:off x="6686550" y="7301066"/>
          <a:ext cx="6428378" cy="2956901"/>
        </a:xfrm>
        <a:prstGeom prst="rect">
          <a:avLst/>
        </a:prstGeom>
      </xdr:spPr>
    </xdr:pic>
    <xdr:clientData/>
  </xdr:twoCellAnchor>
  <xdr:twoCellAnchor editAs="oneCell">
    <xdr:from>
      <xdr:col>0</xdr:col>
      <xdr:colOff>371475</xdr:colOff>
      <xdr:row>53</xdr:row>
      <xdr:rowOff>68735</xdr:rowOff>
    </xdr:from>
    <xdr:to>
      <xdr:col>4</xdr:col>
      <xdr:colOff>522824</xdr:colOff>
      <xdr:row>71</xdr:row>
      <xdr:rowOff>66059</xdr:rowOff>
    </xdr:to>
    <xdr:pic>
      <xdr:nvPicPr>
        <xdr:cNvPr id="12" name="图片 11">
          <a:extLst>
            <a:ext uri="{FF2B5EF4-FFF2-40B4-BE49-F238E27FC236}">
              <a16:creationId xmlns:a16="http://schemas.microsoft.com/office/drawing/2014/main" id="{851766EA-6F49-3F64-88C0-56703273DAFC}"/>
            </a:ext>
          </a:extLst>
        </xdr:cNvPr>
        <xdr:cNvPicPr>
          <a:picLocks noChangeAspect="1"/>
        </xdr:cNvPicPr>
      </xdr:nvPicPr>
      <xdr:blipFill>
        <a:blip xmlns:r="http://schemas.openxmlformats.org/officeDocument/2006/relationships" r:embed="rId13"/>
        <a:stretch>
          <a:fillRect/>
        </a:stretch>
      </xdr:blipFill>
      <xdr:spPr>
        <a:xfrm>
          <a:off x="371475" y="13375160"/>
          <a:ext cx="5266274" cy="3083424"/>
        </a:xfrm>
        <a:prstGeom prst="rect">
          <a:avLst/>
        </a:prstGeom>
      </xdr:spPr>
    </xdr:pic>
    <xdr:clientData/>
  </xdr:twoCellAnchor>
  <xdr:twoCellAnchor editAs="oneCell">
    <xdr:from>
      <xdr:col>0</xdr:col>
      <xdr:colOff>361951</xdr:colOff>
      <xdr:row>72</xdr:row>
      <xdr:rowOff>104776</xdr:rowOff>
    </xdr:from>
    <xdr:to>
      <xdr:col>4</xdr:col>
      <xdr:colOff>600075</xdr:colOff>
      <xdr:row>78</xdr:row>
      <xdr:rowOff>31762</xdr:rowOff>
    </xdr:to>
    <xdr:pic>
      <xdr:nvPicPr>
        <xdr:cNvPr id="13" name="图片 12">
          <a:extLst>
            <a:ext uri="{FF2B5EF4-FFF2-40B4-BE49-F238E27FC236}">
              <a16:creationId xmlns:a16="http://schemas.microsoft.com/office/drawing/2014/main" id="{97D147B6-B1A0-BA77-275B-2B47F0B240A4}"/>
            </a:ext>
          </a:extLst>
        </xdr:cNvPr>
        <xdr:cNvPicPr>
          <a:picLocks noChangeAspect="1"/>
        </xdr:cNvPicPr>
      </xdr:nvPicPr>
      <xdr:blipFill>
        <a:blip xmlns:r="http://schemas.openxmlformats.org/officeDocument/2006/relationships" r:embed="rId14"/>
        <a:stretch>
          <a:fillRect/>
        </a:stretch>
      </xdr:blipFill>
      <xdr:spPr>
        <a:xfrm>
          <a:off x="361951" y="16668751"/>
          <a:ext cx="5353049" cy="9556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估价对象为北京市房地产，为所有。根据《国有土地使用证》[]，估价对象（分摊）出让国有建设用地使用权面积为0平方米，建筑面积为80.46平方米。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估价对象为北京市房地产,属开发建设的，该项目尚在开发建设中。根据《国有土地使用证》[]，估价对象（分摊）出让国有建设用地使用权面积为0平方米，规划建筑面积为80.46平方米。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2021年11月21日</v>
      </c>
    </row>
    <row r="13" spans="1:2">
      <c r="A13" s="1117" t="s">
        <v>529</v>
      </c>
      <c r="B13" s="1118" t="str">
        <f>'预评函-1'!A18</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80.459999999999994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44521</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5.07</v>
      </c>
      <c r="D5" s="2761">
        <f>IF(ISERROR(ROUND(POWER(1+E5,A5-C5)*(POWER(1+E5,C5)-1)/(POWER(1+E5,A5)-1),3)),0,ROUND(POWER(1+E5,A5-C5)*(POWER(1+E5,C5)-1)/(POWER(1+E5,A5)-1),4))</f>
        <v>0.2278</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15.08</v>
      </c>
      <c r="D6" s="2761">
        <f>IF(ISERROR(ROUND(POWER(1+E6,A6-C6)*(POWER(1+E6,C6)-1)/(POWER(1+E6,A6)-1),3)),0,ROUND(POWER(1+E6,A6-C6)*(POWER(1+E6,C6)-1)/(POWER(1+E6,A6)-1),4))</f>
        <v>0.51959999999999995</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35.1</v>
      </c>
      <c r="D7" s="2761">
        <f>IF(ISERROR(ROUND(POWER(1+E7,A7-C7)*(POWER(1+E7,C7)-1)/(POWER(1+E7,A7)-1),3)),0,ROUND(POWER(1+E7,A7-C7)*(POWER(1+E7,C7)-1)/(POWER(1+E7,A7)-1),4))</f>
        <v>0.79890000000000005</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v>44521</v>
      </c>
      <c r="E3" s="3148">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8">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8">
        <f>I6-1.5*365+70*365</f>
        <v>65660.5</v>
      </c>
      <c r="J7" s="2240"/>
      <c r="K7" s="2396"/>
      <c r="L7" s="2393"/>
      <c r="M7" s="2393"/>
      <c r="N7" s="2240"/>
      <c r="O7" s="1668"/>
      <c r="P7" s="2240"/>
      <c r="Q7" s="2240"/>
      <c r="R7" s="2240"/>
    </row>
    <row r="8" spans="1:30">
      <c r="A8" s="2194" t="s">
        <v>2173</v>
      </c>
      <c r="B8" s="2195"/>
      <c r="C8" s="2196"/>
      <c r="D8" s="3236"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62772</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c r="G16" s="3247"/>
      <c r="H16" s="3247"/>
      <c r="I16" s="3248"/>
      <c r="J16" s="2240"/>
      <c r="K16" s="2397"/>
      <c r="L16" s="1668"/>
      <c r="M16" s="1668"/>
      <c r="N16" s="2240"/>
      <c r="O16" s="1668"/>
      <c r="P16" s="2240"/>
      <c r="Q16" s="2240"/>
      <c r="R16" s="2240"/>
    </row>
    <row r="17" spans="1:28">
      <c r="A17" s="304" t="s">
        <v>2192</v>
      </c>
      <c r="B17" s="293" t="s">
        <v>2193</v>
      </c>
      <c r="C17" s="8">
        <f>'数据-汇总表'!E3</f>
        <v>80.459999999999994</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80.459999999999994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80.459999999999994</v>
      </c>
      <c r="H5" s="13">
        <f t="shared" ref="H5:AT5" si="0">SUM(H13:H656)</f>
        <v>80.459999999999994</v>
      </c>
      <c r="I5" s="13">
        <f t="shared" si="0"/>
        <v>80.459999999999994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80.459999999999994</v>
      </c>
      <c r="BA5" s="15">
        <f t="shared" si="1"/>
        <v>80.459999999999994</v>
      </c>
      <c r="BB5" s="15">
        <f t="shared" si="1"/>
        <v>80.459999999999994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80.459999999999994</v>
      </c>
      <c r="H13" s="17">
        <f>SUMIF(I$12:AB$12,"总值",I13:AB13)</f>
        <v>80.459999999999994</v>
      </c>
      <c r="I13" s="1512">
        <v>80.459999999999994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80.459999999999994</v>
      </c>
      <c r="BA13" s="13">
        <f>SUM(BB13:BK13)</f>
        <v>80.459999999999994</v>
      </c>
      <c r="BB13" s="13">
        <f>IF($D13="是",I13-J13,0)</f>
        <v>80.459999999999994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80.459999999999994</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80.459999999999994</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80.459999999999994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80.459999999999994</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80.459999999999994</v>
      </c>
      <c r="F19" s="2552">
        <f>'数据-基础表'!I13</f>
        <v>80.459999999999994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80.459999999999994</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80.459999999999994</v>
      </c>
      <c r="F27" s="1071">
        <f>IF(SUM(F19:F26)=E8,SUM(F19:F26),"地上面积有误")</f>
        <v>80.459999999999994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80.459999999999994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80.459999999999994</v>
      </c>
      <c r="F31" s="643">
        <f>F27+F30</f>
        <v>80.459999999999994</v>
      </c>
      <c r="G31" s="644">
        <f>G27+G30</f>
        <v>0</v>
      </c>
      <c r="H31" s="2433"/>
      <c r="I31" s="2433"/>
      <c r="J31" s="2433"/>
      <c r="K31" s="2433"/>
      <c r="L31" s="2433"/>
      <c r="M31" s="2433"/>
      <c r="N31" s="2433"/>
      <c r="O31" s="2433"/>
      <c r="P31" s="2433"/>
    </row>
    <row r="32" spans="1:19">
      <c r="A32" s="1524"/>
      <c r="B32" s="1524" t="s">
        <v>1159</v>
      </c>
      <c r="C32" s="1524"/>
      <c r="D32" s="1524"/>
      <c r="E32" s="989">
        <f>SUMIF(C19:C26,"*住宅*",E19:E26)</f>
        <v>80.459999999999994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44521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62772</v>
      </c>
      <c r="F6" s="61">
        <f>SUMIF(项目基本情况!C$12:I$12,C6,项目基本情况!C$15:I$15)</f>
        <v>50</v>
      </c>
      <c r="G6" s="62">
        <f t="shared" ref="G6:G13" si="0">IF(ISERROR(ROUND(POWER(1+H6,D6-F6)*(POWER(1+H6,F6)-1)/(POWER(1+H6,D6)-1),3)),0,ROUND(POWER(1+H6,D6-F6)*(POWER(1+H6,F6)-1)/(POWER(1+H6,D6)-1),3))</f>
        <v>0.90200000000000002</v>
      </c>
      <c r="H6" s="690">
        <v>3.5000000000000003E-2</v>
      </c>
      <c r="I6" s="690">
        <v>0.04</v>
      </c>
      <c r="J6" s="63">
        <v>4.4999999999999998E-2</v>
      </c>
      <c r="K6" s="969">
        <f>SUMIF('数据-汇总表'!C$19:C$33,A6,'数据-汇总表'!E$19:E$33)</f>
        <v>80.459999999999994</v>
      </c>
      <c r="L6" s="3178">
        <v>3500</v>
      </c>
      <c r="M6" s="64">
        <f t="shared" ref="M6:M14" si="1">ROUND(K6*L6/10000,0)</f>
        <v>28</v>
      </c>
      <c r="N6" s="3188">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160</v>
      </c>
      <c r="V6" s="67">
        <v>3.5000000000000003E-2</v>
      </c>
      <c r="W6" s="67">
        <v>0.05</v>
      </c>
      <c r="X6" s="978"/>
      <c r="Y6" s="68">
        <f>N6</f>
        <v>0.75</v>
      </c>
      <c r="Z6" s="69"/>
      <c r="AA6" s="63"/>
      <c r="AB6" s="63"/>
      <c r="AC6" s="978"/>
      <c r="AD6" s="70"/>
      <c r="AE6" s="979">
        <f ca="1">IF(AN6="",0,SUMIF(INDIRECT("'"&amp;AN6&amp;"'"&amp;"!E:E"),$AE$5,INDIRECT("'"&amp;AN6&amp;"'"&amp;"!F:F")))</f>
        <v>50</v>
      </c>
      <c r="AF6" s="74"/>
      <c r="AG6" s="129">
        <f>IF(AF6="",0,AE6-AF6)</f>
        <v>0</v>
      </c>
      <c r="AH6" s="71"/>
      <c r="AI6" s="73">
        <v>12</v>
      </c>
      <c r="AJ6" s="74"/>
      <c r="AK6" s="75">
        <v>0.01</v>
      </c>
      <c r="AL6" s="76">
        <v>1E-3</v>
      </c>
      <c r="AM6" s="77">
        <v>5.0000000000000001E-3</v>
      </c>
      <c r="AN6" s="1587" t="s">
        <v>3394</v>
      </c>
      <c r="AO6" s="50">
        <f ca="1">SUMIF(INDIRECT("'"&amp;AN6&amp;"'"&amp;"!A:A"),"总价",INDIRECT("'"&amp;AN6&amp;"'"&amp;"!B:B"))</f>
        <v>590.56290000000001</v>
      </c>
      <c r="AP6" s="1588">
        <f>IF(C6="住宅",K6*L6,0)</f>
        <v>281610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0.90200000000000002</v>
      </c>
      <c r="H16" s="84">
        <f>ROUND(SUMPRODUCT(H6:H13,K6:K13)/SUMPRODUCT((H6:H13&gt;0)*(K6:K13)),3)</f>
        <v>3.5000000000000003E-2</v>
      </c>
      <c r="I16" s="85"/>
      <c r="J16" s="85"/>
      <c r="K16" s="86">
        <f>SUM(K6:K15)</f>
        <v>80.459999999999994</v>
      </c>
      <c r="L16" s="87">
        <f>ROUND(M16*10000/SUM(K6:K14),0)</f>
        <v>3480</v>
      </c>
      <c r="M16" s="87">
        <f>SUM(M6:M14)</f>
        <v>28</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2003</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5">
        <v>2</v>
      </c>
      <c r="C20" s="2556" t="s">
        <v>2298</v>
      </c>
      <c r="D20" s="2446"/>
      <c r="E20" s="2433"/>
      <c r="F20" s="2433"/>
      <c r="G20" s="2433"/>
      <c r="H20" s="2433"/>
      <c r="I20" s="2433"/>
      <c r="J20" s="2433"/>
      <c r="K20" s="2444"/>
      <c r="L20" s="2444"/>
      <c r="M20" s="3149">
        <f>2021-M19</f>
        <v>18</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5">
        <f>B20</f>
        <v>2</v>
      </c>
      <c r="C21" s="2433"/>
      <c r="D21" s="2446"/>
      <c r="E21" s="2433"/>
      <c r="F21" s="2433"/>
      <c r="G21" s="2433"/>
      <c r="H21" s="2433"/>
      <c r="I21" s="2433"/>
      <c r="J21" s="2433"/>
      <c r="K21" s="2444"/>
      <c r="L21" s="2444"/>
      <c r="M21" s="3150">
        <f>1-(M20)/60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0.8</v>
      </c>
      <c r="N22" s="3139">
        <f>ROUND(AVERAGE(M21:M22),3)</f>
        <v>0.75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12874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7">
        <v>8.9999999999999993E-3</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3469</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3471</v>
      </c>
      <c r="D6" s="2260"/>
      <c r="E6" s="2264"/>
      <c r="F6" s="314" t="s">
        <v>2260</v>
      </c>
      <c r="G6" s="2265" t="s">
        <v>2261</v>
      </c>
      <c r="H6" s="750"/>
      <c r="I6" s="750"/>
      <c r="J6" s="750"/>
      <c r="K6" s="750"/>
      <c r="L6" s="750"/>
      <c r="M6" s="750"/>
      <c r="N6" s="750"/>
      <c r="O6" s="750"/>
      <c r="P6" s="750"/>
      <c r="Q6" s="750"/>
    </row>
    <row r="7" spans="1:29" ht="156.75" thickBot="1">
      <c r="A7" s="2243"/>
      <c r="B7" s="314" t="s">
        <v>2257</v>
      </c>
      <c r="C7" s="3155" t="s">
        <v>3472</v>
      </c>
      <c r="D7" s="2240"/>
      <c r="E7" s="2266"/>
      <c r="F7" s="2267" t="s">
        <v>2262</v>
      </c>
      <c r="G7" s="2268" t="s">
        <v>2263</v>
      </c>
      <c r="H7" s="750"/>
      <c r="I7" s="750"/>
      <c r="J7" s="750"/>
      <c r="K7" s="750"/>
      <c r="L7" s="750"/>
      <c r="M7" s="750"/>
      <c r="N7" s="750"/>
      <c r="O7" s="750"/>
      <c r="P7" s="750"/>
      <c r="Q7" s="750"/>
    </row>
    <row r="8" spans="1:29">
      <c r="A8" s="2243"/>
      <c r="B8" s="314" t="s">
        <v>2260</v>
      </c>
      <c r="C8" s="3155" t="s">
        <v>3453</v>
      </c>
      <c r="D8" s="2240"/>
      <c r="E8" s="2240"/>
      <c r="F8" s="120"/>
      <c r="G8" s="120"/>
      <c r="H8" s="750"/>
      <c r="I8" s="750"/>
      <c r="J8" s="750"/>
      <c r="K8" s="750"/>
      <c r="L8" s="750"/>
      <c r="M8" s="750"/>
      <c r="N8" s="750"/>
      <c r="O8" s="750"/>
      <c r="P8" s="750"/>
      <c r="Q8" s="750"/>
    </row>
    <row r="9" spans="1:29" ht="60">
      <c r="A9" s="2243"/>
      <c r="B9" s="314" t="s">
        <v>2264</v>
      </c>
      <c r="C9" s="3158" t="s">
        <v>3473</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周边有南门仓社区、豆瓣小区、竹竿小区、朝内小区等住宅小区，居住社区成熟度较好。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周边有24路、58路、63路、101路、109路等多条公交线路，地铁2号线与6号线换乘站朝阳门站，地铁5号线与6号线换乘站东四站，综合评价交通便捷度好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自然环境：东四奥林匹克社区公园等自然水系景观；
人文环境：孚王府、南豆芽清真寺、中央歌剧院等人文场所；
综合评价环境状况较好。</v>
      </c>
      <c r="D20" s="2240"/>
      <c r="E20" s="2248"/>
      <c r="F20" s="314" t="s">
        <v>2260</v>
      </c>
      <c r="G20" s="2288" t="str">
        <f>G6</f>
        <v>估价对象所在区域基础设施水平</v>
      </c>
    </row>
    <row r="21" spans="1:17" ht="165.75">
      <c r="A21" s="2247"/>
      <c r="B21" s="314" t="s">
        <v>2257</v>
      </c>
      <c r="C21" s="2288" t="str">
        <f>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80.459999999999994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44521</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926.85900000000004</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80.459999999999994</v>
      </c>
      <c r="C14" s="2300"/>
      <c r="D14" s="2300">
        <f ca="1">ROUND(E14*B14/10000,4)</f>
        <v>926.85900000000004</v>
      </c>
      <c r="E14" s="2300">
        <f ca="1">结果表!G20</f>
        <v>115195</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H25" sqref="H25"/>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80.459999999999994</v>
      </c>
      <c r="M18" s="293">
        <f>IF(C1="",'数据-汇总表'!E3,SUMIF(项目类型,C1,'数据-汇总表'!E17:E26))</f>
        <v>80.459999999999994</v>
      </c>
    </row>
    <row r="19" spans="1:36" ht="15">
      <c r="A19" s="1628" t="s">
        <v>1290</v>
      </c>
      <c r="B19" s="1629" t="s">
        <v>1291</v>
      </c>
      <c r="C19" s="125">
        <f ca="1">SUMIF(INDIRECT("'"&amp;C4&amp;"'"&amp;"!A:A"),结果表!B19,INDIRECT("'"&amp;C4&amp;"'"&amp;"!B:B"))</f>
        <v>590.56290000000001</v>
      </c>
      <c r="D19" s="126">
        <f ca="1">SUMIF(INDIRECT("'"&amp;D4&amp;"'"&amp;"!A:A"),结果表!B19,INDIRECT("'"&amp;D4&amp;"'"&amp;"!B:B"))</f>
        <v>1010.9316</v>
      </c>
      <c r="E19" s="1628" t="s">
        <v>1292</v>
      </c>
      <c r="F19" s="1629" t="s">
        <v>1291</v>
      </c>
      <c r="G19" s="3162">
        <f ca="1">ROUND((G20*'数据-基础表'!I13)/10000,4)</f>
        <v>926.85900000000004</v>
      </c>
      <c r="H19" s="1630" t="s">
        <v>1293</v>
      </c>
      <c r="I19" s="120">
        <f ca="1">G20*69.1/10000</f>
        <v>795.99744999999996</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73398</v>
      </c>
      <c r="D20" s="129">
        <f ca="1">SUMIF(INDIRECT("'"&amp;D4&amp;"'"&amp;"!A:A"),结果表!B20,INDIRECT("'"&amp;D4&amp;"'"&amp;"!B:B"))</f>
        <v>125644</v>
      </c>
      <c r="E20" s="1631"/>
      <c r="F20" s="43" t="s">
        <v>1295</v>
      </c>
      <c r="G20" s="130">
        <f ca="1">ROUND(C20*$C$18+D20*$D$18,0)</f>
        <v>115195</v>
      </c>
      <c r="H20" s="759" t="s">
        <v>1296</v>
      </c>
      <c r="I20" s="120">
        <f ca="1">G20/122000</f>
        <v>0.94422131147540989</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0.71181020683825547</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926.85900000000004</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5" t="s">
        <v>3448</v>
      </c>
      <c r="B27" s="133">
        <f>'数据-基础表'!I13</f>
        <v>80.459999999999994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115195</v>
      </c>
      <c r="D30" s="3166">
        <f ca="1">ROUND((G19*10000-D27)/10000,4)</f>
        <v>926.85900000000004</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115195</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44521</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590.56290000000001</v>
      </c>
      <c r="D102" s="2366">
        <f ca="1">IF(D32="楼面单价",ROUND(D19,0),D19)</f>
        <v>1010.9316</v>
      </c>
      <c r="E102" s="3286"/>
      <c r="F102" s="3287"/>
      <c r="G102" s="1685" t="s">
        <v>1434</v>
      </c>
      <c r="H102" s="2335" t="e">
        <f ca="1">I118</f>
        <v>#REF!</v>
      </c>
      <c r="I102" s="120"/>
    </row>
    <row r="103" spans="1:35" ht="42.75" customHeight="1">
      <c r="A103" s="3318"/>
      <c r="B103" s="2364" t="s">
        <v>1434</v>
      </c>
      <c r="C103" s="2367">
        <f ca="1">C20</f>
        <v>73398</v>
      </c>
      <c r="D103" s="2368">
        <f ca="1">D20</f>
        <v>125644</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80.459999999999994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18506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2300025</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12874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12874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80.459999999999994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80.459999999999994</v>
      </c>
      <c r="E19" s="202">
        <f>'数据-取费表'!B31</f>
        <v>200</v>
      </c>
      <c r="F19" s="222"/>
      <c r="G19" s="1712"/>
    </row>
    <row r="20" spans="1:7" s="205" customFormat="1" ht="13.5" customHeight="1">
      <c r="A20" s="246" t="s">
        <v>1493</v>
      </c>
      <c r="B20" s="201" t="s">
        <v>1494</v>
      </c>
      <c r="C20" s="223">
        <f ca="1">ROUND((C5+C19)*F20,0)</f>
        <v>258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1264</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1252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12</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2627</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2627</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18471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32</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28</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2</v>
      </c>
      <c r="D37" s="208">
        <f ca="1">D19</f>
        <v>80.459999999999994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7</v>
      </c>
      <c r="D45" s="226">
        <f ca="1">C47</f>
        <v>4.0000000000000001E-3</v>
      </c>
      <c r="E45" s="227" t="s">
        <v>1539</v>
      </c>
      <c r="F45" s="237">
        <f ca="1">F27</f>
        <v>0.2</v>
      </c>
      <c r="G45" s="238" t="s">
        <v>1548</v>
      </c>
    </row>
    <row r="46" spans="1:7" s="205" customFormat="1" ht="13.5" customHeight="1">
      <c r="A46" s="733" t="s">
        <v>346</v>
      </c>
      <c r="B46" s="239" t="s">
        <v>1549</v>
      </c>
      <c r="C46" s="240">
        <f ca="1">ROUND((C33+C39)*F27,0)</f>
        <v>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46</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35</v>
      </c>
      <c r="D51" s="223"/>
      <c r="E51" s="223"/>
      <c r="F51" s="255"/>
      <c r="G51" s="225" t="s">
        <v>1560</v>
      </c>
    </row>
    <row r="52" spans="1:7" s="199" customFormat="1" ht="16.5" thickBot="1">
      <c r="A52" s="256" t="s">
        <v>1561</v>
      </c>
      <c r="B52" s="257"/>
      <c r="C52" s="258">
        <f ca="1">C31+C51</f>
        <v>18506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15312</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1903057</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80.459999999999994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80.459999999999994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-12873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80.459999999999994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-12873</v>
      </c>
      <c r="D21" s="766"/>
      <c r="E21" s="272"/>
      <c r="F21" s="272"/>
      <c r="G21" s="122" t="s">
        <v>1629</v>
      </c>
      <c r="H21" s="758"/>
      <c r="I21" s="758"/>
      <c r="J21" s="758"/>
      <c r="K21" s="759"/>
    </row>
    <row r="22" spans="1:33" s="754" customFormat="1" ht="13.5" customHeight="1">
      <c r="A22" s="743" t="s">
        <v>1601</v>
      </c>
      <c r="B22" s="764" t="s">
        <v>1630</v>
      </c>
      <c r="C22" s="765">
        <f ca="1">ROUND(C21*F22,0)</f>
        <v>-257</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-2626</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-2626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15312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abSelected="1" view="pageBreakPreview" topLeftCell="A25" zoomScale="90" zoomScaleNormal="70" zoomScaleSheetLayoutView="90" workbookViewId="0">
      <selection activeCell="C31" activeCellId="1" sqref="C36:C38 C3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590.56290000000001</v>
      </c>
      <c r="C2" s="1287" t="s">
        <v>879</v>
      </c>
      <c r="D2" s="1373">
        <f ca="1">C40+J29+L46</f>
        <v>5905629</v>
      </c>
      <c r="E2" s="1293" t="s">
        <v>880</v>
      </c>
      <c r="F2" s="1294"/>
      <c r="G2" s="2473"/>
      <c r="H2" s="2463"/>
      <c r="I2" s="2463"/>
      <c r="J2" s="2463"/>
      <c r="K2" s="2464"/>
      <c r="L2" s="2463"/>
      <c r="M2" s="2463"/>
    </row>
    <row r="3" spans="1:37" ht="18" customHeight="1" thickBot="1">
      <c r="A3" s="1295" t="s">
        <v>881</v>
      </c>
      <c r="B3" s="1296">
        <f ca="1">IF(ISERROR(D2/F43),0,ROUND(D2/F43,0))</f>
        <v>73398</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146942</v>
      </c>
      <c r="D5" s="1271" t="s">
        <v>889</v>
      </c>
      <c r="E5" s="1007"/>
      <c r="F5" s="1008"/>
      <c r="G5" s="1290"/>
      <c r="H5" s="290">
        <v>1</v>
      </c>
      <c r="I5" s="291" t="s">
        <v>888</v>
      </c>
      <c r="J5" s="1006">
        <f ca="1">J6+J10+J12</f>
        <v>0</v>
      </c>
      <c r="K5" s="1271" t="s">
        <v>889</v>
      </c>
      <c r="L5" s="1007"/>
      <c r="M5" s="1008"/>
    </row>
    <row r="6" spans="1:37" ht="18" customHeight="1">
      <c r="A6" s="1005" t="s">
        <v>398</v>
      </c>
      <c r="B6" s="3378" t="s">
        <v>694</v>
      </c>
      <c r="C6" s="1010">
        <f ca="1">ROUND(F6*F8*F7*(1-F9),0)</f>
        <v>146759</v>
      </c>
      <c r="D6" s="146" t="s">
        <v>2103</v>
      </c>
      <c r="E6" s="293" t="s">
        <v>696</v>
      </c>
      <c r="F6" s="294">
        <f ca="1">INDIRECT("'数据-取费表'!u"&amp;$G$1)</f>
        <v>160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80.459999999999994</v>
      </c>
      <c r="G7" s="1290"/>
      <c r="H7" s="295"/>
      <c r="I7" s="3379"/>
      <c r="J7" s="297"/>
      <c r="K7" s="298"/>
      <c r="L7" s="293" t="s">
        <v>697</v>
      </c>
      <c r="M7" s="294">
        <f ca="1">F7</f>
        <v>80.459999999999994</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183</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335945</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281610</v>
      </c>
      <c r="D14" s="1255" t="s">
        <v>708</v>
      </c>
      <c r="E14" s="1253"/>
      <c r="F14" s="310"/>
      <c r="G14" s="1290"/>
      <c r="H14" s="927" t="s">
        <v>398</v>
      </c>
      <c r="I14" s="293" t="s">
        <v>709</v>
      </c>
      <c r="J14" s="21">
        <f ca="1">C29</f>
        <v>447926</v>
      </c>
      <c r="K14" s="12"/>
      <c r="L14" s="758"/>
      <c r="M14" s="759"/>
    </row>
    <row r="15" spans="1:37" s="1302" customFormat="1" ht="18" customHeight="1" thickBot="1">
      <c r="A15" s="927" t="s">
        <v>399</v>
      </c>
      <c r="B15" s="293" t="s">
        <v>710</v>
      </c>
      <c r="C15" s="21">
        <f ca="1">ROUND(C14*F15,0)</f>
        <v>8448</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14081</v>
      </c>
      <c r="D16" s="293" t="s">
        <v>711</v>
      </c>
      <c r="E16" s="293" t="s">
        <v>712</v>
      </c>
      <c r="F16" s="313">
        <f ca="1">IF(INDIRECT("'数据-取费表'!c"&amp;$G$1)="住宅",'数据-取费表'!B34,0)</f>
        <v>0.05</v>
      </c>
      <c r="G16" s="1290"/>
      <c r="H16" s="1015" t="s">
        <v>393</v>
      </c>
      <c r="I16" s="1016" t="s">
        <v>714</v>
      </c>
      <c r="J16" s="301">
        <f ca="1">ROUND(J17+J22+J23+J24,0)</f>
        <v>4479</v>
      </c>
      <c r="K16" s="1023" t="s">
        <v>715</v>
      </c>
      <c r="L16" s="1024"/>
      <c r="M16" s="1008"/>
    </row>
    <row r="17" spans="1:37" s="1302" customFormat="1" ht="18" customHeight="1">
      <c r="A17" s="927" t="s">
        <v>681</v>
      </c>
      <c r="B17" s="293" t="s">
        <v>716</v>
      </c>
      <c r="C17" s="21">
        <f ca="1">ROUND(F17*(F43+INDIRECT("'数据-取费表'!S"&amp;$G$1)),0)</f>
        <v>16092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4224</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324455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6489</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4479</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15720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528">
        <f ca="1">ROUND(IF('数据-取费表'!B22&lt;=1,F21*F24*F23/2,F21*(POWER((1+F24),F23/2)-1)),4)</f>
        <v>1E-3</v>
      </c>
      <c r="D24" s="137" t="str">
        <f>IF(F23&lt;=1,"销售费用×利率×(建设周期÷2)","销售费用×((1+利率)^(建设周期÷2)-1)")</f>
        <v>销售费用×((1+利率)^(建设周期÷2)-1)</v>
      </c>
      <c r="E24" s="293" t="s">
        <v>747</v>
      </c>
      <c r="F24" s="3186">
        <f ca="1">'数据-取费表'!B40</f>
        <v>4.7500000000000001E-2</v>
      </c>
      <c r="G24" s="1301"/>
      <c r="H24" s="1025" t="s">
        <v>684</v>
      </c>
      <c r="I24" s="1026" t="s">
        <v>728</v>
      </c>
      <c r="J24" s="1027">
        <f ca="1">ROUND(J5*M24,0)</f>
        <v>0</v>
      </c>
      <c r="K24" s="1028" t="s">
        <v>748</v>
      </c>
      <c r="L24" s="1026" t="s">
        <v>744</v>
      </c>
      <c r="M24" s="1022">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-4479</v>
      </c>
      <c r="K25" s="1031" t="s">
        <v>753</v>
      </c>
      <c r="L25" s="1032"/>
      <c r="M25" s="1033"/>
    </row>
    <row r="26" spans="1:37" ht="18" customHeight="1">
      <c r="A26" s="927" t="s">
        <v>397</v>
      </c>
      <c r="B26" s="293" t="s">
        <v>754</v>
      </c>
      <c r="C26" s="21">
        <f ca="1">ROUND((C19+C20)*F26,0)</f>
        <v>66189</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447926</v>
      </c>
      <c r="D29" s="1028"/>
      <c r="E29" s="1026"/>
      <c r="F29" s="1029"/>
      <c r="G29" s="1301"/>
      <c r="H29" s="324" t="s">
        <v>396</v>
      </c>
      <c r="I29" s="325" t="s">
        <v>768</v>
      </c>
      <c r="J29" s="326">
        <f ca="1">ROUND(J26/(1+F40)^F41,0)</f>
        <v>0</v>
      </c>
      <c r="K29" s="327" t="s">
        <v>769</v>
      </c>
      <c r="L29" s="328"/>
      <c r="M29" s="329">
        <f ca="1">INDIRECT("'数据-取费表'!k"&amp;$G$1)</f>
        <v>80.459999999999994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9044</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3494</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4479</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336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735</v>
      </c>
      <c r="D38" s="1028" t="s">
        <v>748</v>
      </c>
      <c r="E38" s="1026" t="s">
        <v>744</v>
      </c>
      <c r="F38" s="1022">
        <f ca="1">INDIRECT("'数据-取费表'!Am"&amp;$G$1)</f>
        <v>5.0000000000000001E-3</v>
      </c>
      <c r="G38" s="1290"/>
      <c r="H38" s="2468"/>
      <c r="I38" s="1303"/>
      <c r="J38" s="1304"/>
      <c r="K38" s="2466"/>
      <c r="L38" s="2468"/>
      <c r="M38" s="2468"/>
    </row>
    <row r="39" spans="1:18" ht="24.6" customHeight="1" thickTop="1">
      <c r="A39" s="1015" t="s">
        <v>394</v>
      </c>
      <c r="B39" s="1030" t="s">
        <v>772</v>
      </c>
      <c r="C39" s="301">
        <f ca="1">C5-C30</f>
        <v>137898</v>
      </c>
      <c r="D39" s="1031" t="s">
        <v>773</v>
      </c>
      <c r="E39" s="1032"/>
      <c r="F39" s="1033"/>
      <c r="G39" s="1290"/>
      <c r="H39" s="2468"/>
      <c r="I39" s="1303"/>
      <c r="J39" s="1304"/>
      <c r="K39" s="2466"/>
      <c r="L39" s="2468"/>
      <c r="M39" s="2468"/>
    </row>
    <row r="40" spans="1:18" ht="18" customHeight="1">
      <c r="A40" s="290" t="s">
        <v>395</v>
      </c>
      <c r="B40" s="291" t="s">
        <v>774</v>
      </c>
      <c r="C40" s="292">
        <f ca="1">ROUND(C39*(1-((1+F42)/(1+F40))^F41)/(F40-F42),0)</f>
        <v>5905629</v>
      </c>
      <c r="D40" s="315" t="s">
        <v>758</v>
      </c>
      <c r="E40" s="293" t="s">
        <v>759</v>
      </c>
      <c r="F40" s="303">
        <f ca="1">INDIRECT("'数据-取费表'!I"&amp;$G$1)</f>
        <v>0.04</v>
      </c>
      <c r="G40" s="1290"/>
      <c r="H40" s="1364"/>
      <c r="I40" s="1303"/>
      <c r="J40" s="1304"/>
      <c r="K40" s="2466"/>
      <c r="L40" s="1364"/>
      <c r="M40" s="1364"/>
    </row>
    <row r="41" spans="1:18" ht="18" customHeight="1">
      <c r="A41" s="295"/>
      <c r="B41" s="296"/>
      <c r="C41" s="297"/>
      <c r="D41" s="322" t="s">
        <v>775</v>
      </c>
      <c r="E41" s="293" t="s">
        <v>763</v>
      </c>
      <c r="F41" s="3189">
        <f ca="1">IF(INDIRECT("'数据-取费表'!af"&amp;$G$1)=0,INDIRECT("'数据-取费表'!ae"&amp;$G$1),INDIRECT("'数据-取费表'!af"&amp;$G$1))</f>
        <v>50</v>
      </c>
      <c r="G41" s="1290"/>
      <c r="H41" s="120"/>
      <c r="I41" s="1303"/>
      <c r="J41" s="1304"/>
      <c r="K41" s="2325"/>
      <c r="L41" s="120"/>
      <c r="M41" s="120"/>
    </row>
    <row r="42" spans="1:18" ht="18" customHeight="1">
      <c r="A42" s="299"/>
      <c r="B42" s="300"/>
      <c r="C42" s="301"/>
      <c r="D42" s="318"/>
      <c r="E42" s="293" t="s">
        <v>766</v>
      </c>
      <c r="F42" s="303">
        <f ca="1">INDIRECT("'数据-取费表'!v"&amp;$G$1)</f>
        <v>3.5000000000000003E-2</v>
      </c>
      <c r="G42" s="1290"/>
      <c r="H42" s="120"/>
      <c r="I42" s="1303"/>
      <c r="J42" s="1304"/>
      <c r="K42" s="2325"/>
      <c r="L42" s="120"/>
      <c r="M42" s="120"/>
    </row>
    <row r="43" spans="1:18" ht="18" customHeight="1" thickBot="1">
      <c r="A43" s="324" t="s">
        <v>396</v>
      </c>
      <c r="B43" s="325" t="s">
        <v>776</v>
      </c>
      <c r="C43" s="326">
        <f ca="1">ROUND(C40/F43,0)</f>
        <v>73398</v>
      </c>
      <c r="D43" s="327" t="s">
        <v>777</v>
      </c>
      <c r="E43" s="328" t="s">
        <v>778</v>
      </c>
      <c r="F43" s="329">
        <f ca="1">INDIRECT("'数据-取费表'!k"&amp;$G$1)</f>
        <v>80.459999999999994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-600.90660000000003</v>
      </c>
      <c r="D45" s="3124" t="s">
        <v>3353</v>
      </c>
      <c r="E45" s="1305"/>
      <c r="F45" s="1305"/>
      <c r="O45" s="1308" t="s">
        <v>808</v>
      </c>
      <c r="P45" s="1364"/>
      <c r="Q45" s="1364"/>
      <c r="R45" s="1364"/>
    </row>
    <row r="46" spans="1:18" s="1290" customFormat="1" ht="13.5" thickBot="1">
      <c r="A46" s="1309" t="s">
        <v>809</v>
      </c>
      <c r="C46" s="1310">
        <f ca="1">ROUND(C45,0)</f>
        <v>-601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5905629</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50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447926</v>
      </c>
      <c r="R49" s="1325" t="s">
        <v>818</v>
      </c>
    </row>
    <row r="50" spans="1:18" s="1290" customFormat="1" ht="13.5" thickBot="1">
      <c r="A50" s="921"/>
      <c r="B50" s="924"/>
      <c r="C50" s="925"/>
      <c r="D50" s="898"/>
      <c r="E50" s="992" t="s">
        <v>697</v>
      </c>
      <c r="F50" s="993">
        <f ca="1">F7</f>
        <v>80.459999999999994</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42</v>
      </c>
      <c r="K51" s="1337" t="s">
        <v>830</v>
      </c>
      <c r="L51" s="1338">
        <f ca="1">ROUND(-PV(INDIRECT("'数据-取费表'!h"&amp;$G$1),J51,(C39-C13*C76),0),0)</f>
        <v>2680897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50</v>
      </c>
      <c r="K53" s="3376" t="s">
        <v>837</v>
      </c>
      <c r="L53" s="3377"/>
      <c r="O53" s="1323" t="s">
        <v>409</v>
      </c>
      <c r="P53" s="1324" t="s">
        <v>838</v>
      </c>
      <c r="Q53" s="1325">
        <f ca="1">Q47+Q48</f>
        <v>5905629</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335945</v>
      </c>
      <c r="D56" s="1350"/>
      <c r="E56" s="1351"/>
      <c r="F56" s="1343"/>
      <c r="I56" s="1352" t="s">
        <v>842</v>
      </c>
      <c r="J56" s="1353" t="s">
        <v>3398</v>
      </c>
      <c r="K56" s="1326" t="s">
        <v>843</v>
      </c>
      <c r="L56" s="1329">
        <f ca="1">IF(L48&lt;J51,"——",L48-J51)</f>
        <v>8</v>
      </c>
      <c r="O56" s="1323" t="s">
        <v>403</v>
      </c>
      <c r="P56" s="1324" t="s">
        <v>817</v>
      </c>
      <c r="Q56" s="1325">
        <f ca="1">C40+J29</f>
        <v>5905629</v>
      </c>
      <c r="R56" s="1325" t="s">
        <v>818</v>
      </c>
    </row>
    <row r="57" spans="1:18" s="1290" customFormat="1" ht="24.75" thickBot="1">
      <c r="A57" s="1354"/>
      <c r="B57" s="895" t="s">
        <v>767</v>
      </c>
      <c r="C57" s="229">
        <f ca="1">C29</f>
        <v>447926</v>
      </c>
      <c r="D57" s="1355"/>
      <c r="E57" s="1356"/>
      <c r="F57" s="1357"/>
      <c r="I57" s="1358" t="s">
        <v>844</v>
      </c>
      <c r="J57" s="1359" t="str">
        <f ca="1">IF(OR(M47="住宅",J51&lt;L48,J56="是"),"——",J51-L48)</f>
        <v>——</v>
      </c>
      <c r="K57" s="1326" t="s">
        <v>892</v>
      </c>
      <c r="L57" s="1329">
        <f ca="1">IF(L48&lt;J51,"——",IF(L55="比较法",L49,IF(L55="基准地价",L50,L51)))</f>
        <v>2680897</v>
      </c>
      <c r="O57" s="1323" t="s">
        <v>404</v>
      </c>
      <c r="P57" s="1324" t="s">
        <v>893</v>
      </c>
      <c r="Q57" s="1325">
        <f ca="1">L60</f>
        <v>0</v>
      </c>
      <c r="R57" s="1325" t="s">
        <v>894</v>
      </c>
    </row>
    <row r="58" spans="1:18" s="1290" customFormat="1" ht="24.75" thickBot="1">
      <c r="A58" s="306" t="s">
        <v>393</v>
      </c>
      <c r="B58" s="903" t="s">
        <v>714</v>
      </c>
      <c r="C58" s="307">
        <f ca="1">ROUND(C59+C64+C65+C66,0)</f>
        <v>4815</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5905629</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4479</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336</v>
      </c>
      <c r="D65" s="909" t="s">
        <v>743</v>
      </c>
      <c r="E65" s="895" t="s">
        <v>744</v>
      </c>
      <c r="F65" s="320">
        <f t="shared" ca="1" si="0"/>
        <v>1E-3</v>
      </c>
      <c r="I65" s="1365" t="s">
        <v>867</v>
      </c>
      <c r="J65" s="609">
        <v>40</v>
      </c>
      <c r="K65" s="609">
        <v>30</v>
      </c>
      <c r="L65" s="609">
        <v>50</v>
      </c>
      <c r="M65" s="1367">
        <v>0.02</v>
      </c>
      <c r="O65" s="1323" t="s">
        <v>403</v>
      </c>
      <c r="P65" s="1324" t="s">
        <v>868</v>
      </c>
      <c r="Q65" s="1325">
        <f ca="1">C40+J29</f>
        <v>5905629</v>
      </c>
      <c r="R65" s="1325" t="s">
        <v>818</v>
      </c>
    </row>
    <row r="66" spans="1:18" s="1290" customFormat="1" ht="16.5" thickBot="1">
      <c r="A66" s="927" t="s">
        <v>793</v>
      </c>
      <c r="B66" s="895" t="s">
        <v>728</v>
      </c>
      <c r="C66" s="21">
        <f ca="1">ROUND(C48*F66,0)</f>
        <v>0</v>
      </c>
      <c r="D66" s="909" t="s">
        <v>794</v>
      </c>
      <c r="E66" s="895" t="s">
        <v>712</v>
      </c>
      <c r="F66" s="303">
        <f t="shared" ca="1" si="0"/>
        <v>5.0000000000000001E-3</v>
      </c>
      <c r="O66" s="1323" t="s">
        <v>404</v>
      </c>
      <c r="P66" s="1324" t="s">
        <v>846</v>
      </c>
      <c r="Q66" s="1325">
        <f ca="1">L60</f>
        <v>0</v>
      </c>
      <c r="R66" s="1325" t="s">
        <v>869</v>
      </c>
    </row>
    <row r="67" spans="1:18" s="1290" customFormat="1" ht="16.5" thickBot="1">
      <c r="A67" s="902" t="s">
        <v>394</v>
      </c>
      <c r="B67" s="912" t="s">
        <v>752</v>
      </c>
      <c r="C67" s="307">
        <f ca="1">C48-C58</f>
        <v>-4815</v>
      </c>
      <c r="D67" s="908" t="s">
        <v>753</v>
      </c>
      <c r="E67" s="913"/>
      <c r="F67" s="914"/>
      <c r="O67" s="1332" t="s">
        <v>405</v>
      </c>
      <c r="P67" s="1324" t="s">
        <v>850</v>
      </c>
      <c r="Q67" s="1368">
        <f ca="1">L51</f>
        <v>2680897</v>
      </c>
      <c r="R67" s="1325" t="s">
        <v>870</v>
      </c>
    </row>
    <row r="68" spans="1:18" s="1290" customFormat="1" ht="16.5" thickBot="1">
      <c r="A68" s="892" t="s">
        <v>395</v>
      </c>
      <c r="B68" s="893" t="s">
        <v>774</v>
      </c>
      <c r="C68" s="292">
        <f ca="1">ROUND(C67*(1-((1+F70)/(1+F68))^F69)/(F68-F70),0)</f>
        <v>-103437</v>
      </c>
      <c r="D68" s="910" t="s">
        <v>758</v>
      </c>
      <c r="E68" s="895" t="s">
        <v>759</v>
      </c>
      <c r="F68" s="303">
        <f ca="1">F40</f>
        <v>0.04</v>
      </c>
      <c r="O68" s="1332" t="s">
        <v>406</v>
      </c>
      <c r="P68" s="1369" t="s">
        <v>871</v>
      </c>
      <c r="Q68" s="1325">
        <f ca="1">ROUND(Q69-Q70*Q71,0)</f>
        <v>122780</v>
      </c>
      <c r="R68" s="1325" t="s">
        <v>414</v>
      </c>
    </row>
    <row r="69" spans="1:18" s="1290" customFormat="1" ht="13.5" thickBot="1">
      <c r="A69" s="896"/>
      <c r="B69" s="897"/>
      <c r="C69" s="297"/>
      <c r="D69" s="915" t="s">
        <v>762</v>
      </c>
      <c r="E69" s="895" t="s">
        <v>763</v>
      </c>
      <c r="F69" s="323">
        <f ca="1">F41</f>
        <v>50</v>
      </c>
      <c r="O69" s="1332" t="s">
        <v>411</v>
      </c>
      <c r="P69" s="1369" t="s">
        <v>872</v>
      </c>
      <c r="Q69" s="1325">
        <f ca="1">C39</f>
        <v>137898</v>
      </c>
      <c r="R69" s="1325" t="s">
        <v>818</v>
      </c>
    </row>
    <row r="70" spans="1:18" s="1290" customFormat="1" ht="13.5" thickBot="1">
      <c r="A70" s="899"/>
      <c r="B70" s="900"/>
      <c r="C70" s="301"/>
      <c r="D70" s="911"/>
      <c r="E70" s="895" t="s">
        <v>766</v>
      </c>
      <c r="F70" s="990"/>
      <c r="O70" s="1332" t="s">
        <v>412</v>
      </c>
      <c r="P70" s="1369" t="s">
        <v>873</v>
      </c>
      <c r="Q70" s="1325">
        <f ca="1">C13</f>
        <v>335945</v>
      </c>
      <c r="R70" s="1325" t="s">
        <v>818</v>
      </c>
    </row>
    <row r="71" spans="1:18" s="1290" customFormat="1" ht="13.5" thickBot="1">
      <c r="A71" s="916" t="s">
        <v>396</v>
      </c>
      <c r="B71" s="917" t="s">
        <v>776</v>
      </c>
      <c r="C71" s="326">
        <f ca="1">ROUND(C68/F71,0)</f>
        <v>-1286</v>
      </c>
      <c r="D71" s="918" t="s">
        <v>777</v>
      </c>
      <c r="E71" s="919" t="s">
        <v>778</v>
      </c>
      <c r="F71" s="329">
        <f ca="1">F43</f>
        <v>80.459999999999994</v>
      </c>
      <c r="O71" s="1332" t="s">
        <v>413</v>
      </c>
      <c r="P71" s="1369" t="s">
        <v>874</v>
      </c>
      <c r="Q71" s="1335">
        <f ca="1">C76</f>
        <v>4.4999999999999998E-2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15118</v>
      </c>
      <c r="D75" s="1290"/>
      <c r="E75" s="1290"/>
      <c r="F75" s="1290"/>
      <c r="K75" s="1307"/>
      <c r="L75" s="1290"/>
      <c r="O75" s="1323" t="s">
        <v>409</v>
      </c>
      <c r="P75" s="1324" t="s">
        <v>838</v>
      </c>
      <c r="Q75" s="1325">
        <f ca="1">Q65+Q66</f>
        <v>5905629</v>
      </c>
      <c r="R75" s="1325" t="s">
        <v>410</v>
      </c>
    </row>
    <row r="76" spans="1:18">
      <c r="B76" s="332" t="s">
        <v>796</v>
      </c>
      <c r="C76" s="333">
        <f ca="1">INDIRECT("'数据-取费表'!j"&amp;$G$1)</f>
        <v>4.4999999999999998E-2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0.89</v>
      </c>
    </row>
    <row r="80" spans="1:18">
      <c r="B80" s="330" t="s">
        <v>800</v>
      </c>
      <c r="C80" s="265">
        <f ca="1">ROUND(C75/C39,3)</f>
        <v>0.11</v>
      </c>
    </row>
    <row r="81" spans="2:3">
      <c r="B81" s="261" t="s">
        <v>801</v>
      </c>
      <c r="C81" s="229"/>
    </row>
    <row r="82" spans="2:3">
      <c r="B82" s="264" t="s">
        <v>802</v>
      </c>
      <c r="C82" s="266">
        <f ca="1">1-C83</f>
        <v>0.94299999999999995</v>
      </c>
    </row>
    <row r="83" spans="2:3">
      <c r="B83" s="264" t="s">
        <v>803</v>
      </c>
      <c r="C83" s="265">
        <f ca="1">ROUND(C13/C40,3)</f>
        <v>5.7000000000000002E-2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590.56290000000001</v>
      </c>
      <c r="C2" s="1727" t="s">
        <v>1651</v>
      </c>
      <c r="D2" s="1728" t="s">
        <v>1652</v>
      </c>
      <c r="E2" s="2387">
        <f>SUM(E6:E13)</f>
        <v>80.459999999999994</v>
      </c>
      <c r="F2" s="2474"/>
      <c r="G2" s="458"/>
      <c r="H2" s="458"/>
      <c r="I2" s="458"/>
      <c r="J2" s="458"/>
      <c r="K2" s="458"/>
      <c r="L2" s="458"/>
      <c r="M2" s="458"/>
      <c r="N2" s="458"/>
      <c r="O2" s="458"/>
      <c r="P2" s="458"/>
      <c r="Q2" s="458"/>
      <c r="R2" s="458"/>
      <c r="S2" s="458"/>
    </row>
    <row r="3" spans="1:22" ht="15.75">
      <c r="A3" s="1726" t="s">
        <v>686</v>
      </c>
      <c r="B3" s="2381">
        <f ca="1">ROUND(B2*10000/E2,0)</f>
        <v>73398</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590.56290000000001</v>
      </c>
      <c r="C6" s="1727" t="s">
        <v>1651</v>
      </c>
      <c r="D6" s="2474"/>
      <c r="E6" s="2386">
        <f>IF(OR(A6=0,F6="否"),0,'数据-取费表'!K6+'数据-取费表'!S6)</f>
        <v>80.459999999999994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84" zoomScale="90" zoomScaleNormal="60" zoomScaleSheetLayoutView="90" workbookViewId="0">
      <selection activeCell="C102" sqref="C102:H10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1010.9316</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125644</v>
      </c>
      <c r="C3" s="343" t="s">
        <v>1665</v>
      </c>
      <c r="D3" s="342">
        <f>IF(D1="",'数据-汇总表'!E3,SUMIF('数据-汇总表'!$C19:$C33,D1,'数据-汇总表'!$E19:$E33))</f>
        <v>80.459999999999994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南弓匠营</v>
      </c>
      <c r="F5" s="3412"/>
      <c r="G5" s="3417" t="str">
        <f>案例!C3</f>
        <v>南门仓</v>
      </c>
      <c r="H5" s="3414"/>
      <c r="I5" s="3417" t="str">
        <f>案例!C4</f>
        <v>南门仓</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f>案例!L2</f>
        <v>44368</v>
      </c>
      <c r="F7" s="356">
        <f>SUMIF(58:58,YEAR(E7)&amp;"-"&amp;MONTH(E7),59:59)</f>
        <v>101</v>
      </c>
      <c r="G7" s="355">
        <f>案例!L3</f>
        <v>44517</v>
      </c>
      <c r="H7" s="354">
        <f>SUMIF(58:58,YEAR(G7)&amp;"-"&amp;MONTH(G7),59:59)</f>
        <v>100</v>
      </c>
      <c r="I7" s="355">
        <f>案例!L4</f>
        <v>44482</v>
      </c>
      <c r="J7" s="354">
        <f>SUMIF(58:58,YEAR(I7)&amp;"-"&amp;MONTH(I7),59:59)</f>
        <v>100</v>
      </c>
      <c r="K7" s="3177"/>
      <c r="L7" s="2483"/>
      <c r="M7" s="2434"/>
      <c r="N7" s="2434"/>
      <c r="O7" s="2434"/>
      <c r="P7" s="3405" t="s">
        <v>1680</v>
      </c>
      <c r="Q7" s="3434"/>
      <c r="R7" s="663" t="s">
        <v>20</v>
      </c>
      <c r="S7" s="664">
        <f t="shared" ref="S7:S15" si="0">F7</f>
        <v>101</v>
      </c>
      <c r="T7" s="663" t="s">
        <v>20</v>
      </c>
      <c r="U7" s="664">
        <f t="shared" ref="U7:U15" si="1">H7</f>
        <v>100</v>
      </c>
      <c r="V7" s="663" t="s">
        <v>20</v>
      </c>
      <c r="W7" s="664">
        <f t="shared" ref="W7:W15" si="2">J7</f>
        <v>100</v>
      </c>
      <c r="X7" s="665"/>
      <c r="Y7" s="3405" t="s">
        <v>1680</v>
      </c>
      <c r="Z7" s="3406"/>
      <c r="AA7" s="50">
        <f>D7/F7</f>
        <v>0.99009900990099009</v>
      </c>
      <c r="AB7" s="50">
        <f>D7/H7</f>
        <v>1</v>
      </c>
      <c r="AC7" s="50">
        <f>D7/J7</f>
        <v>1</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5" t="s">
        <v>3458</v>
      </c>
      <c r="C10" s="3182" t="s">
        <v>3460</v>
      </c>
      <c r="D10" s="118">
        <v>100</v>
      </c>
      <c r="E10" s="3179" t="s">
        <v>3459</v>
      </c>
      <c r="F10" s="363">
        <f>SUMIF(65:65,E10,66:66)-SUMIF(65:65,C10,66:66)+100</f>
        <v>100</v>
      </c>
      <c r="G10" s="3179" t="s">
        <v>3459</v>
      </c>
      <c r="H10" s="118">
        <f>SUMIF(65:65,G10,66:66)-SUMIF(65:65,C10,66:66)+100</f>
        <v>100</v>
      </c>
      <c r="I10" s="3179" t="s">
        <v>3459</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周边有南门仓社区、豆瓣小区、竹竿小区、朝内小区等住宅小区，居住社区成熟度较好。</v>
      </c>
      <c r="D15" s="379">
        <v>100</v>
      </c>
      <c r="E15" s="3156" t="str">
        <f>估价对象房地状况!C3</f>
        <v>周边有南门仓社区、豆瓣小区、竹竿小区、朝内小区等住宅小区，居住社区成熟度较好。</v>
      </c>
      <c r="F15" s="379">
        <f>SUMIF(76:76,E16,77:77)-SUMIF(76:76,C16,77:77)+100</f>
        <v>100</v>
      </c>
      <c r="G15" s="3163" t="str">
        <f>E15</f>
        <v>周边有南门仓社区、豆瓣小区、竹竿小区、朝内小区等住宅小区，居住社区成熟度较好。</v>
      </c>
      <c r="H15" s="379">
        <f>SUMIF(76:76,G16,77:77)-SUMIF(76:76,C16,77:77)+100</f>
        <v>100</v>
      </c>
      <c r="I15" s="3163" t="str">
        <f>E15</f>
        <v>周边有南门仓社区、豆瓣小区、竹竿小区、朝内小区等住宅小区，居住社区成熟度较好。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170" t="str">
        <f>C17</f>
        <v>周边有24路、58路、63路、101路、109路等多条公交线路，地铁2号线与6号线换乘站朝阳门站，地铁5号线与6号线换乘站东四站，综合评价交通便捷度好</v>
      </c>
      <c r="F17" s="388">
        <f>SUMIF(78:78,E18,79:79)-SUMIF(78:78,C18,79:79)+100</f>
        <v>100</v>
      </c>
      <c r="G17" s="3170" t="str">
        <f>E17</f>
        <v>周边有24路、58路、63路、101路、109路等多条公交线路，地铁2号线与6号线换乘站朝阳门站，地铁5号线与6号线换乘站东四站，综合评价交通便捷度好</v>
      </c>
      <c r="H17" s="393">
        <f>SUMIF(78:78,G18,79:79)-SUMIF(78:78,C18,79:79)+100</f>
        <v>100</v>
      </c>
      <c r="I17" s="3171" t="str">
        <f>E17</f>
        <v>周边有24路、58路、63路、101路、109路等多条公交线路，地铁2号线与6号线换乘站朝阳门站，地铁5号线与6号线换乘站东四站，综合评价交通便捷度好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173" t="str">
        <f>C19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F19" s="393">
        <f>SUMIF(80:80,E20,81:81)-SUMIF(80:80,C20,81:81)+100</f>
        <v>100</v>
      </c>
      <c r="G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H19" s="388">
        <f>SUMIF(80:80,G20,81:81)-SUMIF(80:80,C20,81:81)+100</f>
        <v>100</v>
      </c>
      <c r="I19" s="3172" t="str">
        <f>E19</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3412</v>
      </c>
      <c r="D22" s="386"/>
      <c r="E22" s="3164" t="s">
        <v>3412</v>
      </c>
      <c r="F22" s="386"/>
      <c r="G22" s="1752" t="s">
        <v>3412</v>
      </c>
      <c r="H22" s="386"/>
      <c r="I22" s="1752" t="s">
        <v>3412</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128.25">
      <c r="A23" s="366"/>
      <c r="B23" s="389" t="s">
        <v>1261</v>
      </c>
      <c r="C23" s="1751" t="str">
        <f>估价对象房地状况!C9</f>
        <v>自然环境：东四奥林匹克社区公园等自然水系景观；
人文环境：孚王府、南豆芽清真寺、中央歌剧院等人文场所；
综合评价环境状况较好。</v>
      </c>
      <c r="D23" s="388">
        <v>100</v>
      </c>
      <c r="E23" s="3170" t="str">
        <f>C23</f>
        <v>自然环境：东四奥林匹克社区公园等自然水系景观；
人文环境：孚王府、南豆芽清真寺、中央歌剧院等人文场所；
综合评价环境状况较好。</v>
      </c>
      <c r="F23" s="388">
        <f>SUMIF(84:84,E24,85:85)-SUMIF(84:84,C24,85:85)+100</f>
        <v>100</v>
      </c>
      <c r="G23" s="3171" t="str">
        <f>E23</f>
        <v>自然环境：东四奥林匹克社区公园等自然水系景观；
人文环境：孚王府、南豆芽清真寺、中央歌剧院等人文场所；
综合评价环境状况较好。</v>
      </c>
      <c r="H23" s="388">
        <f>SUMIF(84:84,G24,85:85)-SUMIF(84:84,C24,85:85)+100</f>
        <v>100</v>
      </c>
      <c r="I23" s="3171" t="str">
        <f>E23</f>
        <v>自然环境：东四奥林匹克社区公园等自然水系景观；
人文环境：孚王府、南豆芽清真寺、中央歌剧院等人文场所；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102</v>
      </c>
      <c r="G26" s="1757" t="s">
        <v>3476</v>
      </c>
      <c r="H26" s="373">
        <f>SUMIF(88:88,G26,89:89)-SUMIF(88:88,C26,89:89)+100</f>
        <v>102</v>
      </c>
      <c r="I26" s="1758" t="s">
        <v>3477</v>
      </c>
      <c r="J26" s="373">
        <f>SUMIF(88:88,I26,89:89)-SUMIF(88:88,C26,89:89)+100</f>
        <v>100.5</v>
      </c>
      <c r="K26" s="364">
        <v>0.5</v>
      </c>
      <c r="L26" s="2487"/>
      <c r="M26" s="2482"/>
      <c r="N26" s="2482"/>
      <c r="O26" s="2482"/>
      <c r="P26" s="3447"/>
      <c r="Q26" s="1261" t="str">
        <f t="shared" si="8"/>
        <v>朝向</v>
      </c>
      <c r="R26" s="666" t="s">
        <v>18</v>
      </c>
      <c r="S26" s="667">
        <f t="shared" si="9"/>
        <v>102</v>
      </c>
      <c r="T26" s="666" t="s">
        <v>18</v>
      </c>
      <c r="U26" s="667">
        <f t="shared" si="10"/>
        <v>102</v>
      </c>
      <c r="V26" s="666" t="s">
        <v>18</v>
      </c>
      <c r="W26" s="667">
        <f t="shared" si="11"/>
        <v>100.5</v>
      </c>
      <c r="X26" s="1263"/>
      <c r="Y26" s="3440"/>
      <c r="Z26" s="1262" t="str">
        <f>Q26</f>
        <v>朝向</v>
      </c>
      <c r="AA26" s="1262">
        <f t="shared" si="12"/>
        <v>0.98039215686274506</v>
      </c>
      <c r="AB26" s="1262">
        <f t="shared" si="13"/>
        <v>0.98039215686274506</v>
      </c>
      <c r="AC26" s="1262">
        <f t="shared" si="14"/>
        <v>0.99502487562189057</v>
      </c>
    </row>
    <row r="27" spans="1:29" s="101" customFormat="1" ht="15">
      <c r="A27" s="369"/>
      <c r="B27" s="3141" t="s">
        <v>3392</v>
      </c>
      <c r="C27" s="3174" t="s">
        <v>3478</v>
      </c>
      <c r="D27" s="400">
        <v>100</v>
      </c>
      <c r="E27" s="3174" t="s">
        <v>3479</v>
      </c>
      <c r="F27" s="400">
        <f>D91</f>
        <v>101.5</v>
      </c>
      <c r="G27" s="3174" t="s">
        <v>3480</v>
      </c>
      <c r="H27" s="400">
        <f>SUMIF(90:90,G27,91:91)-SUMIF(90:90,A27,91:91)</f>
        <v>101</v>
      </c>
      <c r="I27" s="3174" t="s">
        <v>3480</v>
      </c>
      <c r="J27" s="400">
        <f>SUMIF(90:90,I27,91:91)-SUMIF(90:90,C27,91:91)+100</f>
        <v>101</v>
      </c>
      <c r="K27" s="1745"/>
      <c r="L27" s="2483"/>
      <c r="M27" s="2434"/>
      <c r="N27" s="2434"/>
      <c r="O27" s="2434"/>
      <c r="P27" s="3447"/>
      <c r="Q27" s="529" t="str">
        <f t="shared" si="8"/>
        <v>楼层</v>
      </c>
      <c r="R27" s="663" t="s">
        <v>18</v>
      </c>
      <c r="S27" s="664">
        <f t="shared" si="9"/>
        <v>101.5</v>
      </c>
      <c r="T27" s="663" t="s">
        <v>18</v>
      </c>
      <c r="U27" s="664">
        <f t="shared" si="10"/>
        <v>101</v>
      </c>
      <c r="V27" s="663" t="s">
        <v>18</v>
      </c>
      <c r="W27" s="664">
        <f t="shared" si="11"/>
        <v>101</v>
      </c>
      <c r="X27" s="665"/>
      <c r="Y27" s="3440"/>
      <c r="Z27" s="50" t="str">
        <f>Q27</f>
        <v>楼层</v>
      </c>
      <c r="AA27" s="1262">
        <f t="shared" si="12"/>
        <v>0.98522167487684731</v>
      </c>
      <c r="AB27" s="1262">
        <f t="shared" si="13"/>
        <v>0.99009900990099009</v>
      </c>
      <c r="AC27" s="1262">
        <f t="shared" si="14"/>
        <v>0.99009900990099009</v>
      </c>
    </row>
    <row r="28" spans="1:29" ht="15" hidden="1">
      <c r="A28" s="366"/>
      <c r="B28" s="3141" t="s">
        <v>3440</v>
      </c>
      <c r="C28" s="3143" t="s">
        <v>3443</v>
      </c>
      <c r="D28" s="373">
        <v>100</v>
      </c>
      <c r="E28" s="3143" t="s">
        <v>3443</v>
      </c>
      <c r="F28" s="373">
        <f>SUMIF(92:92,E28,93:93)-SUMIF(92:92,C28,93:93)+100</f>
        <v>100</v>
      </c>
      <c r="G28" s="3143" t="s">
        <v>3443</v>
      </c>
      <c r="H28" s="373">
        <f>SUMIF(92:92,G28,93:93)-SUMIF(92:92,C28,93:93)+100</f>
        <v>100</v>
      </c>
      <c r="I28" s="3143" t="s">
        <v>3443</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9" t="s">
        <v>3468</v>
      </c>
      <c r="D32" s="404">
        <v>100</v>
      </c>
      <c r="E32" s="3169" t="s">
        <v>3468</v>
      </c>
      <c r="F32" s="399">
        <f>SUMIF(100:100,E32,101:101)-SUMIF(100:100,C32,101:101)+100</f>
        <v>100</v>
      </c>
      <c r="G32" s="3169" t="s">
        <v>3468</v>
      </c>
      <c r="H32" s="404">
        <f>SUMIF(100:100,G32,101:101)-SUMIF(100:100,C32,101:101)+100</f>
        <v>100</v>
      </c>
      <c r="I32" s="1761" t="s">
        <v>3468</v>
      </c>
      <c r="J32" s="373">
        <f>SUMIF(100:100,I32,101:101)-SUMIF(100:100,C32,101:101)+100</f>
        <v>100</v>
      </c>
      <c r="K32" s="364">
        <v>3</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80.459999999999994</v>
      </c>
      <c r="D33" s="118">
        <v>100</v>
      </c>
      <c r="E33" s="3169">
        <f>案例!$E$2</f>
        <v>84.74</v>
      </c>
      <c r="F33" s="399">
        <f>H104</f>
        <v>100</v>
      </c>
      <c r="G33" s="3169">
        <f>案例!$E$3</f>
        <v>85.8</v>
      </c>
      <c r="H33" s="404">
        <f>F33</f>
        <v>100</v>
      </c>
      <c r="I33" s="1761">
        <f>案例!$E$4</f>
        <v>71.44</v>
      </c>
      <c r="J33" s="3167">
        <f>G104</f>
        <v>103</v>
      </c>
      <c r="K33" s="1745"/>
      <c r="L33" s="2486"/>
      <c r="M33" s="2488"/>
      <c r="N33" s="2488"/>
      <c r="O33" s="2488"/>
      <c r="P33" s="3442"/>
      <c r="Q33" s="530" t="str">
        <f t="shared" si="8"/>
        <v>项目建筑规模</v>
      </c>
      <c r="R33" s="668" t="s">
        <v>18</v>
      </c>
      <c r="S33" s="669">
        <f t="shared" si="9"/>
        <v>100</v>
      </c>
      <c r="T33" s="668" t="s">
        <v>18</v>
      </c>
      <c r="U33" s="669">
        <f t="shared" si="10"/>
        <v>100</v>
      </c>
      <c r="V33" s="668" t="s">
        <v>18</v>
      </c>
      <c r="W33" s="669">
        <f t="shared" si="11"/>
        <v>103</v>
      </c>
      <c r="X33" s="670"/>
      <c r="Y33" s="3444"/>
      <c r="Z33" s="671" t="str">
        <f t="shared" si="15"/>
        <v>项目建筑规模</v>
      </c>
      <c r="AA33" s="1262">
        <f t="shared" si="12"/>
        <v>1</v>
      </c>
      <c r="AB33" s="1262">
        <f t="shared" si="13"/>
        <v>1</v>
      </c>
      <c r="AC33" s="1262">
        <f t="shared" si="14"/>
        <v>0.970873786407767</v>
      </c>
    </row>
    <row r="34" spans="1:29" ht="15">
      <c r="A34" s="408"/>
      <c r="B34" s="363" t="s">
        <v>1698</v>
      </c>
      <c r="C34" s="398" t="s">
        <v>3481</v>
      </c>
      <c r="D34" s="373">
        <v>100</v>
      </c>
      <c r="E34" s="398" t="s">
        <v>3481</v>
      </c>
      <c r="F34" s="399">
        <f>SUMIF(105:105,E34,106:106)-SUMIF(105:105,C34,106:106)+100</f>
        <v>100</v>
      </c>
      <c r="G34" s="398" t="s">
        <v>3481</v>
      </c>
      <c r="H34" s="373">
        <f>SUMIF(105:105,G34,106:106)-SUMIF(105:105,C34,106:106)+100</f>
        <v>100</v>
      </c>
      <c r="I34" s="398" t="s">
        <v>3481</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3452</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5" t="s">
        <v>3455</v>
      </c>
      <c r="C37" s="3176">
        <v>2003</v>
      </c>
      <c r="D37" s="118">
        <v>100</v>
      </c>
      <c r="E37" s="3176">
        <f>案例!I2</f>
        <v>2003</v>
      </c>
      <c r="F37" s="363">
        <f>LOOKUP(E37,112:112,113:113)-LOOKUP(C37,112:112,113:113)+100</f>
        <v>100</v>
      </c>
      <c r="G37" s="3176">
        <f>案例!I3</f>
        <v>2003</v>
      </c>
      <c r="H37" s="118">
        <f>LOOKUP(G37,112:112,113:113)-LOOKUP(C37,112:112,113:113)+100</f>
        <v>100</v>
      </c>
      <c r="I37" s="3176">
        <f>案例!I4</f>
        <v>2003</v>
      </c>
      <c r="J37" s="118">
        <f>H37</f>
        <v>100</v>
      </c>
      <c r="K37" s="364">
        <v>0.5</v>
      </c>
      <c r="L37" s="2483"/>
      <c r="M37" s="2434"/>
      <c r="N37" s="2434"/>
      <c r="O37" s="2434"/>
      <c r="P37" s="3442"/>
      <c r="Q37" s="529" t="str">
        <f t="shared" si="8"/>
        <v>建成年代</v>
      </c>
      <c r="R37" s="663" t="s">
        <v>18</v>
      </c>
      <c r="S37" s="664">
        <f t="shared" si="9"/>
        <v>100</v>
      </c>
      <c r="T37" s="663" t="s">
        <v>18</v>
      </c>
      <c r="U37" s="664">
        <f t="shared" si="10"/>
        <v>100</v>
      </c>
      <c r="V37" s="663" t="s">
        <v>18</v>
      </c>
      <c r="W37" s="664">
        <f t="shared" si="11"/>
        <v>100</v>
      </c>
      <c r="X37" s="665"/>
      <c r="Y37" s="3444"/>
      <c r="Z37" s="50" t="str">
        <f t="shared" si="15"/>
        <v>建成年代</v>
      </c>
      <c r="AA37" s="50">
        <f t="shared" si="12"/>
        <v>1</v>
      </c>
      <c r="AB37" s="50">
        <f t="shared" si="13"/>
        <v>1</v>
      </c>
      <c r="AC37" s="50">
        <f t="shared" si="14"/>
        <v>1</v>
      </c>
    </row>
    <row r="38" spans="1:29" ht="15">
      <c r="A38" s="408"/>
      <c r="B38" s="363" t="s">
        <v>1700</v>
      </c>
      <c r="C38" s="1757" t="s">
        <v>3454</v>
      </c>
      <c r="D38" s="373">
        <v>100</v>
      </c>
      <c r="E38" s="1757" t="s">
        <v>3454</v>
      </c>
      <c r="F38" s="399">
        <f>SUMIF(114:114,E38,115:115)-SUMIF(114:114,C38,115:115)+100</f>
        <v>100</v>
      </c>
      <c r="G38" s="1757" t="s">
        <v>3454</v>
      </c>
      <c r="H38" s="373">
        <f>SUMIF(114:114,G38,115:115)-SUMIF(114:114,C38,115:115)+100</f>
        <v>100</v>
      </c>
      <c r="I38" s="1757" t="s">
        <v>3454</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3483</v>
      </c>
      <c r="D42" s="373">
        <v>100</v>
      </c>
      <c r="E42" s="3190" t="s">
        <v>3411</v>
      </c>
      <c r="F42" s="399">
        <f>SUMIF(122:122,E42,123:123)-SUMIF(122:122,C42,123:123)+100</f>
        <v>100.5</v>
      </c>
      <c r="G42" s="3190" t="s">
        <v>3411</v>
      </c>
      <c r="H42" s="373">
        <f>SUMIF(122:122,G42,123:123)-SUMIF(122:122,C42,123:123)+100</f>
        <v>100.5</v>
      </c>
      <c r="I42" s="3190" t="s">
        <v>3411</v>
      </c>
      <c r="J42" s="373">
        <f>SUMIF(122:122,I42,123:123)-SUMIF(122:122,C42,123:123)+100</f>
        <v>100.5</v>
      </c>
      <c r="K42" s="364">
        <v>0.5</v>
      </c>
      <c r="L42" s="2487"/>
      <c r="M42" s="2482"/>
      <c r="N42" s="2482"/>
      <c r="O42" s="2482"/>
      <c r="P42" s="3442"/>
      <c r="Q42" s="1261" t="str">
        <f t="shared" si="8"/>
        <v>内部装修</v>
      </c>
      <c r="R42" s="666" t="s">
        <v>18</v>
      </c>
      <c r="S42" s="667">
        <f t="shared" si="9"/>
        <v>100.5</v>
      </c>
      <c r="T42" s="666" t="s">
        <v>18</v>
      </c>
      <c r="U42" s="667">
        <f t="shared" si="10"/>
        <v>100.5</v>
      </c>
      <c r="V42" s="666" t="s">
        <v>18</v>
      </c>
      <c r="W42" s="667">
        <f t="shared" si="11"/>
        <v>100.5</v>
      </c>
      <c r="X42" s="1263"/>
      <c r="Y42" s="3444"/>
      <c r="Z42" s="1262" t="str">
        <f t="shared" si="15"/>
        <v>内部装修</v>
      </c>
      <c r="AA42" s="1262">
        <f t="shared" si="12"/>
        <v>0.99502487562189057</v>
      </c>
      <c r="AB42" s="1262">
        <f t="shared" si="13"/>
        <v>0.99502487562189057</v>
      </c>
      <c r="AC42" s="1262">
        <f t="shared" si="14"/>
        <v>0.99502487562189057</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c r="A44" s="409"/>
      <c r="B44" s="3141" t="s">
        <v>3452</v>
      </c>
      <c r="C44" s="1757" t="s">
        <v>3406</v>
      </c>
      <c r="D44" s="118">
        <v>100</v>
      </c>
      <c r="E44" s="1757" t="s">
        <v>3406</v>
      </c>
      <c r="F44" s="363">
        <f>SUMIF(126:126,E44,127:127)-SUMIF(126:126,C44,127:127)+100</f>
        <v>100</v>
      </c>
      <c r="G44" s="1757" t="s">
        <v>3406</v>
      </c>
      <c r="H44" s="118">
        <f>SUMIF(126:126,G44,127:127)-SUMIF(126:126,C44,127:127)+100</f>
        <v>100</v>
      </c>
      <c r="I44" s="1757" t="s">
        <v>3490</v>
      </c>
      <c r="J44" s="118">
        <f>SUMIF(126:126,I44,127:127)-SUMIF(126:126,C44,127:127)+100</f>
        <v>95</v>
      </c>
      <c r="K44" s="1745"/>
      <c r="L44" s="2483"/>
      <c r="M44" s="2434"/>
      <c r="N44" s="2434"/>
      <c r="O44" s="2434"/>
      <c r="P44" s="3442"/>
      <c r="Q44" s="529" t="str">
        <f t="shared" si="8"/>
        <v>噪音污染</v>
      </c>
      <c r="R44" s="663" t="s">
        <v>18</v>
      </c>
      <c r="S44" s="664">
        <f t="shared" si="9"/>
        <v>100</v>
      </c>
      <c r="T44" s="663" t="s">
        <v>18</v>
      </c>
      <c r="U44" s="664">
        <f t="shared" si="10"/>
        <v>100</v>
      </c>
      <c r="V44" s="663" t="s">
        <v>18</v>
      </c>
      <c r="W44" s="664">
        <f t="shared" si="11"/>
        <v>95</v>
      </c>
      <c r="X44" s="665"/>
      <c r="Y44" s="3444"/>
      <c r="Z44" s="50" t="str">
        <f t="shared" si="15"/>
        <v>噪音污染</v>
      </c>
      <c r="AA44" s="50">
        <f t="shared" si="12"/>
        <v>1</v>
      </c>
      <c r="AB44" s="50">
        <f t="shared" si="13"/>
        <v>1</v>
      </c>
      <c r="AC44" s="50">
        <f t="shared" si="14"/>
        <v>1.0526315789473684</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42"/>
      <c r="Q45" s="1261">
        <f t="shared" si="8"/>
        <v>111</v>
      </c>
      <c r="R45" s="666" t="s">
        <v>18</v>
      </c>
      <c r="S45" s="667">
        <f t="shared" si="9"/>
        <v>100</v>
      </c>
      <c r="T45" s="666" t="s">
        <v>18</v>
      </c>
      <c r="U45" s="667">
        <f t="shared" si="10"/>
        <v>100</v>
      </c>
      <c r="V45" s="666" t="s">
        <v>18</v>
      </c>
      <c r="W45" s="667">
        <f t="shared" si="11"/>
        <v>100</v>
      </c>
      <c r="X45" s="1263"/>
      <c r="Y45" s="3444"/>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134057</v>
      </c>
      <c r="F47" s="419"/>
      <c r="G47" s="420">
        <f>案例!$J$3</f>
        <v>129254</v>
      </c>
      <c r="H47" s="421"/>
      <c r="I47" s="418">
        <f>案例!$J$4</f>
        <v>124300</v>
      </c>
      <c r="J47" s="421"/>
      <c r="K47" s="1762"/>
      <c r="L47" s="2489"/>
      <c r="M47" s="2482"/>
      <c r="N47" s="2482"/>
      <c r="O47" s="2482"/>
      <c r="P47" s="3438" t="str">
        <f>A47</f>
        <v>成交单价（元/平方米）</v>
      </c>
      <c r="Q47" s="3438"/>
      <c r="R47" s="3433">
        <f>E47</f>
        <v>134057</v>
      </c>
      <c r="S47" s="3433"/>
      <c r="T47" s="3433">
        <f>G47</f>
        <v>129254</v>
      </c>
      <c r="U47" s="3433"/>
      <c r="V47" s="3433">
        <f>I47</f>
        <v>124300</v>
      </c>
      <c r="W47" s="3433"/>
      <c r="X47" s="384"/>
      <c r="Y47" s="672"/>
      <c r="Z47" s="384"/>
      <c r="AA47" s="384"/>
      <c r="AB47" s="384"/>
      <c r="AC47" s="384"/>
    </row>
    <row r="48" spans="1:29" ht="15.75" thickBot="1">
      <c r="A48" s="422" t="s">
        <v>1707</v>
      </c>
      <c r="B48" s="423"/>
      <c r="C48" s="1081">
        <f>R49</f>
        <v>125644</v>
      </c>
      <c r="D48" s="2136" t="s">
        <v>2135</v>
      </c>
      <c r="E48" s="1082">
        <f>R48</f>
        <v>127566</v>
      </c>
      <c r="F48" s="2137"/>
      <c r="G48" s="1081">
        <f>T48</f>
        <v>124841</v>
      </c>
      <c r="H48" s="2137"/>
      <c r="I48" s="1082">
        <f>V48</f>
        <v>124525</v>
      </c>
      <c r="J48" s="2137"/>
      <c r="K48" s="2138">
        <f>F48+H48+J48</f>
        <v>0</v>
      </c>
      <c r="L48" s="2489"/>
      <c r="M48" s="2482"/>
      <c r="N48" s="2482"/>
      <c r="O48" s="2482"/>
      <c r="P48" s="3438" t="str">
        <f>A48</f>
        <v>比较价值（元/平方米）</v>
      </c>
      <c r="Q48" s="3438"/>
      <c r="R48" s="3433">
        <f>IF(F1="售价",ROUND(PRODUCT(R47,AA7:AA46),0),ROUND(PRODUCT(R47,AA7:AA46),1))</f>
        <v>127566</v>
      </c>
      <c r="S48" s="3433"/>
      <c r="T48" s="3433">
        <f>IF(F1="售价",ROUND(PRODUCT(T47,AB7:AB46),0),ROUND(PRODUCT(T47,AB7:AB46),1))</f>
        <v>124841</v>
      </c>
      <c r="U48" s="3433"/>
      <c r="V48" s="3433">
        <f>IF(F1="售价",ROUND(PRODUCT(V47,AC7:AC46),0),ROUND(PRODUCT(V47,AC7:AC46),1))</f>
        <v>124525</v>
      </c>
      <c r="W48" s="3433"/>
      <c r="X48" s="384"/>
      <c r="Y48" s="384"/>
      <c r="Z48" s="384"/>
      <c r="AA48" s="384"/>
      <c r="AB48" s="384"/>
      <c r="AC48" s="384"/>
    </row>
    <row r="49" spans="1:29" ht="15.75" thickBot="1">
      <c r="A49" s="426" t="s">
        <v>1708</v>
      </c>
      <c r="B49" s="427"/>
      <c r="C49" s="1083">
        <f>R49</f>
        <v>125644</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125644</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5.088346424595902E-2</v>
      </c>
      <c r="F52" s="434" t="str">
        <f>IF(OR(E52&gt;=0.3,E52&lt;=-0.3),"超过30%","")</f>
        <v/>
      </c>
      <c r="G52" s="433">
        <f>IF(G47&lt;G48,G48/G47-1,G47/G48-1)</f>
        <v>3.5348963882057882E-2</v>
      </c>
      <c r="H52" s="434" t="str">
        <f>IF(OR(G52&gt;=0.3,G52&lt;=-0.3),"超过30%","")</f>
        <v/>
      </c>
      <c r="I52" s="433">
        <f>IF(I47&lt;I48,I48/I47-1,I47/I48-1)</f>
        <v>1.8101367658889256E-3</v>
      </c>
      <c r="J52" s="434" t="str">
        <f>IF(OR(I52&gt;=0.3,I52&lt;=-0.3),"超过30%","")</f>
        <v/>
      </c>
      <c r="K52" s="2494"/>
      <c r="L52" s="2490"/>
      <c r="M52" s="2482"/>
      <c r="N52" s="2482"/>
      <c r="O52" s="2482"/>
    </row>
    <row r="53" spans="1:29" ht="13.5" customHeight="1">
      <c r="A53" s="2482"/>
      <c r="B53" s="2482"/>
      <c r="C53" s="431" t="s">
        <v>1710</v>
      </c>
      <c r="D53" s="435"/>
      <c r="E53" s="433">
        <f>IF(E48&lt;G48,G48/E48-1,E48/G48-1)</f>
        <v>2.1827764916974468E-2</v>
      </c>
      <c r="F53" s="434" t="str">
        <f>IF(OR(E53&gt;=0.2,E53&lt;=-0.2),"超过20%","")</f>
        <v/>
      </c>
      <c r="G53" s="433">
        <f>IF(G48&lt;I48,I48/G48-1,G48/I48-1)</f>
        <v>2.5376430435655184E-3</v>
      </c>
      <c r="H53" s="434" t="str">
        <f>IF(OR(G53&gt;=0.2,G53&lt;=-0.2),"超过20%","")</f>
        <v/>
      </c>
      <c r="I53" s="433">
        <f>IF(I48&lt;E48,E48/I48-1,I48/E48-1)</f>
        <v>2.4420799036338092E-2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3.7159391585560142E-2</v>
      </c>
      <c r="F54" s="434" t="str">
        <f>IF(OR(E54&gt;=0.3,E54&lt;=-0.3),"超过30%","")</f>
        <v/>
      </c>
      <c r="G54" s="433">
        <f>IF(G47&lt;I47,I47/G47-1,G47/I47-1)</f>
        <v>3.9855189058728868E-2</v>
      </c>
      <c r="H54" s="434" t="str">
        <f>IF(OR(G54&gt;=0.3,G54&lt;=-0.3),"超过30%","")</f>
        <v/>
      </c>
      <c r="I54" s="433">
        <f>IF(I47&lt;E47,E47/I47-1,I47/E47-1)</f>
        <v>7.8495575221238845E-2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2021-11</v>
      </c>
      <c r="D58" s="1102">
        <f>EDATE(C58,-1)</f>
        <v>44470</v>
      </c>
      <c r="E58" s="1102">
        <f>EDATE(D58,-1)</f>
        <v>44440</v>
      </c>
      <c r="F58" s="1102">
        <f t="shared" ref="F58:O58" si="16">EDATE(E58,-1)</f>
        <v>44409</v>
      </c>
      <c r="G58" s="1102">
        <f t="shared" si="16"/>
        <v>44378</v>
      </c>
      <c r="H58" s="1102">
        <f t="shared" si="16"/>
        <v>44348</v>
      </c>
      <c r="I58" s="1102">
        <f t="shared" si="16"/>
        <v>44317</v>
      </c>
      <c r="J58" s="1102">
        <f t="shared" si="16"/>
        <v>44287</v>
      </c>
      <c r="K58" s="1102">
        <f t="shared" si="16"/>
        <v>44256</v>
      </c>
      <c r="L58" s="1102">
        <f t="shared" si="16"/>
        <v>44228</v>
      </c>
      <c r="M58" s="1102">
        <f t="shared" si="16"/>
        <v>44197</v>
      </c>
      <c r="N58" s="1102">
        <f t="shared" si="16"/>
        <v>44166</v>
      </c>
      <c r="O58" s="1102">
        <f t="shared" si="16"/>
        <v>44136</v>
      </c>
      <c r="P58" s="3144">
        <f t="shared" ref="P58:AB58" si="17">EDATE(O58,-1)</f>
        <v>44105</v>
      </c>
      <c r="Q58" s="3144">
        <f t="shared" si="17"/>
        <v>44075</v>
      </c>
      <c r="R58" s="3144">
        <f t="shared" si="17"/>
        <v>44044</v>
      </c>
      <c r="S58" s="3144">
        <f t="shared" si="17"/>
        <v>44013</v>
      </c>
      <c r="T58" s="3144">
        <f t="shared" si="17"/>
        <v>43983</v>
      </c>
      <c r="U58" s="3144">
        <f t="shared" si="17"/>
        <v>43952</v>
      </c>
      <c r="V58" s="3144">
        <f t="shared" si="17"/>
        <v>43922</v>
      </c>
      <c r="W58" s="3144">
        <f t="shared" si="17"/>
        <v>43891</v>
      </c>
      <c r="X58" s="3144">
        <f t="shared" si="17"/>
        <v>43862</v>
      </c>
      <c r="Y58" s="3144">
        <f t="shared" si="17"/>
        <v>43831</v>
      </c>
      <c r="Z58" s="3144">
        <f t="shared" si="17"/>
        <v>43800</v>
      </c>
      <c r="AA58" s="3144">
        <f t="shared" si="17"/>
        <v>43770</v>
      </c>
      <c r="AB58" s="3144">
        <f t="shared" si="17"/>
        <v>43739</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3461</v>
      </c>
      <c r="D65" s="3146" t="s">
        <v>3462</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3429</v>
      </c>
      <c r="D88" s="3146" t="s">
        <v>3430</v>
      </c>
      <c r="E88" s="3146" t="s">
        <v>3431</v>
      </c>
      <c r="F88" s="3146" t="s">
        <v>3432</v>
      </c>
      <c r="G88" s="3146" t="s">
        <v>3433</v>
      </c>
      <c r="H88" s="3146" t="s">
        <v>3434</v>
      </c>
      <c r="I88" s="3160" t="s">
        <v>3435</v>
      </c>
      <c r="J88" s="3160" t="s">
        <v>3436</v>
      </c>
      <c r="K88" s="3146" t="s">
        <v>3437</v>
      </c>
      <c r="L88" s="3146" t="s">
        <v>3438</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4" t="s">
        <v>3484</v>
      </c>
      <c r="D90" s="3174" t="s">
        <v>3485</v>
      </c>
      <c r="E90" s="3174" t="s">
        <v>3487</v>
      </c>
      <c r="F90" s="3174" t="s">
        <v>3486</v>
      </c>
      <c r="G90" s="3174" t="s">
        <v>3488</v>
      </c>
      <c r="H90" s="3174" t="s">
        <v>3489</v>
      </c>
      <c r="I90" s="485"/>
      <c r="J90" s="485"/>
      <c r="K90" s="485"/>
      <c r="L90" s="486"/>
      <c r="M90" s="487"/>
      <c r="N90" s="880"/>
      <c r="O90" s="880"/>
      <c r="P90" s="1771"/>
      <c r="Q90" s="489"/>
    </row>
    <row r="91" spans="1:17" s="407" customFormat="1" ht="15.75" thickBot="1">
      <c r="A91" s="483"/>
      <c r="B91" s="473"/>
      <c r="C91" s="490">
        <f t="shared" ref="C91:E91" si="22">D91+$J$91</f>
        <v>102</v>
      </c>
      <c r="D91" s="490">
        <f t="shared" si="22"/>
        <v>101.5</v>
      </c>
      <c r="E91" s="490">
        <f t="shared" si="22"/>
        <v>101</v>
      </c>
      <c r="F91" s="490">
        <f>G91+$J$91</f>
        <v>100.5</v>
      </c>
      <c r="G91" s="490">
        <v>100</v>
      </c>
      <c r="H91" s="407">
        <f>G91-$J$91</f>
        <v>99.5</v>
      </c>
      <c r="I91" s="492"/>
      <c r="J91" s="492">
        <v>0.5</v>
      </c>
      <c r="K91" s="492"/>
      <c r="L91" s="492"/>
      <c r="M91" s="493"/>
      <c r="N91" s="880"/>
      <c r="O91" s="880"/>
      <c r="P91" s="1771"/>
      <c r="Q91" s="489"/>
    </row>
    <row r="92" spans="1:17" ht="15.75" thickTop="1">
      <c r="A92" s="366"/>
      <c r="B92" s="468" t="str">
        <f>B28</f>
        <v>道路级别</v>
      </c>
      <c r="C92" s="3140" t="s">
        <v>3442</v>
      </c>
      <c r="D92" s="3140" t="s">
        <v>3441</v>
      </c>
      <c r="E92" s="3140" t="s">
        <v>3444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3449</v>
      </c>
      <c r="D100" s="3145" t="s">
        <v>3450</v>
      </c>
      <c r="E100" s="3145" t="s">
        <v>3439</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3">C101-$K32</f>
        <v>97</v>
      </c>
      <c r="E101" s="474">
        <f t="shared" si="23"/>
        <v>94</v>
      </c>
      <c r="F101" s="474">
        <f t="shared" si="23"/>
        <v>91</v>
      </c>
      <c r="G101" s="474">
        <f t="shared" si="23"/>
        <v>88</v>
      </c>
      <c r="H101" s="474">
        <f t="shared" si="23"/>
        <v>85</v>
      </c>
      <c r="I101" s="474">
        <f t="shared" si="23"/>
        <v>82</v>
      </c>
      <c r="J101" s="474">
        <f t="shared" si="23"/>
        <v>79</v>
      </c>
      <c r="K101" s="474">
        <f t="shared" si="23"/>
        <v>76</v>
      </c>
      <c r="L101" s="474">
        <f t="shared" si="23"/>
        <v>73</v>
      </c>
      <c r="M101" s="474">
        <f t="shared" si="23"/>
        <v>70</v>
      </c>
      <c r="N101" s="879"/>
      <c r="O101" s="879"/>
      <c r="P101" s="1770"/>
      <c r="Q101" s="438"/>
    </row>
    <row r="102" spans="1:17" ht="15.75" thickTop="1">
      <c r="A102" s="366"/>
      <c r="B102" s="468" t="s">
        <v>1735</v>
      </c>
      <c r="C102" s="508" t="str">
        <f>C103&amp;"(含)"&amp;"-"&amp;D103</f>
        <v>0(含)-40</v>
      </c>
      <c r="D102" s="508" t="str">
        <f t="shared" ref="D102:L102" si="24">D103&amp;"(含)"&amp;"-"&amp;E103</f>
        <v>40(含)-50</v>
      </c>
      <c r="E102" s="508" t="str">
        <f t="shared" si="24"/>
        <v>50(含)-60</v>
      </c>
      <c r="F102" s="508" t="str">
        <f t="shared" si="24"/>
        <v>60(含)-70</v>
      </c>
      <c r="G102" s="508" t="str">
        <f t="shared" si="24"/>
        <v>70(含)-80</v>
      </c>
      <c r="H102" s="508" t="str">
        <f t="shared" si="24"/>
        <v>80(含)-90</v>
      </c>
      <c r="I102" s="508" t="str">
        <f t="shared" si="24"/>
        <v>90(含)-</v>
      </c>
      <c r="J102" s="508" t="str">
        <f t="shared" si="24"/>
        <v>(含)-</v>
      </c>
      <c r="K102" s="508" t="str">
        <f>K103&amp;"(含)"&amp;"-"&amp;L103</f>
        <v>(含)-1</v>
      </c>
      <c r="L102" s="508" t="str">
        <f t="shared" si="24"/>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3413</v>
      </c>
      <c r="D105" s="3140" t="s">
        <v>3446</v>
      </c>
      <c r="E105" s="3146" t="s">
        <v>3482</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8" t="s">
        <v>3451</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3414</v>
      </c>
      <c r="D109" s="3140" t="s">
        <v>3456</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3415</v>
      </c>
      <c r="D114" s="3140" t="s">
        <v>3445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3416</v>
      </c>
      <c r="D116" s="3140"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3420</v>
      </c>
      <c r="D122" s="3140" t="s">
        <v>3421</v>
      </c>
      <c r="E122" s="3140" t="s">
        <v>3456</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噪音污染</v>
      </c>
      <c r="C126" s="508" t="s">
        <v>1719</v>
      </c>
      <c r="D126" s="508" t="s">
        <v>1720</v>
      </c>
      <c r="E126" s="508" t="s">
        <v>1721</v>
      </c>
      <c r="F126" s="508" t="s">
        <v>1722</v>
      </c>
      <c r="G126" s="508" t="s">
        <v>1723</v>
      </c>
      <c r="H126" s="485"/>
      <c r="I126" s="485">
        <v>2.5</v>
      </c>
      <c r="J126" s="485"/>
      <c r="K126" s="485"/>
      <c r="L126" s="486"/>
      <c r="M126" s="487"/>
      <c r="N126" s="880"/>
      <c r="O126" s="880"/>
      <c r="P126" s="1771"/>
      <c r="Q126" s="489"/>
    </row>
    <row r="127" spans="1:17" s="407" customFormat="1" ht="15.75" thickBot="1">
      <c r="A127" s="483"/>
      <c r="B127" s="473"/>
      <c r="C127" s="490">
        <v>100</v>
      </c>
      <c r="D127" s="466">
        <f>C127-$I$126</f>
        <v>97.5</v>
      </c>
      <c r="E127" s="466">
        <f>D127-$I$126</f>
        <v>95</v>
      </c>
      <c r="F127" s="466">
        <f>E127-$I$126</f>
        <v>92.5</v>
      </c>
      <c r="G127" s="490">
        <v>101</v>
      </c>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E34 G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xr:uid="{00000000-0002-0000-1800-00000D000000}">
      <formula1>住宅内部装修</formula1>
    </dataValidation>
    <dataValidation type="list" allowBlank="1" showInputMessage="1" showErrorMessage="1" sqref="E43:E44 G43:G44 I43:I44 C43:C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44521</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142.5">
      <c r="A17" s="366"/>
      <c r="B17" s="389" t="s">
        <v>1259</v>
      </c>
      <c r="C17" s="1751" t="str">
        <f>估价对象房地状况!C6</f>
        <v>周边有24路、58路、63路、101路、109路等多条公交线路，地铁2号线与6号线换乘站朝阳门站，地铁5号线与6号线换乘站东四站，综合评价交通便捷度好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342">
      <c r="A19" s="366"/>
      <c r="B19" s="389" t="s">
        <v>1775</v>
      </c>
      <c r="C19" s="1751"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142.5">
      <c r="A23" s="366"/>
      <c r="B23" s="389" t="s">
        <v>1261</v>
      </c>
      <c r="C23" s="1801" t="str">
        <f>估价对象房地状况!C9</f>
        <v>自然环境：东四奥林匹克社区公园等自然水系景观；
人文环境：孚王府、南豆芽清真寺、中央歌剧院等人文场所；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2021-11</v>
      </c>
      <c r="D58" s="1102">
        <f>EDATE(C58,-1)</f>
        <v>44470</v>
      </c>
      <c r="E58" s="1102">
        <f t="shared" ref="E58:N58" si="13">EDATE(D58,-1)</f>
        <v>44440</v>
      </c>
      <c r="F58" s="1102">
        <f t="shared" si="13"/>
        <v>44409</v>
      </c>
      <c r="G58" s="1102">
        <f t="shared" si="13"/>
        <v>44378</v>
      </c>
      <c r="H58" s="1102">
        <f t="shared" si="13"/>
        <v>44348</v>
      </c>
      <c r="I58" s="1102">
        <f t="shared" si="13"/>
        <v>44317</v>
      </c>
      <c r="J58" s="1102">
        <f t="shared" si="13"/>
        <v>44287</v>
      </c>
      <c r="K58" s="1102">
        <f t="shared" si="13"/>
        <v>44256</v>
      </c>
      <c r="L58" s="1102">
        <f t="shared" si="13"/>
        <v>44228</v>
      </c>
      <c r="M58" s="1102">
        <f t="shared" si="13"/>
        <v>44197</v>
      </c>
      <c r="N58" s="1102">
        <f t="shared" si="13"/>
        <v>44166</v>
      </c>
      <c r="O58" s="1102">
        <f>EDATE(N58,-1)</f>
        <v>44136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80.459999999999994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44521</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128.25">
      <c r="A17" s="366"/>
      <c r="B17" s="555" t="s">
        <v>1259</v>
      </c>
      <c r="C17" s="1808" t="str">
        <f>估价对象房地状况!C6</f>
        <v>周边有24路、58路、63路、101路、109路等多条公交线路，地铁2号线与6号线换乘站朝阳门站，地铁5号线与6号线换乘站东四站，综合评价交通便捷度好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99.25">
      <c r="A19" s="366"/>
      <c r="B19" s="555" t="s">
        <v>1809</v>
      </c>
      <c r="C19" s="1808" t="str">
        <f>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128.25">
      <c r="A23" s="366"/>
      <c r="B23" s="555" t="s">
        <v>1811</v>
      </c>
      <c r="C23" s="1808" t="str">
        <f>估价对象房地状况!C9</f>
        <v>自然环境：东四奥林匹克社区公园等自然水系景观；
人文环境：孚王府、南豆芽清真寺、中央歌剧院等人文场所；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2021-11</v>
      </c>
      <c r="D59" s="1102">
        <f>EDATE(C59,-1)</f>
        <v>44470</v>
      </c>
      <c r="E59" s="1102">
        <f>EDATE(D59,-1)</f>
        <v>44440</v>
      </c>
      <c r="F59" s="1102">
        <f t="shared" ref="F59:O59" si="13">EDATE(E59,-1)</f>
        <v>44409</v>
      </c>
      <c r="G59" s="1102">
        <f t="shared" si="13"/>
        <v>44378</v>
      </c>
      <c r="H59" s="1102">
        <f t="shared" si="13"/>
        <v>44348</v>
      </c>
      <c r="I59" s="1102">
        <f t="shared" si="13"/>
        <v>44317</v>
      </c>
      <c r="J59" s="1102">
        <f t="shared" si="13"/>
        <v>44287</v>
      </c>
      <c r="K59" s="1102">
        <f t="shared" si="13"/>
        <v>44256</v>
      </c>
      <c r="L59" s="1102">
        <f t="shared" si="13"/>
        <v>44228</v>
      </c>
      <c r="M59" s="1102">
        <f t="shared" si="13"/>
        <v>44197</v>
      </c>
      <c r="N59" s="1102">
        <f t="shared" si="13"/>
        <v>44166</v>
      </c>
      <c r="O59" s="1102">
        <f t="shared" si="13"/>
        <v>44136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80.459999999999994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2021-11</v>
      </c>
      <c r="D52" s="1102">
        <f>EDATE(C52,-1)</f>
        <v>44470</v>
      </c>
      <c r="E52" s="1102">
        <f t="shared" ref="E52:O52" si="13">EDATE(D52,-1)</f>
        <v>44440</v>
      </c>
      <c r="F52" s="1102">
        <f t="shared" si="13"/>
        <v>44409</v>
      </c>
      <c r="G52" s="1102">
        <f t="shared" si="13"/>
        <v>44378</v>
      </c>
      <c r="H52" s="1102">
        <f t="shared" si="13"/>
        <v>44348</v>
      </c>
      <c r="I52" s="1102">
        <f t="shared" si="13"/>
        <v>44317</v>
      </c>
      <c r="J52" s="1102">
        <f t="shared" si="13"/>
        <v>44287</v>
      </c>
      <c r="K52" s="1102">
        <f t="shared" si="13"/>
        <v>44256</v>
      </c>
      <c r="L52" s="1102">
        <f t="shared" si="13"/>
        <v>44228</v>
      </c>
      <c r="M52" s="1102">
        <f t="shared" si="13"/>
        <v>44197</v>
      </c>
      <c r="N52" s="1102">
        <f t="shared" si="13"/>
        <v>44166</v>
      </c>
      <c r="O52" s="1102">
        <f t="shared" si="13"/>
        <v>44136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42.5">
      <c r="A14" s="344" t="s">
        <v>1690</v>
      </c>
      <c r="B14" s="553"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342">
      <c r="A16" s="347"/>
      <c r="B16" s="555"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142.5">
      <c r="A20" s="347"/>
      <c r="B20" s="555"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2021-11</v>
      </c>
      <c r="D48" s="1102">
        <f>EDATE(C48,-1)</f>
        <v>44470</v>
      </c>
      <c r="E48" s="1102">
        <f t="shared" ref="E48:O48" si="13">EDATE(D48,-1)</f>
        <v>44440</v>
      </c>
      <c r="F48" s="1102">
        <f t="shared" si="13"/>
        <v>44409</v>
      </c>
      <c r="G48" s="1102">
        <f t="shared" si="13"/>
        <v>44378</v>
      </c>
      <c r="H48" s="1102">
        <f t="shared" si="13"/>
        <v>44348</v>
      </c>
      <c r="I48" s="1102">
        <f t="shared" si="13"/>
        <v>44317</v>
      </c>
      <c r="J48" s="1102">
        <f t="shared" si="13"/>
        <v>44287</v>
      </c>
      <c r="K48" s="1102">
        <f t="shared" si="13"/>
        <v>44256</v>
      </c>
      <c r="L48" s="1102">
        <f t="shared" si="13"/>
        <v>44228</v>
      </c>
      <c r="M48" s="1102">
        <f t="shared" si="13"/>
        <v>44197</v>
      </c>
      <c r="N48" s="1102">
        <f t="shared" si="13"/>
        <v>44166</v>
      </c>
      <c r="O48" s="1102">
        <f t="shared" si="13"/>
        <v>44136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估价对象为北京市房地产，为所有。根据《国有土地使用证》[]，估价对象（分摊）出让国有建设用地使用权面积为0平方米，建筑面积为80.46平方米。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估价对象为北京市房地产,属开发建设的，该项目尚在开发建设中。根据《国有土地使用证》[]，估价对象（分摊）出让国有建设用地使用权面积为0平方米，规划建筑面积为80.46平方米。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2021年11月21日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2021年11月21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42.5">
      <c r="A14" s="378" t="s">
        <v>1690</v>
      </c>
      <c r="B14" s="58" t="s">
        <v>1830</v>
      </c>
      <c r="C14" s="1814" t="str">
        <f>IF(B1="工业",估价对象房地状况!G4,估价对象房地状况!C6)</f>
        <v>周边有24路、58路、63路、101路、109路等多条公交线路，地铁2号线与6号线换乘站朝阳门站，地铁5号线与6号线换乘站东四站，综合评价交通便捷度好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342">
      <c r="A16" s="366"/>
      <c r="B16" s="389" t="s">
        <v>1809</v>
      </c>
      <c r="C16" s="1751" t="str">
        <f>IF(B1="工业",估价对象房地状况!G5,估价对象房地状况!C7)</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142.5">
      <c r="A20" s="366"/>
      <c r="B20" s="389" t="s">
        <v>1831</v>
      </c>
      <c r="C20" s="1751" t="str">
        <f>IF(B1="工业",估价对象房地状况!G7,估价对象房地状况!C9)</f>
        <v>自然环境：东四奥林匹克社区公园等自然水系景观；
人文环境：孚王府、南豆芽清真寺、中央歌剧院等人文场所；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2021-11</v>
      </c>
      <c r="D46" s="1102">
        <f>EDATE(C46,-1)</f>
        <v>44470</v>
      </c>
      <c r="E46" s="1102">
        <f t="shared" ref="E46:O46" si="13">EDATE(D46,-1)</f>
        <v>44440</v>
      </c>
      <c r="F46" s="1102">
        <f t="shared" si="13"/>
        <v>44409</v>
      </c>
      <c r="G46" s="1102">
        <f t="shared" si="13"/>
        <v>44378</v>
      </c>
      <c r="H46" s="1102">
        <f t="shared" si="13"/>
        <v>44348</v>
      </c>
      <c r="I46" s="1102">
        <f t="shared" si="13"/>
        <v>44317</v>
      </c>
      <c r="J46" s="1102">
        <f t="shared" si="13"/>
        <v>44287</v>
      </c>
      <c r="K46" s="1102">
        <f t="shared" si="13"/>
        <v>44256</v>
      </c>
      <c r="L46" s="1102">
        <f t="shared" si="13"/>
        <v>44228</v>
      </c>
      <c r="M46" s="1102">
        <f t="shared" si="13"/>
        <v>44197</v>
      </c>
      <c r="N46" s="1102">
        <f t="shared" si="13"/>
        <v>44166</v>
      </c>
      <c r="O46" s="1102">
        <f t="shared" si="13"/>
        <v>44136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38"/>
      <c r="Q10" s="529" t="str">
        <f t="shared" si="6"/>
        <v>土地使用年限（年）</v>
      </c>
      <c r="R10" s="663" t="s">
        <v>14</v>
      </c>
      <c r="S10" s="664">
        <f t="shared" si="0"/>
        <v>111</v>
      </c>
      <c r="T10" s="663" t="s">
        <v>14</v>
      </c>
      <c r="U10" s="664">
        <f t="shared" si="1"/>
        <v>111</v>
      </c>
      <c r="V10" s="663" t="s">
        <v>14</v>
      </c>
      <c r="W10" s="664">
        <f t="shared" si="2"/>
        <v>111</v>
      </c>
      <c r="X10" s="665"/>
      <c r="Y10" s="334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85.5">
      <c r="A15" s="378" t="s">
        <v>1690</v>
      </c>
      <c r="B15" s="58" t="s">
        <v>1257</v>
      </c>
      <c r="C15" s="1747" t="str">
        <f>估价对象房地状况!C15</f>
        <v>周边有南门仓社区、豆瓣小区、竹竿小区、朝内小区等住宅小区，居住社区成熟度较好。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142.5">
      <c r="A21" s="366"/>
      <c r="B21" s="389" t="s">
        <v>1830</v>
      </c>
      <c r="C21" s="1751" t="str">
        <f>估价对象房地状况!C18</f>
        <v>周边有24路、58路、63路、101路、109路等多条公交线路，地铁2号线与6号线换乘站朝阳门站，地铁5号线与6号线换乘站东四站，综合评价交通便捷度好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142.5">
      <c r="A25" s="347"/>
      <c r="B25" s="585" t="s">
        <v>1869</v>
      </c>
      <c r="C25" s="1801" t="str">
        <f>估价对象房地状况!C20</f>
        <v>自然环境：东四奥林匹克社区公园等自然水系景观；
人文环境：孚王府、南豆芽清真寺、中央歌剧院等人文场所；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342">
      <c r="A27" s="442"/>
      <c r="B27" s="585" t="s">
        <v>1775</v>
      </c>
      <c r="C27" s="1751"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80.459999999999994</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80.459999999999994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2021-11-1</v>
      </c>
      <c r="D67" s="655">
        <f>EDATE(C67,-3)</f>
        <v>44409</v>
      </c>
      <c r="E67" s="655">
        <f>EDATE(D67,-3)</f>
        <v>44317</v>
      </c>
      <c r="F67" s="655">
        <f t="shared" ref="F67:O67" si="17">EDATE(E67,-3)</f>
        <v>44228</v>
      </c>
      <c r="G67" s="655">
        <f t="shared" si="17"/>
        <v>44136</v>
      </c>
      <c r="H67" s="655">
        <f t="shared" si="17"/>
        <v>44044</v>
      </c>
      <c r="I67" s="655">
        <f t="shared" si="17"/>
        <v>43952</v>
      </c>
      <c r="J67" s="655">
        <f t="shared" si="17"/>
        <v>43862</v>
      </c>
      <c r="K67" s="655">
        <f t="shared" si="17"/>
        <v>43770</v>
      </c>
      <c r="L67" s="655">
        <f t="shared" si="17"/>
        <v>43678</v>
      </c>
      <c r="M67" s="655">
        <f t="shared" si="17"/>
        <v>43586</v>
      </c>
      <c r="N67" s="655">
        <f t="shared" si="17"/>
        <v>43497</v>
      </c>
      <c r="O67" s="655">
        <f t="shared" si="17"/>
        <v>43405</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2021-4</v>
      </c>
      <c r="D69" s="1099" t="str">
        <f>YEAR(D67)&amp;"-"&amp;ROUNDUP(MONTH(D67)/3,0)</f>
        <v>2021-3</v>
      </c>
      <c r="E69" s="1099" t="str">
        <f t="shared" ref="E69:O69" si="18">YEAR(E67)&amp;"-"&amp;ROUNDUP(MONTH(E67)/3,0)</f>
        <v>2021-2</v>
      </c>
      <c r="F69" s="1099" t="str">
        <f t="shared" si="18"/>
        <v>2021-1</v>
      </c>
      <c r="G69" s="1099" t="str">
        <f t="shared" si="18"/>
        <v>2020-4</v>
      </c>
      <c r="H69" s="1099" t="str">
        <f t="shared" si="18"/>
        <v>2020-3</v>
      </c>
      <c r="I69" s="1099" t="str">
        <f t="shared" si="18"/>
        <v>2020-2</v>
      </c>
      <c r="J69" s="1099" t="str">
        <f t="shared" si="18"/>
        <v>2020-1</v>
      </c>
      <c r="K69" s="1099" t="str">
        <f t="shared" si="18"/>
        <v>2019-4</v>
      </c>
      <c r="L69" s="1099" t="str">
        <f t="shared" si="18"/>
        <v>2019-3</v>
      </c>
      <c r="M69" s="1099" t="str">
        <f t="shared" si="18"/>
        <v>2019-2</v>
      </c>
      <c r="N69" s="1099" t="str">
        <f t="shared" si="18"/>
        <v>2019-1</v>
      </c>
      <c r="O69" s="1099" t="str">
        <f t="shared" si="18"/>
        <v>2018-4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北京市平均增长率1.87%</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44521</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38"/>
      <c r="Q10" s="529" t="str">
        <f t="shared" si="6"/>
        <v>土地使用年限（年）</v>
      </c>
      <c r="R10" s="663" t="s">
        <v>14</v>
      </c>
      <c r="S10" s="664">
        <f t="shared" si="0"/>
        <v>111</v>
      </c>
      <c r="T10" s="663" t="s">
        <v>14</v>
      </c>
      <c r="U10" s="664">
        <f t="shared" si="1"/>
        <v>111</v>
      </c>
      <c r="V10" s="663" t="s">
        <v>14</v>
      </c>
      <c r="W10" s="664">
        <f t="shared" si="2"/>
        <v>111</v>
      </c>
      <c r="X10" s="665"/>
      <c r="Y10" s="3349"/>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80.459999999999994</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2021-11-1</v>
      </c>
      <c r="D63" s="655">
        <f>EDATE(C63,-3)</f>
        <v>44409</v>
      </c>
      <c r="E63" s="655">
        <f>EDATE(D63,-3)</f>
        <v>44317</v>
      </c>
      <c r="F63" s="655">
        <f t="shared" ref="F63:O63" si="17">EDATE(E63,-3)</f>
        <v>44228</v>
      </c>
      <c r="G63" s="655">
        <f t="shared" si="17"/>
        <v>44136</v>
      </c>
      <c r="H63" s="655">
        <f t="shared" si="17"/>
        <v>44044</v>
      </c>
      <c r="I63" s="655">
        <f t="shared" si="17"/>
        <v>43952</v>
      </c>
      <c r="J63" s="655">
        <f t="shared" si="17"/>
        <v>43862</v>
      </c>
      <c r="K63" s="655">
        <f t="shared" si="17"/>
        <v>43770</v>
      </c>
      <c r="L63" s="655">
        <f t="shared" si="17"/>
        <v>43678</v>
      </c>
      <c r="M63" s="655">
        <f t="shared" si="17"/>
        <v>43586</v>
      </c>
      <c r="N63" s="655">
        <f t="shared" si="17"/>
        <v>43497</v>
      </c>
      <c r="O63" s="655">
        <f t="shared" si="17"/>
        <v>43405</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2021-4</v>
      </c>
      <c r="D65" s="1099" t="str">
        <f t="shared" ref="D65:O65" si="18">YEAR(D63)&amp;"-"&amp;ROUNDUP(MONTH(D63)/3,0)</f>
        <v>2021-3</v>
      </c>
      <c r="E65" s="1099" t="str">
        <f t="shared" si="18"/>
        <v>2021-2</v>
      </c>
      <c r="F65" s="1099" t="str">
        <f t="shared" si="18"/>
        <v>2021-1</v>
      </c>
      <c r="G65" s="1099" t="str">
        <f t="shared" si="18"/>
        <v>2020-4</v>
      </c>
      <c r="H65" s="1099" t="str">
        <f t="shared" si="18"/>
        <v>2020-3</v>
      </c>
      <c r="I65" s="1099" t="str">
        <f t="shared" si="18"/>
        <v>2020-2</v>
      </c>
      <c r="J65" s="1099" t="str">
        <f t="shared" si="18"/>
        <v>2020-1</v>
      </c>
      <c r="K65" s="1099" t="str">
        <f t="shared" si="18"/>
        <v>2019-4</v>
      </c>
      <c r="L65" s="1099" t="str">
        <f t="shared" si="18"/>
        <v>2019-3</v>
      </c>
      <c r="M65" s="1099" t="str">
        <f t="shared" si="18"/>
        <v>2019-2</v>
      </c>
      <c r="N65" s="1099" t="str">
        <f t="shared" si="18"/>
        <v>2019-1</v>
      </c>
      <c r="O65" s="1099" t="str">
        <f t="shared" si="18"/>
        <v>2018-4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北京市平均增长率1.24%</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204</v>
      </c>
      <c r="C2" s="1979" t="s">
        <v>2071</v>
      </c>
      <c r="D2" s="1979" t="s">
        <v>2072</v>
      </c>
      <c r="E2" s="2392">
        <f ca="1">SUMIF(E6:E13,"&lt;&gt;#ref!",E6:E13)</f>
        <v>80.459999999999994</v>
      </c>
      <c r="F2" s="2539"/>
      <c r="G2" s="2539"/>
      <c r="H2" s="2539"/>
      <c r="I2" s="2539"/>
      <c r="J2" s="2539"/>
      <c r="K2" s="2539"/>
      <c r="L2" s="2539"/>
      <c r="M2" s="2539"/>
      <c r="N2" s="2539"/>
      <c r="O2" s="2539"/>
      <c r="P2" s="2539"/>
    </row>
    <row r="3" spans="1:16" ht="15.75">
      <c r="A3" s="1979" t="s">
        <v>2073</v>
      </c>
      <c r="B3" s="2382">
        <f ca="1">ROUND(B2*10000/E2,0)</f>
        <v>25354</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204</v>
      </c>
      <c r="C6" s="1979" t="s">
        <v>2071</v>
      </c>
      <c r="D6" s="2539"/>
      <c r="E6" s="2392">
        <f ca="1">SUMIF(INDIRECT("'"&amp;A6&amp;"'"&amp;"!C:C"),"建筑面积",INDIRECT("'"&amp;A6&amp;"'"&amp;"!D:D"))</f>
        <v>80.459999999999994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115"/>
  <sheetViews>
    <sheetView workbookViewId="0">
      <selection activeCell="L45" sqref="L45"/>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3447</v>
      </c>
      <c r="G1" s="1446" t="s">
        <v>3379</v>
      </c>
      <c r="H1" s="1446" t="s">
        <v>3380</v>
      </c>
      <c r="I1" s="1446" t="s">
        <v>3381</v>
      </c>
      <c r="J1" s="1446" t="s">
        <v>3382</v>
      </c>
      <c r="K1" s="1446" t="s">
        <v>3383</v>
      </c>
      <c r="L1" s="1446" t="s">
        <v>3384</v>
      </c>
      <c r="M1" s="1446" t="s">
        <v>3390</v>
      </c>
      <c r="N1" s="1446" t="s">
        <v>3391</v>
      </c>
      <c r="O1" s="1446" t="s">
        <v>3426</v>
      </c>
    </row>
    <row r="2" spans="1:24" ht="24.75" customHeight="1">
      <c r="A2" s="3147">
        <v>1</v>
      </c>
      <c r="B2" s="1446" t="s">
        <v>3465</v>
      </c>
      <c r="C2" s="1446" t="s">
        <v>3463</v>
      </c>
      <c r="D2" s="1446" t="s">
        <v>3424</v>
      </c>
      <c r="E2" s="3142">
        <v>84.74</v>
      </c>
      <c r="F2" s="3181" t="s">
        <v>3470</v>
      </c>
      <c r="G2" s="3142">
        <v>6</v>
      </c>
      <c r="H2" s="3142">
        <v>4</v>
      </c>
      <c r="I2" s="1446">
        <v>2003</v>
      </c>
      <c r="J2" s="3142">
        <v>134057</v>
      </c>
      <c r="K2" s="3142">
        <v>124406</v>
      </c>
      <c r="L2" s="3152">
        <v>44368</v>
      </c>
      <c r="M2" s="3181" t="s">
        <v>3429</v>
      </c>
      <c r="N2" s="3181" t="s">
        <v>3425</v>
      </c>
      <c r="O2" s="1446" t="s">
        <v>3427</v>
      </c>
    </row>
    <row r="3" spans="1:24" ht="34.5" customHeight="1">
      <c r="A3" s="3138">
        <v>2</v>
      </c>
      <c r="B3" s="1446" t="s">
        <v>3464</v>
      </c>
      <c r="C3" s="1446" t="s">
        <v>3467</v>
      </c>
      <c r="D3" s="1446" t="s">
        <v>3424</v>
      </c>
      <c r="E3" s="3142">
        <v>85.8</v>
      </c>
      <c r="F3" s="3181" t="s">
        <v>3470</v>
      </c>
      <c r="G3" s="3142">
        <v>6</v>
      </c>
      <c r="H3" s="3142">
        <v>2</v>
      </c>
      <c r="I3" s="1446">
        <v>2003</v>
      </c>
      <c r="J3" s="3142">
        <v>129254</v>
      </c>
      <c r="K3" s="1446">
        <v>118584</v>
      </c>
      <c r="L3" s="3152">
        <v>44517</v>
      </c>
      <c r="M3" s="3181" t="s">
        <v>3429</v>
      </c>
      <c r="N3" s="3181" t="s">
        <v>3425</v>
      </c>
      <c r="O3" s="1446" t="s">
        <v>3427</v>
      </c>
    </row>
    <row r="4" spans="1:24">
      <c r="A4" s="3142">
        <v>3</v>
      </c>
      <c r="B4" s="1446" t="s">
        <v>3466</v>
      </c>
      <c r="C4" s="1446" t="s">
        <v>3467</v>
      </c>
      <c r="D4" s="1446" t="s">
        <v>3424</v>
      </c>
      <c r="E4" s="3142">
        <v>71.44</v>
      </c>
      <c r="F4" s="3181" t="s">
        <v>3457</v>
      </c>
      <c r="G4" s="3142">
        <v>6</v>
      </c>
      <c r="H4" s="3142">
        <v>2</v>
      </c>
      <c r="I4" s="1446">
        <v>2003</v>
      </c>
      <c r="J4" s="3142">
        <v>124300</v>
      </c>
      <c r="K4" s="1446">
        <v>119129</v>
      </c>
      <c r="L4" s="3152">
        <v>44482</v>
      </c>
      <c r="M4" s="3181" t="s">
        <v>3432</v>
      </c>
      <c r="N4" s="3181" t="s">
        <v>3425</v>
      </c>
      <c r="O4" s="1446" t="s">
        <v>3427</v>
      </c>
    </row>
    <row r="6" spans="1:24">
      <c r="A6" s="3147"/>
    </row>
    <row r="7" spans="1:24" ht="43.5" customHeight="1">
      <c r="A7" s="3138"/>
    </row>
    <row r="9" spans="1:24">
      <c r="V9" s="3142">
        <v>84.74</v>
      </c>
      <c r="W9" s="3142">
        <v>134057</v>
      </c>
      <c r="X9" s="3180">
        <f>ROUND(V9*W9/10000,2)</f>
        <v>1136</v>
      </c>
    </row>
    <row r="10" spans="1:24">
      <c r="V10" s="3142">
        <v>85.8</v>
      </c>
      <c r="W10" s="3142">
        <v>129254</v>
      </c>
      <c r="X10" s="3180">
        <f t="shared" ref="X10:X14" si="0">ROUND(V10*W10/10000,2)</f>
        <v>1109</v>
      </c>
    </row>
    <row r="11" spans="1:24">
      <c r="V11" s="3142">
        <v>71.44</v>
      </c>
      <c r="W11" s="3142">
        <v>124300</v>
      </c>
      <c r="X11" s="3180">
        <f t="shared" si="0"/>
        <v>888</v>
      </c>
    </row>
    <row r="12" spans="1:24">
      <c r="V12" s="3142">
        <v>68.34</v>
      </c>
      <c r="W12" s="3142">
        <v>112965</v>
      </c>
      <c r="X12" s="3180">
        <f t="shared" si="0"/>
        <v>772</v>
      </c>
    </row>
    <row r="13" spans="1:24">
      <c r="V13" s="3142">
        <v>67.930000000000007</v>
      </c>
      <c r="W13" s="3142">
        <v>135434</v>
      </c>
      <c r="X13" s="3180">
        <f t="shared" si="0"/>
        <v>920</v>
      </c>
    </row>
    <row r="14" spans="1:24" ht="24.75" customHeight="1">
      <c r="V14" s="3142">
        <v>85.11</v>
      </c>
      <c r="W14" s="3142">
        <v>129832</v>
      </c>
      <c r="X14" s="3180">
        <f t="shared" si="0"/>
        <v>1105</v>
      </c>
    </row>
    <row r="15" spans="1:24" ht="24.75" customHeight="1"/>
    <row r="16" spans="1:24" ht="24.75" customHeight="1"/>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spans="1:19" ht="24.75" customHeight="1"/>
    <row r="34" spans="1:19" ht="24.75" customHeight="1"/>
    <row r="35" spans="1:19" ht="24.75" customHeight="1"/>
    <row r="36" spans="1:19" ht="24.75" customHeight="1"/>
    <row r="37" spans="1:19" ht="24.75" customHeight="1"/>
    <row r="38" spans="1:19">
      <c r="A38" s="3183"/>
      <c r="B38" s="3184">
        <v>44470.333831018521</v>
      </c>
      <c r="C38" s="3184">
        <v>44440.333831018521</v>
      </c>
      <c r="D38" s="3184">
        <v>44409.333831018521</v>
      </c>
      <c r="E38" s="3184">
        <v>44378.333831018521</v>
      </c>
      <c r="F38" s="3184">
        <v>44348.333831018521</v>
      </c>
      <c r="G38" s="3184">
        <v>44317.333831018521</v>
      </c>
      <c r="H38" s="3184">
        <v>44256.333831018521</v>
      </c>
      <c r="I38" s="3184">
        <v>44228.333831018521</v>
      </c>
      <c r="J38" s="3184">
        <v>44197.333831018521</v>
      </c>
      <c r="L38" s="1446" t="s">
        <v>3497</v>
      </c>
    </row>
    <row r="39" spans="1:19">
      <c r="A39" s="3183" t="s">
        <v>3491</v>
      </c>
      <c r="B39" s="3183">
        <v>160.15</v>
      </c>
      <c r="C39" s="3183">
        <v>164.59</v>
      </c>
      <c r="D39" s="3183">
        <v>150.77000000000001</v>
      </c>
      <c r="E39" s="3183">
        <v>121.4</v>
      </c>
      <c r="F39" s="3183">
        <v>136.07</v>
      </c>
      <c r="G39" s="3183">
        <v>136.72</v>
      </c>
      <c r="H39" s="3183">
        <v>144.38999999999999</v>
      </c>
      <c r="I39" s="3183">
        <v>139.69</v>
      </c>
      <c r="J39" s="3183">
        <v>129.49</v>
      </c>
      <c r="K39" s="3183" t="s">
        <v>3491</v>
      </c>
      <c r="L39" s="3142">
        <f>ROUND(AVERAGE(B39:C39),2)</f>
        <v>162.37</v>
      </c>
    </row>
    <row r="40" spans="1:19">
      <c r="A40" s="3183"/>
      <c r="B40" s="3183"/>
      <c r="C40" s="3183"/>
      <c r="D40" s="3183"/>
      <c r="E40" s="3183"/>
      <c r="F40" s="3183"/>
      <c r="G40" s="3183"/>
      <c r="H40" s="3183"/>
      <c r="I40" s="3183"/>
      <c r="J40" s="3183"/>
    </row>
    <row r="41" spans="1:19">
      <c r="A41" s="3183"/>
      <c r="B41" s="3184">
        <v>44470.333831018521</v>
      </c>
      <c r="C41" s="3184">
        <v>44440.333831018521</v>
      </c>
      <c r="D41" s="3184">
        <v>44317.333831018521</v>
      </c>
      <c r="E41" s="3184">
        <v>44287.333831018521</v>
      </c>
      <c r="F41" s="3183"/>
      <c r="G41" s="3183"/>
      <c r="H41" s="3183"/>
      <c r="I41" s="3183"/>
      <c r="J41" s="3183"/>
      <c r="K41" s="3183" t="s">
        <v>3492</v>
      </c>
      <c r="L41" s="3142">
        <f>ROUND(AVERAGE(B42:C42),2)</f>
        <v>155.03</v>
      </c>
    </row>
    <row r="42" spans="1:19">
      <c r="A42" s="3183" t="s">
        <v>3492</v>
      </c>
      <c r="B42" s="3183">
        <v>164.46</v>
      </c>
      <c r="C42" s="3183">
        <v>145.59</v>
      </c>
      <c r="D42" s="3183" t="s">
        <v>633</v>
      </c>
      <c r="E42" s="3183" t="s">
        <v>633</v>
      </c>
      <c r="F42" s="3183"/>
      <c r="G42" s="3183"/>
      <c r="H42" s="3183"/>
      <c r="I42" s="3183"/>
      <c r="J42" s="3183"/>
    </row>
    <row r="43" spans="1:19">
      <c r="A43" s="3183" t="s">
        <v>3493</v>
      </c>
      <c r="B43" s="3183" t="s">
        <v>633</v>
      </c>
      <c r="C43" s="3183" t="s">
        <v>633</v>
      </c>
      <c r="D43" s="3183">
        <v>110.02</v>
      </c>
      <c r="E43" s="3183">
        <v>109.37</v>
      </c>
      <c r="F43" s="3183"/>
      <c r="G43" s="3183"/>
      <c r="H43" s="3183"/>
      <c r="I43" s="3183"/>
      <c r="J43" s="3183"/>
      <c r="K43" s="3183" t="s">
        <v>3494</v>
      </c>
      <c r="L43" s="3142">
        <f>ROUND(AVERAGE(B46:C46),2)</f>
        <v>159.84</v>
      </c>
    </row>
    <row r="44" spans="1:19">
      <c r="A44" s="3183"/>
      <c r="B44" s="3183"/>
      <c r="C44" s="3183"/>
      <c r="D44" s="3183"/>
      <c r="E44" s="3183"/>
      <c r="F44" s="3183"/>
      <c r="G44" s="3183"/>
      <c r="H44" s="3183"/>
      <c r="I44" s="3183"/>
      <c r="J44" s="3183"/>
    </row>
    <row r="45" spans="1:19">
      <c r="A45" s="3183"/>
      <c r="B45" s="3184">
        <v>44470.333831018521</v>
      </c>
      <c r="C45" s="3184">
        <v>44440.333831018521</v>
      </c>
      <c r="D45" s="3184">
        <v>44409.333831018521</v>
      </c>
      <c r="E45" s="3184">
        <v>44348.333831018521</v>
      </c>
      <c r="F45" s="3183"/>
      <c r="G45" s="3183"/>
      <c r="H45" s="3183"/>
      <c r="I45" s="3183"/>
      <c r="J45" s="3183"/>
      <c r="K45" s="3183" t="s">
        <v>3495</v>
      </c>
      <c r="L45" s="3142">
        <f>ROUND(AVERAGE(B49:C49),2)</f>
        <v>133.72999999999999</v>
      </c>
    </row>
    <row r="46" spans="1:19">
      <c r="A46" s="3183" t="s">
        <v>3494</v>
      </c>
      <c r="B46" s="3183">
        <v>159.22999999999999</v>
      </c>
      <c r="C46" s="3183">
        <v>160.44999999999999</v>
      </c>
      <c r="D46" s="3183">
        <v>139.1</v>
      </c>
      <c r="E46" s="3183">
        <v>132.30000000000001</v>
      </c>
      <c r="F46" s="3183"/>
      <c r="G46" s="3183"/>
      <c r="H46" s="3183"/>
      <c r="I46" s="3183"/>
      <c r="J46" s="3183"/>
    </row>
    <row r="47" spans="1:19">
      <c r="A47" s="3183"/>
      <c r="B47" s="3183"/>
      <c r="C47" s="3183"/>
      <c r="D47" s="3183"/>
      <c r="E47" s="3183"/>
      <c r="F47" s="3183"/>
      <c r="G47" s="3183"/>
      <c r="H47" s="3183"/>
      <c r="I47" s="3183"/>
      <c r="J47" s="3183"/>
      <c r="K47" s="3183" t="s">
        <v>3496</v>
      </c>
      <c r="L47" s="3142">
        <f>ROUND(AVERAGE(B52),2)</f>
        <v>128.76</v>
      </c>
    </row>
    <row r="48" spans="1:19">
      <c r="A48" s="3183"/>
      <c r="B48" s="3184">
        <v>44470.333831018521</v>
      </c>
      <c r="C48" s="3184">
        <v>44440.333831018521</v>
      </c>
      <c r="D48" s="3183"/>
      <c r="E48" s="3183"/>
      <c r="F48" s="3183"/>
      <c r="G48" s="3183"/>
      <c r="H48" s="3183"/>
      <c r="I48" s="3183"/>
      <c r="J48" s="3183"/>
      <c r="R48" s="3142">
        <v>1</v>
      </c>
      <c r="S48" s="3142">
        <v>99</v>
      </c>
    </row>
    <row r="49" spans="1:19">
      <c r="A49" s="3183" t="s">
        <v>3495</v>
      </c>
      <c r="B49" s="3183">
        <v>131.65</v>
      </c>
      <c r="C49" s="3183">
        <v>135.80000000000001</v>
      </c>
      <c r="D49" s="3183"/>
      <c r="E49" s="3183"/>
      <c r="F49" s="3183"/>
      <c r="G49" s="3183"/>
      <c r="H49" s="3183"/>
      <c r="I49" s="3183"/>
      <c r="J49" s="3183"/>
      <c r="K49" s="1446" t="s">
        <v>3498</v>
      </c>
      <c r="L49" s="3142">
        <f>ROUND(AVERAGE(L39:L47),2)</f>
        <v>147.94999999999999</v>
      </c>
      <c r="O49" s="3142">
        <v>1</v>
      </c>
      <c r="P49" s="3142">
        <v>99</v>
      </c>
      <c r="Q49" s="3142">
        <f>P49*100/$P$49</f>
        <v>100</v>
      </c>
      <c r="R49" s="3142">
        <v>2</v>
      </c>
      <c r="S49" s="3142">
        <v>100</v>
      </c>
    </row>
    <row r="50" spans="1:19">
      <c r="A50" s="3183"/>
      <c r="B50" s="3183"/>
      <c r="C50" s="3183"/>
      <c r="D50" s="3183"/>
      <c r="E50" s="3183"/>
      <c r="F50" s="3183"/>
      <c r="G50" s="3183"/>
      <c r="H50" s="3183"/>
      <c r="I50" s="3183"/>
      <c r="J50" s="3183"/>
      <c r="O50" s="3142">
        <v>4</v>
      </c>
      <c r="P50" s="3142">
        <v>101</v>
      </c>
      <c r="Q50" s="3142">
        <f t="shared" ref="Q50:Q51" si="1">P50*100/$P$49</f>
        <v>102.02020202020202</v>
      </c>
      <c r="R50" s="3142">
        <v>3</v>
      </c>
      <c r="S50" s="3142">
        <v>101.5</v>
      </c>
    </row>
    <row r="51" spans="1:19">
      <c r="A51" s="3183"/>
      <c r="B51" s="3184">
        <v>44470.333831018521</v>
      </c>
      <c r="C51" s="3184">
        <v>44348.333831018521</v>
      </c>
      <c r="D51" s="3183"/>
      <c r="E51" s="3183"/>
      <c r="F51" s="3183"/>
      <c r="G51" s="3183"/>
      <c r="H51" s="3183"/>
      <c r="I51" s="3183"/>
      <c r="J51" s="3183"/>
      <c r="L51" s="3142">
        <f>L49*'数据-汇总表'!E8</f>
        <v>11904.056999999999</v>
      </c>
      <c r="O51" s="3142">
        <v>2</v>
      </c>
      <c r="P51" s="3142">
        <v>100</v>
      </c>
      <c r="Q51" s="3142">
        <f t="shared" si="1"/>
        <v>101.01010101010101</v>
      </c>
      <c r="R51" s="3142">
        <v>4</v>
      </c>
      <c r="S51" s="3142">
        <v>101</v>
      </c>
    </row>
    <row r="52" spans="1:19">
      <c r="A52" s="3183" t="s">
        <v>3496</v>
      </c>
      <c r="B52" s="3183">
        <v>128.76</v>
      </c>
      <c r="C52" s="3183">
        <v>127.81</v>
      </c>
      <c r="D52" s="3183"/>
      <c r="E52" s="3183"/>
      <c r="F52" s="3183"/>
      <c r="G52" s="3183"/>
      <c r="H52" s="3183"/>
      <c r="I52" s="3183"/>
      <c r="J52" s="3183"/>
      <c r="R52" s="3142">
        <v>5</v>
      </c>
      <c r="S52" s="3142">
        <v>100</v>
      </c>
    </row>
    <row r="53" spans="1: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336.6755</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41844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2112754.96</v>
      </c>
      <c r="D5" s="202" t="s">
        <v>1469</v>
      </c>
      <c r="E5" s="203" t="s">
        <v>1470</v>
      </c>
      <c r="F5" s="203" t="s">
        <v>1471</v>
      </c>
      <c r="G5" s="204"/>
    </row>
    <row r="6" spans="1:8" s="205" customFormat="1" ht="13.5" customHeight="1">
      <c r="A6" s="731" t="s">
        <v>1472</v>
      </c>
      <c r="B6" s="206" t="s">
        <v>1473</v>
      </c>
      <c r="C6" s="207">
        <f>基准地价修正!C33*基准地价修正!D33</f>
        <v>2037729.9599999997</v>
      </c>
      <c r="D6" s="208"/>
      <c r="E6" s="209"/>
      <c r="F6" s="209"/>
      <c r="G6" s="210"/>
    </row>
    <row r="7" spans="1:8" s="205" customFormat="1" ht="13.5" customHeight="1">
      <c r="A7" s="731" t="s">
        <v>1474</v>
      </c>
      <c r="B7" s="206" t="s">
        <v>1475</v>
      </c>
      <c r="C7" s="211">
        <f>ROUND(C6*F7,0)</f>
        <v>62151</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12874</v>
      </c>
      <c r="D8" s="213"/>
      <c r="E8" s="211"/>
      <c r="F8" s="212"/>
      <c r="G8" s="1712" t="s">
        <v>3409</v>
      </c>
    </row>
    <row r="9" spans="1:8" s="205" customFormat="1" ht="13.5" customHeight="1">
      <c r="A9" s="732" t="s">
        <v>355</v>
      </c>
      <c r="B9" s="215" t="s">
        <v>1478</v>
      </c>
      <c r="C9" s="216">
        <f ca="1">ROUND(D9*E9,0)</f>
        <v>12874</v>
      </c>
      <c r="D9" s="794">
        <f ca="1">IF(B1="",'数据-汇总表'!E5,IF(INDIRECT("'数据-取费表'!c"&amp;$G$1)="住宅",INDIRECT("'数据-取费表'!k"&amp;$G$1),0))</f>
        <v>80.459999999999994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80.459999999999994</v>
      </c>
      <c r="E19" s="202">
        <f>'数据-取费表'!B31</f>
        <v>200</v>
      </c>
      <c r="F19" s="222"/>
      <c r="G19" s="1712" t="s">
        <v>3410</v>
      </c>
    </row>
    <row r="20" spans="1:7" s="205" customFormat="1" ht="13.5" customHeight="1">
      <c r="A20" s="246" t="s">
        <v>1574</v>
      </c>
      <c r="B20" s="201" t="s">
        <v>1575</v>
      </c>
      <c r="C20" s="223">
        <f ca="1">ROUND((C5+C19)*F20,0)</f>
        <v>42255</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207486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205479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2007</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431002</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431002</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3030810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324455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281610</v>
      </c>
      <c r="D34" s="208"/>
      <c r="E34" s="211"/>
      <c r="F34" s="248"/>
      <c r="G34" s="210"/>
    </row>
    <row r="35" spans="1:7" ht="13.5" customHeight="1">
      <c r="A35" s="733" t="s">
        <v>351</v>
      </c>
      <c r="B35" s="206" t="s">
        <v>1527</v>
      </c>
      <c r="C35" s="211">
        <f ca="1">ROUND(C34*F35,0)</f>
        <v>8448</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14081</v>
      </c>
      <c r="D36" s="211"/>
      <c r="E36" s="211"/>
      <c r="F36" s="250">
        <f>'数据-取费表'!B34</f>
        <v>0.05</v>
      </c>
      <c r="G36" s="251" t="s">
        <v>1530</v>
      </c>
    </row>
    <row r="37" spans="1:7" s="249" customFormat="1" ht="13.5" customHeight="1">
      <c r="A37" s="733" t="s">
        <v>353</v>
      </c>
      <c r="B37" s="206" t="s">
        <v>1531</v>
      </c>
      <c r="C37" s="240">
        <f ca="1">ROUND(E37*D37,0)</f>
        <v>16092</v>
      </c>
      <c r="D37" s="208">
        <f ca="1">D19</f>
        <v>80.459999999999994</v>
      </c>
      <c r="E37" s="240">
        <f>'数据-取费表'!B35</f>
        <v>200</v>
      </c>
      <c r="F37" s="250"/>
      <c r="G37" s="252"/>
    </row>
    <row r="38" spans="1:7" ht="13.5" customHeight="1">
      <c r="A38" s="733" t="s">
        <v>354</v>
      </c>
      <c r="B38" s="206" t="s">
        <v>1533</v>
      </c>
      <c r="C38" s="211">
        <f ca="1">ROUND(C34*F38,0)</f>
        <v>4224</v>
      </c>
      <c r="D38" s="211"/>
      <c r="E38" s="211"/>
      <c r="F38" s="250">
        <f>'数据-取费表'!B36</f>
        <v>1.4999999999999999E-2</v>
      </c>
      <c r="G38" s="210" t="s">
        <v>1528</v>
      </c>
    </row>
    <row r="39" spans="1:7" s="205" customFormat="1" ht="13.5" customHeight="1">
      <c r="A39" s="246" t="s">
        <v>1534</v>
      </c>
      <c r="B39" s="201" t="s">
        <v>1535</v>
      </c>
      <c r="C39" s="223">
        <f ca="1">ROUND(C33*F20,0)</f>
        <v>6489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15720</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15412</v>
      </c>
      <c r="D42" s="229"/>
      <c r="E42" s="229"/>
      <c r="F42" s="230"/>
      <c r="G42" s="3373" t="s">
        <v>1591</v>
      </c>
    </row>
    <row r="43" spans="1:7" ht="13.5" customHeight="1">
      <c r="A43" s="733" t="s">
        <v>347</v>
      </c>
      <c r="B43" s="206" t="s">
        <v>1545</v>
      </c>
      <c r="C43" s="229">
        <f ca="1">ROUND(IF('数据-取费表'!B22&lt;=1,C39*F22*'数据-取费表'!B20/2,C39*(POWER((1+F22),'数据-取费表'!B20/2)-1)),0)</f>
        <v>308</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66189</v>
      </c>
      <c r="D45" s="226">
        <f ca="1">C47</f>
        <v>4.0000000000000001E-3</v>
      </c>
      <c r="E45" s="227" t="s">
        <v>1539</v>
      </c>
      <c r="F45" s="237">
        <f ca="1">F27</f>
        <v>0.2</v>
      </c>
      <c r="G45" s="238" t="s">
        <v>1548</v>
      </c>
    </row>
    <row r="46" spans="1:7" s="205" customFormat="1" ht="13.5" customHeight="1">
      <c r="A46" s="733" t="s">
        <v>346</v>
      </c>
      <c r="B46" s="239" t="s">
        <v>1549</v>
      </c>
      <c r="C46" s="240">
        <f ca="1">ROUND((C33+C39)*F27,0)</f>
        <v>66189</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447926</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335945</v>
      </c>
      <c r="D51" s="223"/>
      <c r="E51" s="223"/>
      <c r="F51" s="255"/>
      <c r="G51" s="225" t="s">
        <v>1560</v>
      </c>
    </row>
    <row r="52" spans="1:7" s="199" customFormat="1" ht="16.5" thickBot="1">
      <c r="A52" s="256" t="s">
        <v>1561</v>
      </c>
      <c r="B52" s="257"/>
      <c r="C52" s="258">
        <f ca="1">C31+C51</f>
        <v>3366755</v>
      </c>
      <c r="D52" s="257"/>
      <c r="E52" s="257"/>
      <c r="F52" s="257"/>
      <c r="G52" s="259"/>
    </row>
    <row r="55" spans="1:7" ht="15">
      <c r="B55" s="261" t="s">
        <v>1562</v>
      </c>
      <c r="C55" s="262"/>
    </row>
    <row r="56" spans="1:7">
      <c r="B56" s="264" t="s">
        <v>802</v>
      </c>
      <c r="C56" s="266">
        <f ca="1">1-C57</f>
        <v>0.9</v>
      </c>
    </row>
    <row r="57" spans="1:7">
      <c r="B57" s="264" t="s">
        <v>803</v>
      </c>
      <c r="C57" s="265">
        <f ca="1">ROUND(C51/C52,3)</f>
        <v>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80.459999999999994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204</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40362</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25354</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31813</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26887</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23714</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22789</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1.0262</v>
      </c>
      <c r="D23" s="1891" t="s">
        <v>1999</v>
      </c>
      <c r="E23" s="716">
        <v>44197</v>
      </c>
      <c r="F23" s="1891" t="s">
        <v>2000</v>
      </c>
      <c r="G23" s="717">
        <f>'数据-取费表'!B2</f>
        <v>44521</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0.94379999999999997</v>
      </c>
      <c r="D24" s="1897" t="s">
        <v>2004</v>
      </c>
      <c r="E24" s="1246">
        <f>存贷款利率!E22/100</f>
        <v>4.3499999999999997E-2</v>
      </c>
      <c r="F24" s="1897" t="s">
        <v>1996</v>
      </c>
      <c r="G24" s="723">
        <f>SUMIF(M30:Q30,E2,M33:Q33)</f>
        <v>0.05</v>
      </c>
      <c r="H24" s="1897" t="s">
        <v>2005</v>
      </c>
      <c r="I24" s="724">
        <f>SUMIF('数据-取费表'!C6:C15,E2,'数据-取费表'!F6:F15)/COUNTIF('数据-取费表'!C6:C15,E2)</f>
        <v>50</v>
      </c>
      <c r="J24" s="725">
        <f>IF(E2="住宅",70,IF(E2="商业",40,50))</f>
        <v>70</v>
      </c>
      <c r="K24" s="1060"/>
      <c r="L24" s="1898" t="s">
        <v>2006</v>
      </c>
      <c r="M24" s="1240">
        <f>ROUND(SUMPRODUCT((地价!A4:A16=YEAR(G23)&amp;"-"&amp;ROUNDUP(MONTH(G23)/3,0))*(地价!B2:G2=E2)*(地价!B4:G16)),0)</f>
        <v>737</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1.06E-2</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1.06E-2</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1.8700000000000001E-2</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1.24E-2</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1.6899999999999998E-2</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204</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25326</v>
      </c>
      <c r="D33" s="1935">
        <f>'数据-汇总表'!F19</f>
        <v>80.459999999999994</v>
      </c>
      <c r="E33" s="726">
        <f>ROUND(C33*D33/10000,0)</f>
        <v>204</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6332</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15356</v>
      </c>
      <c r="D37" s="1935"/>
      <c r="E37" s="162">
        <f t="shared" ref="E37:E42" si="3">ROUND(C37*D37/10000,0)</f>
        <v>0</v>
      </c>
      <c r="F37" s="162">
        <f>SUMIF(修正!A57:A68,G2,修正!B57:B68)</f>
        <v>0.6</v>
      </c>
      <c r="G37" s="162">
        <f>ROUND(IF(E2="工业",C37*$M$42,C37*$M$41),0)</f>
        <v>3839</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7678</v>
      </c>
      <c r="D38" s="1935"/>
      <c r="E38" s="162">
        <f t="shared" si="3"/>
        <v>0</v>
      </c>
      <c r="F38" s="162">
        <f>SUMIF(修正!A57:A68,G2,修正!C57:C68)</f>
        <v>0.3</v>
      </c>
      <c r="G38" s="162">
        <f>ROUND(IF(E2="工业",C38*$M$42,C38*$M$41),0)</f>
        <v>1920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6398</v>
      </c>
      <c r="D39" s="1935"/>
      <c r="E39" s="162">
        <f t="shared" si="3"/>
        <v>0</v>
      </c>
      <c r="F39" s="162">
        <f>SUMIF(修正!A57:A68,G2,修正!D57:D68)</f>
        <v>0.25</v>
      </c>
      <c r="G39" s="162">
        <f>ROUND(IF(E2="工业",C39*$M$42,C39*$M$41),0)</f>
        <v>1600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6398</v>
      </c>
      <c r="D40" s="1935"/>
      <c r="E40" s="162">
        <f t="shared" si="3"/>
        <v>0</v>
      </c>
      <c r="F40" s="166">
        <f>SUMIF(修正!A57:A68,G2,修正!E57:E68)</f>
        <v>0.25</v>
      </c>
      <c r="G40" s="162">
        <f>ROUND(IF(E2="工业",C40*$M$42,C40*$M$41),0)</f>
        <v>1600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周边有24路、58路、63路、101路、109路等多条公交线路，地铁2号线与6号线换乘站朝阳门站，地铁5号线与6号线换乘站东四站，综合评价交通便捷度好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91.25" hidden="1">
      <c r="A56" s="1971" t="s">
        <v>2056</v>
      </c>
      <c r="B5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自然环境：东四奥林匹克社区公园等自然水系景观；
人文环境：孚王府、南豆芽清真寺、中央歌剧院等人文场所；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周边有24路、58路、63路、101路、109路等多条公交线路，地铁2号线与6号线换乘站朝阳门站，地铁5号线与6号线换乘站东四站，综合评价交通便捷度好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91.25" hidden="1">
      <c r="A67" s="1965" t="s">
        <v>2056</v>
      </c>
      <c r="B67"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自然环境：东四奥林匹克社区公园等自然水系景观；
人文环境：孚王府、南豆芽清真寺、中央歌剧院等人文场所；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周边有南门仓社区、豆瓣小区、竹竿小区、朝内小区等住宅小区，居住社区成熟度较好。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周边有24路、58路、63路、101路、109路等多条公交线路，地铁2号线与6号线换乘站朝阳门站，地铁5号线与6号线换乘站东四站，综合评价交通便捷度好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91.25">
      <c r="A76" s="1965" t="s">
        <v>2056</v>
      </c>
      <c r="B76" s="1238"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自然环境：东四奥林匹克社区公园等自然水系景观；
人文环境：孚王府、南豆芽清真寺、中央歌剧院等人文场所；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周边有24路、58路、63路、101路、109路等多条公交线路，地铁2号线与6号线换乘站朝阳门站，地铁5号线与6号线换乘站东四站，综合评价交通便捷度好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91.25">
      <c r="A99" s="3074" t="s">
        <v>3277</v>
      </c>
      <c r="B99" s="3065" t="str">
        <f>估价对象房地状况!C21</f>
        <v>银行：中国银行、中国农业银行、中国工商银行等金融机构；
医院：中国人民解放军总医院第七医学中心等医疗机构；
学校：北京财贸职业学院、北京市第二中学、史家小学、回民小学、东四五条幼儿园等教育机构；
商业：银河SOHO购物中心、悠唐购物中心、丰联广场、银河SOHO购物中心等商业设施；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自然环境：东四奥林匹克社区公园等自然水系景观；
人文环境：孚王府、南豆芽清真寺、中央歌剧院等人文场所；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29604</v>
      </c>
      <c r="C2" s="2" t="s">
        <v>106</v>
      </c>
      <c r="D2" s="190"/>
      <c r="E2" s="190"/>
      <c r="F2" s="190"/>
      <c r="G2" s="190"/>
    </row>
    <row r="3" spans="1:7" s="191" customFormat="1" ht="18" customHeight="1" thickBot="1">
      <c r="A3" s="194" t="s">
        <v>58</v>
      </c>
      <c r="B3" s="195">
        <f ca="1">ROUND(B2*10000/'数据-汇总表'!E3,0)</f>
        <v>3679344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80.459999999999994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80.459999999999994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28</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80.459999999999994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7</v>
      </c>
      <c r="D45" s="226">
        <f>C47</f>
        <v>4.0000000000000001E-3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35</v>
      </c>
      <c r="D51" s="223"/>
      <c r="E51" s="223"/>
      <c r="F51" s="255"/>
      <c r="G51" s="225" t="s">
        <v>37</v>
      </c>
    </row>
    <row r="52" spans="1:7" s="199" customFormat="1" ht="16.5" thickBot="1">
      <c r="A52" s="256" t="s">
        <v>38</v>
      </c>
      <c r="B52" s="257"/>
      <c r="C52" s="258">
        <f ca="1">C31+C51</f>
        <v>29604</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44521</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44521</v>
      </c>
      <c r="D1" s="1215" t="s">
        <v>603</v>
      </c>
      <c r="E1" s="1210">
        <f>'数据-取费表'!B22</f>
        <v>2</v>
      </c>
      <c r="F1" s="1215" t="s">
        <v>604</v>
      </c>
      <c r="G1" s="1211">
        <f ca="1">INDIRECT("d"&amp;$K$1)/100</f>
        <v>3.85E-2</v>
      </c>
      <c r="H1" s="1215" t="s">
        <v>634</v>
      </c>
      <c r="I1" s="1211">
        <f ca="1">F4/100</f>
        <v>1.4999999999999999E-2</v>
      </c>
      <c r="J1" s="1216">
        <f>IF(C1&gt;C13,0,MATCH(C1,C$13:C$109,-1))+IF(SUMIF(C13:C109,C1,D13:D109)=0,13,12)</f>
        <v>17</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3.85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3.85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3.85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3.85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4.6500000000000004</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80.459999999999994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45448</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2024-06-05T06:47:44Z</dcterms:modified>
</cp:coreProperties>
</file>