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E15" i="4" l="1"/>
  <c r="F6" i="1"/>
  <c r="J51" i="67"/>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D48" i="43" s="1"/>
  <c r="E48" i="43" s="1"/>
  <c r="B46" i="43" s="1"/>
  <c r="C24"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I15" i="4"/>
  <c r="H15" i="4"/>
  <c r="G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F27" i="6" s="1"/>
  <c r="G509" i="3"/>
  <c r="BL493" i="3"/>
  <c r="AZ491" i="3"/>
  <c r="AZ376" i="3"/>
  <c r="AZ390" i="3"/>
  <c r="AZ382" i="3"/>
  <c r="AZ493" i="3"/>
  <c r="U36" i="40"/>
  <c r="F36" i="43"/>
  <c r="F81" i="43"/>
  <c r="H83" i="43"/>
  <c r="N10"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C42" i="1"/>
  <c r="C31"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G5" i="3"/>
  <c r="B3" i="3" s="1"/>
  <c r="BA13" i="3"/>
  <c r="BA5" i="3"/>
  <c r="E27" i="6" s="1"/>
  <c r="E11" i="6"/>
  <c r="BL17" i="3"/>
  <c r="AZ17" i="3"/>
  <c r="BL13" i="3"/>
  <c r="J56" i="9"/>
  <c r="J57" i="9"/>
  <c r="A24" i="51"/>
  <c r="B18" i="72" s="1"/>
  <c r="U29" i="34"/>
  <c r="C106" i="43"/>
  <c r="E5" i="6"/>
  <c r="D9" i="11" s="1"/>
  <c r="C9" i="11" s="1"/>
  <c r="J105" i="43"/>
  <c r="G102" i="43"/>
  <c r="H22" i="43"/>
  <c r="L101" i="43"/>
  <c r="L109" i="43" s="1"/>
  <c r="H101" i="43"/>
  <c r="H102" i="43" s="1"/>
  <c r="D101" i="43"/>
  <c r="D109" i="43" s="1"/>
  <c r="M101" i="43"/>
  <c r="M109" i="43" s="1"/>
  <c r="I101" i="43"/>
  <c r="E101" i="43"/>
  <c r="E104" i="43" s="1"/>
  <c r="G22" i="43"/>
  <c r="D22" i="43" s="1"/>
  <c r="E32" i="6"/>
  <c r="L19" i="6"/>
  <c r="G1" i="68"/>
  <c r="K1" i="12"/>
  <c r="F30" i="6"/>
  <c r="N105" i="43"/>
  <c r="J107" i="43"/>
  <c r="J102" i="43"/>
  <c r="F107" i="43"/>
  <c r="F102" i="43"/>
  <c r="F106" i="43"/>
  <c r="C107" i="43"/>
  <c r="C103" i="43"/>
  <c r="K102" i="43"/>
  <c r="G107" i="43"/>
  <c r="G104" i="43"/>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K106" i="43"/>
  <c r="C102" i="43"/>
  <c r="L102" i="43"/>
  <c r="F103" i="43"/>
  <c r="F105" i="43"/>
  <c r="D106" i="43"/>
  <c r="J106" i="43"/>
  <c r="M107" i="43"/>
  <c r="N107"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c r="N109" i="43"/>
  <c r="F100" i="43"/>
  <c r="H17" i="43"/>
  <c r="D9" i="53"/>
  <c r="B25" i="72"/>
  <c r="B24" i="72"/>
  <c r="G6" i="1"/>
  <c r="H85" i="43"/>
  <c r="H81" i="43"/>
  <c r="H84" i="43"/>
  <c r="H88" i="43"/>
  <c r="H53" i="43"/>
  <c r="H78" i="43"/>
  <c r="H71" i="43"/>
  <c r="C17" i="43"/>
  <c r="F33" i="43"/>
  <c r="K17" i="43"/>
  <c r="F34" i="43"/>
  <c r="N6" i="43"/>
  <c r="M10" i="43"/>
  <c r="C6" i="43"/>
  <c r="N3" i="43"/>
  <c r="F38" i="43"/>
  <c r="F37" i="43"/>
  <c r="M9" i="43"/>
  <c r="N5" i="43"/>
  <c r="M12" i="43"/>
  <c r="B19" i="53"/>
  <c r="B37" i="72"/>
  <c r="C7" i="39"/>
  <c r="C68" i="39"/>
  <c r="C70" i="39" s="1"/>
  <c r="C7" i="35"/>
  <c r="C7" i="33"/>
  <c r="C58" i="33" s="1"/>
  <c r="C7" i="21"/>
  <c r="C58" i="21" s="1"/>
  <c r="C7" i="40"/>
  <c r="C63" i="40" s="1"/>
  <c r="D63" i="40" s="1"/>
  <c r="D65" i="40" s="1"/>
  <c r="M47" i="9"/>
  <c r="G19" i="43"/>
  <c r="O19" i="43"/>
  <c r="T35" i="4"/>
  <c r="A19" i="51"/>
  <c r="B14" i="72"/>
  <c r="C46" i="36"/>
  <c r="C59" i="34"/>
  <c r="D59" i="34" s="1"/>
  <c r="E59" i="34" s="1"/>
  <c r="C52" i="37"/>
  <c r="A4" i="51"/>
  <c r="B6" i="72" s="1"/>
  <c r="C48" i="35"/>
  <c r="D48" i="35"/>
  <c r="C4" i="12"/>
  <c r="H66" i="43"/>
  <c r="H65" i="43"/>
  <c r="H64" i="43"/>
  <c r="H63" i="43"/>
  <c r="H55" i="43"/>
  <c r="H56" i="43"/>
  <c r="H72" i="43"/>
  <c r="L20" i="6"/>
  <c r="E56" i="39"/>
  <c r="E51" i="40"/>
  <c r="B6" i="1"/>
  <c r="E6" i="1"/>
  <c r="S8" i="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68"/>
  <c r="F30" i="11"/>
  <c r="C48" i="11"/>
  <c r="F28" i="67"/>
  <c r="F31" i="12"/>
  <c r="F52" i="9"/>
  <c r="M18" i="67"/>
  <c r="F32" i="67"/>
  <c r="F60" i="67"/>
  <c r="F30" i="69"/>
  <c r="C48" i="69"/>
  <c r="F32" i="15"/>
  <c r="F60" i="15"/>
  <c r="M18" i="15"/>
  <c r="F28" i="15"/>
  <c r="T11" i="1"/>
  <c r="D9" i="69"/>
  <c r="C9" i="69" s="1"/>
  <c r="D19" i="12"/>
  <c r="C19" i="12" s="1"/>
  <c r="AQ9" i="1"/>
  <c r="AR11" i="1"/>
  <c r="C28" i="15"/>
  <c r="K15" i="1"/>
  <c r="T9"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1" i="43"/>
  <c r="J22" i="43"/>
  <c r="AZ5" i="3"/>
  <c r="AY6" i="3" s="1"/>
  <c r="E239" i="3"/>
  <c r="E388"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s="1"/>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M7" i="1"/>
  <c r="O7" i="1" s="1"/>
  <c r="H16" i="1"/>
  <c r="AB45" i="21"/>
  <c r="AC33" i="21"/>
  <c r="W33" i="21"/>
  <c r="S33" i="21"/>
  <c r="AA33" i="21"/>
  <c r="W32" i="21"/>
  <c r="AC32" i="21"/>
  <c r="AB9" i="21"/>
  <c r="U9" i="21"/>
  <c r="AA32" i="21"/>
  <c r="S32" i="21"/>
  <c r="W9" i="21"/>
  <c r="AC9" i="21"/>
  <c r="AB32" i="21"/>
  <c r="U32" i="21"/>
  <c r="AA10" i="21"/>
  <c r="S10" i="21"/>
  <c r="C36" i="69"/>
  <c r="AR7" i="1"/>
  <c r="C30" i="11"/>
  <c r="E6" i="70"/>
  <c r="E2" i="70" s="1"/>
  <c r="A18" i="62"/>
  <c r="B64" i="72"/>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D19" i="11"/>
  <c r="C19"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D19" i="6"/>
  <c r="D25" i="6"/>
  <c r="D26" i="6"/>
  <c r="C18" i="4"/>
  <c r="D22" i="6"/>
  <c r="D8" i="6"/>
  <c r="D21" i="6"/>
  <c r="D23" i="6"/>
  <c r="D24" i="6"/>
  <c r="D20" i="6"/>
  <c r="R7" i="1"/>
  <c r="D5" i="6"/>
  <c r="D9" i="6"/>
  <c r="D11" i="6"/>
  <c r="L19" i="9"/>
  <c r="D29" i="6"/>
  <c r="E61" i="40"/>
  <c r="F34" i="11"/>
  <c r="C36" i="11" s="1"/>
  <c r="F11" i="12"/>
  <c r="C23" i="12" s="1"/>
  <c r="F34" i="68"/>
  <c r="R8" i="1"/>
  <c r="A7" i="51"/>
  <c r="B7" i="72" s="1"/>
  <c r="C4" i="52"/>
  <c r="B45" i="72" s="1"/>
  <c r="A10" i="51"/>
  <c r="B9" i="72" s="1"/>
  <c r="D27" i="6"/>
  <c r="R6" i="1"/>
  <c r="S16"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13" i="12"/>
  <c r="C30" i="69"/>
  <c r="C77" i="9"/>
  <c r="C74" i="9" s="1"/>
  <c r="C28" i="67"/>
  <c r="C30" i="68"/>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D68" i="39"/>
  <c r="E68" i="39" s="1"/>
  <c r="C24" i="12"/>
  <c r="C48" i="68"/>
  <c r="C9" i="71"/>
  <c r="D9" i="71"/>
  <c r="D10" i="71"/>
  <c r="D11" i="71"/>
  <c r="U11" i="71"/>
  <c r="S11" i="71"/>
  <c r="T11" i="71"/>
  <c r="AB9" i="71"/>
  <c r="X7" i="71"/>
  <c r="X6" i="71"/>
  <c r="AA7" i="71"/>
  <c r="AA6" i="71"/>
  <c r="X10" i="71"/>
  <c r="Z5" i="71"/>
  <c r="Y6" i="71"/>
  <c r="Z6" i="71"/>
  <c r="AB7" i="71"/>
  <c r="AB6" i="71"/>
  <c r="B6" i="71"/>
  <c r="B5" i="71"/>
  <c r="S7" i="71"/>
  <c r="C94" i="9"/>
  <c r="C92" i="9"/>
  <c r="F8" i="71"/>
  <c r="F7" i="71"/>
  <c r="F6" i="71"/>
  <c r="F5" i="71"/>
  <c r="Y7" i="71"/>
  <c r="Z7" i="71"/>
  <c r="B7" i="49"/>
  <c r="AB3" i="71"/>
  <c r="X3" i="71"/>
  <c r="C8" i="71"/>
  <c r="E8" i="71"/>
  <c r="E7" i="71"/>
  <c r="E14" i="49"/>
  <c r="AF3" i="71"/>
  <c r="P24" i="43"/>
  <c r="B66" i="40" s="1"/>
  <c r="P21" i="43"/>
  <c r="P22" i="43"/>
  <c r="E11" i="49"/>
  <c r="E4" i="49"/>
  <c r="E63" i="40"/>
  <c r="C16" i="43"/>
  <c r="D5" i="43" s="1"/>
  <c r="D70" i="39"/>
  <c r="E6" i="71"/>
  <c r="E5" i="71"/>
  <c r="V7" i="71"/>
  <c r="P23" i="43"/>
  <c r="B71" i="39"/>
  <c r="C7" i="71"/>
  <c r="D8" i="71"/>
  <c r="P25" i="43"/>
  <c r="E65" i="40"/>
  <c r="F63" i="40"/>
  <c r="F68" i="39"/>
  <c r="E70" i="39"/>
  <c r="C6" i="71"/>
  <c r="C5" i="71"/>
  <c r="D5" i="71"/>
  <c r="T7" i="71"/>
  <c r="D6" i="71"/>
  <c r="D7" i="71"/>
  <c r="F65" i="40"/>
  <c r="G63" i="40"/>
  <c r="G68" i="39"/>
  <c r="F70" i="39"/>
  <c r="M20" i="43"/>
  <c r="C19" i="43"/>
  <c r="U7" i="71"/>
  <c r="G65" i="40"/>
  <c r="H63" i="40"/>
  <c r="H65" i="40" s="1"/>
  <c r="H68" i="39"/>
  <c r="G70" i="39"/>
  <c r="I63" i="40"/>
  <c r="I68" i="39"/>
  <c r="H70" i="39"/>
  <c r="I65" i="40"/>
  <c r="J63" i="40"/>
  <c r="K63" i="40" s="1"/>
  <c r="J68" i="39"/>
  <c r="I70" i="39"/>
  <c r="J65" i="40"/>
  <c r="K68" i="39"/>
  <c r="J70" i="39"/>
  <c r="L68" i="39"/>
  <c r="K70" i="39"/>
  <c r="M68" i="39"/>
  <c r="L70" i="39"/>
  <c r="N68" i="39"/>
  <c r="M70" i="39"/>
  <c r="O68" i="39"/>
  <c r="O70" i="39" s="1"/>
  <c r="N70" i="39"/>
  <c r="D2" i="33"/>
  <c r="AO7" i="1"/>
  <c r="F43" i="15"/>
  <c r="E9" i="76"/>
  <c r="C76" i="15"/>
  <c r="B13" i="76"/>
  <c r="D5" i="73"/>
  <c r="F9" i="15"/>
  <c r="M26" i="15"/>
  <c r="F6" i="73"/>
  <c r="M27" i="15"/>
  <c r="F6" i="15"/>
  <c r="D35" i="9"/>
  <c r="F26" i="67"/>
  <c r="M29" i="67"/>
  <c r="F7" i="73"/>
  <c r="F8" i="15"/>
  <c r="J15" i="15"/>
  <c r="F7" i="15"/>
  <c r="D7" i="73"/>
  <c r="J15" i="67"/>
  <c r="M24" i="15"/>
  <c r="AO10" i="1"/>
  <c r="L47" i="15"/>
  <c r="B11" i="76"/>
  <c r="AO11" i="1"/>
  <c r="D2" i="34"/>
  <c r="B8" i="76"/>
  <c r="E11" i="76"/>
  <c r="D34" i="9"/>
  <c r="F36" i="15"/>
  <c r="C76" i="67"/>
  <c r="F38" i="15"/>
  <c r="E13" i="76"/>
  <c r="L47" i="67"/>
  <c r="M22" i="67"/>
  <c r="E2" i="69"/>
  <c r="M22" i="15"/>
  <c r="F38" i="67"/>
  <c r="L48" i="67"/>
  <c r="F16" i="15"/>
  <c r="AO6" i="1"/>
  <c r="F6" i="67"/>
  <c r="F35" i="67"/>
  <c r="AO13" i="1"/>
  <c r="F13" i="15"/>
  <c r="F8" i="67"/>
  <c r="D2" i="35"/>
  <c r="M9" i="15"/>
  <c r="F4" i="73"/>
  <c r="AO9" i="1"/>
  <c r="F37" i="15"/>
  <c r="M27" i="67"/>
  <c r="D2" i="21"/>
  <c r="AO12" i="1"/>
  <c r="E2" i="68"/>
  <c r="F13" i="67"/>
  <c r="B7" i="76"/>
  <c r="M23" i="15"/>
  <c r="E7" i="76"/>
  <c r="F16" i="67"/>
  <c r="D2" i="37"/>
  <c r="M28" i="15"/>
  <c r="F26" i="15"/>
  <c r="D4" i="73"/>
  <c r="B10" i="76"/>
  <c r="F5" i="73"/>
  <c r="M6" i="67"/>
  <c r="M21" i="67"/>
  <c r="M24" i="67"/>
  <c r="M28" i="67"/>
  <c r="F43" i="67"/>
  <c r="F3" i="73"/>
  <c r="E10" i="76"/>
  <c r="M23" i="67"/>
  <c r="F9" i="67"/>
  <c r="D3" i="73"/>
  <c r="F40" i="15"/>
  <c r="M21" i="15"/>
  <c r="F36" i="67"/>
  <c r="F42" i="67"/>
  <c r="D2" i="36"/>
  <c r="M8" i="15"/>
  <c r="L48" i="15"/>
  <c r="F41" i="67"/>
  <c r="M29" i="15"/>
  <c r="M8" i="67"/>
  <c r="E12" i="76"/>
  <c r="F42" i="15"/>
  <c r="E8" i="76"/>
  <c r="M9" i="67"/>
  <c r="F20" i="31"/>
  <c r="F35" i="15"/>
  <c r="F40" i="67"/>
  <c r="F7" i="67"/>
  <c r="F31" i="67" s="1"/>
  <c r="B9" i="76"/>
  <c r="D6" i="73"/>
  <c r="AO8" i="1"/>
  <c r="B12" i="76"/>
  <c r="M26" i="67"/>
  <c r="M6" i="15"/>
  <c r="F37" i="67"/>
  <c r="F41" i="15"/>
  <c r="F27" i="69" l="1"/>
  <c r="C47" i="69" s="1"/>
  <c r="D45" i="69" s="1"/>
  <c r="F28" i="12"/>
  <c r="F27" i="68"/>
  <c r="C29" i="68" s="1"/>
  <c r="D27" i="68" s="1"/>
  <c r="F27" i="11"/>
  <c r="T6" i="1"/>
  <c r="T7" i="1"/>
  <c r="AR6" i="1"/>
  <c r="M106" i="43"/>
  <c r="H104" i="43"/>
  <c r="H107" i="43"/>
  <c r="H105" i="43"/>
  <c r="E105" i="43"/>
  <c r="H103" i="43"/>
  <c r="E103" i="43"/>
  <c r="E102" i="43"/>
  <c r="C20" i="11"/>
  <c r="C28" i="11" s="1"/>
  <c r="C27" i="11" s="1"/>
  <c r="O12" i="1"/>
  <c r="P12" i="1" s="1"/>
  <c r="G30" i="6"/>
  <c r="G31" i="6" s="1"/>
  <c r="E28" i="6"/>
  <c r="L18" i="9"/>
  <c r="E6" i="6"/>
  <c r="K20" i="6"/>
  <c r="M20" i="6" s="1"/>
  <c r="I20" i="6" s="1"/>
  <c r="F31" i="6"/>
  <c r="C37" i="11"/>
  <c r="L107" i="43"/>
  <c r="E107" i="43"/>
  <c r="L106" i="43"/>
  <c r="H106" i="43"/>
  <c r="L105" i="43"/>
  <c r="L104" i="43"/>
  <c r="L103" i="43"/>
  <c r="M102" i="43"/>
  <c r="P7" i="1"/>
  <c r="C7" i="74"/>
  <c r="C8" i="74"/>
  <c r="AC6" i="3"/>
  <c r="E6" i="3" s="1"/>
  <c r="I109" i="43"/>
  <c r="I102" i="43"/>
  <c r="I107" i="43"/>
  <c r="E53" i="3"/>
  <c r="E125" i="3"/>
  <c r="E175" i="3"/>
  <c r="E217" i="3"/>
  <c r="E319" i="3"/>
  <c r="E366" i="3"/>
  <c r="E530" i="3"/>
  <c r="E526" i="3"/>
  <c r="E501" i="3"/>
  <c r="E553" i="3"/>
  <c r="E343" i="3"/>
  <c r="E268" i="3"/>
  <c r="E153" i="3"/>
  <c r="E282" i="3"/>
  <c r="E305" i="3"/>
  <c r="E322" i="3"/>
  <c r="E426" i="3"/>
  <c r="N6" i="3"/>
  <c r="E508" i="3"/>
  <c r="AJ6" i="3"/>
  <c r="E328" i="3"/>
  <c r="E329" i="3"/>
  <c r="E347" i="3"/>
  <c r="E15" i="6"/>
  <c r="E10" i="6"/>
  <c r="E14" i="6"/>
  <c r="E12" i="6"/>
  <c r="E13" i="6"/>
  <c r="D20" i="12"/>
  <c r="C20" i="12" s="1"/>
  <c r="P11" i="1"/>
  <c r="D104" i="43"/>
  <c r="E61" i="39"/>
  <c r="E56" i="40"/>
  <c r="P9" i="1"/>
  <c r="O9" i="1"/>
  <c r="P8" i="1"/>
  <c r="O8" i="1"/>
  <c r="G109" i="43"/>
  <c r="K109" i="43"/>
  <c r="J109" i="43"/>
  <c r="N104" i="43"/>
  <c r="K105" i="43"/>
  <c r="G106" i="43"/>
  <c r="I117" i="43"/>
  <c r="J117" i="43" s="1"/>
  <c r="K117" i="43" s="1"/>
  <c r="L117" i="43" s="1"/>
  <c r="M117" i="43" s="1"/>
  <c r="B118" i="43"/>
  <c r="C118" i="43" s="1"/>
  <c r="B116" i="43"/>
  <c r="C116" i="43" s="1"/>
  <c r="G118" i="43"/>
  <c r="H118" i="43" s="1"/>
  <c r="I118" i="43"/>
  <c r="J118" i="43" s="1"/>
  <c r="K118" i="43" s="1"/>
  <c r="L118" i="43" s="1"/>
  <c r="M118" i="43" s="1"/>
  <c r="G103" i="43"/>
  <c r="K104" i="43"/>
  <c r="K107" i="43"/>
  <c r="C105" i="43"/>
  <c r="J103" i="43"/>
  <c r="N106" i="43"/>
  <c r="N103" i="43"/>
  <c r="I115" i="43"/>
  <c r="J115" i="43" s="1"/>
  <c r="K115" i="43" s="1"/>
  <c r="L115" i="43" s="1"/>
  <c r="M115" i="43" s="1"/>
  <c r="D117" i="43"/>
  <c r="E117" i="43" s="1"/>
  <c r="F117" i="43" s="1"/>
  <c r="G117" i="43" s="1"/>
  <c r="H117" i="43" s="1"/>
  <c r="D8" i="74"/>
  <c r="D7" i="74"/>
  <c r="D113" i="43"/>
  <c r="D107" i="43"/>
  <c r="I106" i="43"/>
  <c r="E106" i="43"/>
  <c r="M105" i="43"/>
  <c r="I105" i="43"/>
  <c r="D105" i="43"/>
  <c r="M104" i="43"/>
  <c r="I104" i="43"/>
  <c r="M103" i="43"/>
  <c r="I103" i="43"/>
  <c r="D103" i="43"/>
  <c r="D102" i="43"/>
  <c r="F7" i="39"/>
  <c r="H7" i="39"/>
  <c r="J7" i="39"/>
  <c r="L63" i="40"/>
  <c r="K65" i="40"/>
  <c r="F59" i="34"/>
  <c r="G59" i="34" s="1"/>
  <c r="H59" i="34" s="1"/>
  <c r="I59" i="34" s="1"/>
  <c r="J59" i="34" s="1"/>
  <c r="K59" i="34" s="1"/>
  <c r="L59" i="34" s="1"/>
  <c r="M59" i="34" s="1"/>
  <c r="N59" i="34" s="1"/>
  <c r="O59" i="34" s="1"/>
  <c r="F7" i="34"/>
  <c r="H7" i="34"/>
  <c r="J7" i="34"/>
  <c r="E48" i="35"/>
  <c r="D52" i="37"/>
  <c r="J7" i="33"/>
  <c r="H7" i="33"/>
  <c r="D58" i="33"/>
  <c r="E58" i="33" s="1"/>
  <c r="F58" i="33" s="1"/>
  <c r="G58" i="33" s="1"/>
  <c r="H58" i="33" s="1"/>
  <c r="I58" i="33" s="1"/>
  <c r="J58" i="33" s="1"/>
  <c r="K58" i="33" s="1"/>
  <c r="L58" i="33" s="1"/>
  <c r="M58" i="33" s="1"/>
  <c r="N58" i="33" s="1"/>
  <c r="O58" i="33" s="1"/>
  <c r="C29" i="12"/>
  <c r="D28" i="12" s="1"/>
  <c r="D46" i="36"/>
  <c r="D58" i="21"/>
  <c r="G16" i="1"/>
  <c r="J10" i="40" s="1"/>
  <c r="G17" i="43"/>
  <c r="C5" i="43"/>
  <c r="E13" i="49"/>
  <c r="E5" i="49"/>
  <c r="B4" i="49"/>
  <c r="E9" i="49"/>
  <c r="B14" i="49"/>
  <c r="B5" i="49"/>
  <c r="E6" i="49"/>
  <c r="E22" i="49"/>
  <c r="C29" i="69"/>
  <c r="D27" i="69" s="1"/>
  <c r="E10" i="49"/>
  <c r="B15" i="49"/>
  <c r="B22" i="49"/>
  <c r="E15" i="49"/>
  <c r="B16" i="49"/>
  <c r="B11" i="49"/>
  <c r="E4" i="4" s="1"/>
  <c r="B5" i="62" s="1"/>
  <c r="B73" i="72" s="1"/>
  <c r="E21" i="49"/>
  <c r="B8" i="49"/>
  <c r="E8" i="49"/>
  <c r="B10" i="49"/>
  <c r="E16" i="49"/>
  <c r="B9" i="49"/>
  <c r="B13" i="49"/>
  <c r="C4" i="4" s="1"/>
  <c r="C14" i="12"/>
  <c r="B6" i="49"/>
  <c r="E7" i="49"/>
  <c r="R16" i="1"/>
  <c r="C36" i="68"/>
  <c r="J10" i="39"/>
  <c r="F10" i="39"/>
  <c r="H10" i="40"/>
  <c r="C18" i="12"/>
  <c r="C47" i="68"/>
  <c r="D45" i="68" s="1"/>
  <c r="E20" i="43"/>
  <c r="K1" i="73"/>
  <c r="F69" i="15"/>
  <c r="B11" i="70"/>
  <c r="F66" i="67"/>
  <c r="F65" i="15"/>
  <c r="C27" i="15"/>
  <c r="F65" i="67"/>
  <c r="C6" i="15"/>
  <c r="B9" i="70"/>
  <c r="N59" i="15"/>
  <c r="M59" i="15"/>
  <c r="L59" i="15"/>
  <c r="L58" i="15"/>
  <c r="I1" i="73"/>
  <c r="B39" i="1" s="1"/>
  <c r="B10" i="70"/>
  <c r="M59" i="67"/>
  <c r="L58" i="67"/>
  <c r="L59" i="67"/>
  <c r="N59" i="67"/>
  <c r="F69" i="67"/>
  <c r="B8" i="70"/>
  <c r="F51" i="67"/>
  <c r="F71" i="67"/>
  <c r="J57" i="15"/>
  <c r="J55" i="15" s="1"/>
  <c r="J58" i="15" s="1"/>
  <c r="Q50" i="15" s="1"/>
  <c r="I54" i="15"/>
  <c r="J53" i="15"/>
  <c r="J60" i="15"/>
  <c r="Q48" i="15" s="1"/>
  <c r="J59" i="15"/>
  <c r="F66" i="15"/>
  <c r="F50" i="15"/>
  <c r="M7" i="15"/>
  <c r="Q71" i="67"/>
  <c r="B13" i="70"/>
  <c r="M7" i="67"/>
  <c r="F50" i="67"/>
  <c r="Q71" i="15"/>
  <c r="F64" i="15"/>
  <c r="C34" i="67"/>
  <c r="F63" i="67"/>
  <c r="C62" i="67" s="1"/>
  <c r="J20" i="67"/>
  <c r="F70" i="67"/>
  <c r="F68" i="67"/>
  <c r="F51" i="15"/>
  <c r="C6" i="67"/>
  <c r="B12" i="70"/>
  <c r="F64" i="67"/>
  <c r="F63" i="15"/>
  <c r="C62" i="15" s="1"/>
  <c r="C34" i="15"/>
  <c r="F71" i="15"/>
  <c r="B6" i="70"/>
  <c r="J20" i="15"/>
  <c r="B20" i="31"/>
  <c r="B7" i="70"/>
  <c r="F68" i="15"/>
  <c r="C27" i="67"/>
  <c r="J53" i="67"/>
  <c r="J57" i="67"/>
  <c r="J55" i="67" s="1"/>
  <c r="J58" i="67" s="1"/>
  <c r="Q50" i="67" s="1"/>
  <c r="L56" i="67"/>
  <c r="I54" i="67"/>
  <c r="J60" i="67"/>
  <c r="Q48" i="67" s="1"/>
  <c r="J59" i="67"/>
  <c r="C14" i="15"/>
  <c r="F31" i="15"/>
  <c r="G1" i="73"/>
  <c r="F59" i="15"/>
  <c r="M17" i="67"/>
  <c r="M17" i="15"/>
  <c r="C17" i="15"/>
  <c r="C16" i="67"/>
  <c r="C14" i="67"/>
  <c r="C17" i="67"/>
  <c r="C16" i="15"/>
  <c r="F59" i="67"/>
  <c r="C15" i="15" l="1"/>
  <c r="C18" i="15"/>
  <c r="C29" i="11"/>
  <c r="D27" i="11" s="1"/>
  <c r="C47" i="11"/>
  <c r="D45" i="11" s="1"/>
  <c r="S20" i="6"/>
  <c r="H20" i="6"/>
  <c r="R20" i="6" s="1"/>
  <c r="K24" i="6"/>
  <c r="M24" i="6" s="1"/>
  <c r="I24" i="6" s="1"/>
  <c r="K22" i="6"/>
  <c r="M22" i="6" s="1"/>
  <c r="I22" i="6" s="1"/>
  <c r="K19" i="6"/>
  <c r="E30" i="6"/>
  <c r="E31" i="6" s="1"/>
  <c r="K14" i="1"/>
  <c r="K21" i="6"/>
  <c r="M21" i="6" s="1"/>
  <c r="I21" i="6" s="1"/>
  <c r="K26" i="6"/>
  <c r="M26" i="6" s="1"/>
  <c r="I26" i="6" s="1"/>
  <c r="K25" i="6"/>
  <c r="M25" i="6" s="1"/>
  <c r="I25" i="6" s="1"/>
  <c r="K23" i="6"/>
  <c r="M23" i="6" s="1"/>
  <c r="I23" i="6" s="1"/>
  <c r="D28" i="6"/>
  <c r="D30" i="6" s="1"/>
  <c r="D31" i="6" s="1"/>
  <c r="I6" i="6" s="1"/>
  <c r="D10" i="11"/>
  <c r="C10" i="11" s="1"/>
  <c r="D10" i="68"/>
  <c r="D10" i="69"/>
  <c r="D6" i="6"/>
  <c r="E58" i="40"/>
  <c r="E63" i="39"/>
  <c r="D13" i="6"/>
  <c r="E59" i="40"/>
  <c r="D14" i="6"/>
  <c r="E64" i="39"/>
  <c r="E65" i="39"/>
  <c r="E60" i="40"/>
  <c r="D15" i="6"/>
  <c r="E57" i="40"/>
  <c r="E62" i="39"/>
  <c r="D12" i="6"/>
  <c r="E16" i="6"/>
  <c r="D10" i="6"/>
  <c r="C49" i="15"/>
  <c r="S2" i="43"/>
  <c r="C23" i="43"/>
  <c r="S4" i="43"/>
  <c r="S7" i="43"/>
  <c r="S3" i="43"/>
  <c r="S6" i="43"/>
  <c r="S5" i="43"/>
  <c r="U7" i="33"/>
  <c r="AB7" i="33"/>
  <c r="T48" i="33" s="1"/>
  <c r="G48" i="33" s="1"/>
  <c r="F10" i="40"/>
  <c r="S10" i="40" s="1"/>
  <c r="H10" i="39"/>
  <c r="U10" i="39" s="1"/>
  <c r="E58" i="21"/>
  <c r="E46" i="36"/>
  <c r="F7" i="33"/>
  <c r="E52" i="37"/>
  <c r="F48" i="35"/>
  <c r="U7" i="34"/>
  <c r="AB7" i="34"/>
  <c r="T49" i="34" s="1"/>
  <c r="G49" i="34" s="1"/>
  <c r="M63" i="40"/>
  <c r="L65" i="40"/>
  <c r="AB7" i="39"/>
  <c r="T47" i="39" s="1"/>
  <c r="G47" i="39" s="1"/>
  <c r="U7" i="39"/>
  <c r="AC7" i="33"/>
  <c r="V48" i="33" s="1"/>
  <c r="I48" i="33" s="1"/>
  <c r="W7" i="33"/>
  <c r="AC7" i="34"/>
  <c r="V49" i="34" s="1"/>
  <c r="I49" i="34" s="1"/>
  <c r="W7" i="34"/>
  <c r="AA7" i="34"/>
  <c r="R49" i="34" s="1"/>
  <c r="S7" i="34"/>
  <c r="AC7" i="39"/>
  <c r="V47" i="39" s="1"/>
  <c r="I47" i="39" s="1"/>
  <c r="W7" i="39"/>
  <c r="S7" i="39"/>
  <c r="AA7" i="39"/>
  <c r="R47" i="39" s="1"/>
  <c r="B4" i="62"/>
  <c r="B71" i="72" s="1"/>
  <c r="K4" i="4"/>
  <c r="B46" i="48" s="1"/>
  <c r="B4" i="72" s="1"/>
  <c r="AB10" i="40"/>
  <c r="U10" i="40"/>
  <c r="AA10" i="39"/>
  <c r="S10" i="39"/>
  <c r="AC10" i="39"/>
  <c r="W10" i="39"/>
  <c r="AA10" i="40"/>
  <c r="AB10" i="39"/>
  <c r="AC10" i="40"/>
  <c r="W10" i="40"/>
  <c r="C19" i="15"/>
  <c r="C18" i="67"/>
  <c r="C15" i="67"/>
  <c r="B40" i="1"/>
  <c r="Q52" i="15"/>
  <c r="F1" i="15"/>
  <c r="Q74" i="67"/>
  <c r="Q61" i="67"/>
  <c r="Q73" i="15"/>
  <c r="Q60" i="15"/>
  <c r="J6" i="15"/>
  <c r="C32" i="15"/>
  <c r="Q52" i="67"/>
  <c r="F1" i="67"/>
  <c r="B2" i="70"/>
  <c r="B3" i="70" s="1"/>
  <c r="J6" i="67"/>
  <c r="C32" i="67"/>
  <c r="L56" i="15"/>
  <c r="C49" i="67"/>
  <c r="Q73" i="67"/>
  <c r="Q60" i="67"/>
  <c r="M11" i="15"/>
  <c r="F11" i="15"/>
  <c r="F11" i="67"/>
  <c r="M11" i="67"/>
  <c r="J10" i="67" s="1"/>
  <c r="Q61" i="15"/>
  <c r="Q74" i="15"/>
  <c r="P28" i="43"/>
  <c r="N28" i="43"/>
  <c r="M28" i="43"/>
  <c r="G20" i="43" s="1"/>
  <c r="O28" i="43"/>
  <c r="D16" i="6" l="1"/>
  <c r="E66" i="39"/>
  <c r="C10" i="69"/>
  <c r="C8" i="69" s="1"/>
  <c r="C5" i="69" s="1"/>
  <c r="D19" i="69"/>
  <c r="S25" i="6"/>
  <c r="H25" i="6"/>
  <c r="R25" i="6" s="1"/>
  <c r="S21" i="6"/>
  <c r="H21" i="6"/>
  <c r="R21" i="6" s="1"/>
  <c r="I5" i="6"/>
  <c r="H22" i="6"/>
  <c r="R22" i="6" s="1"/>
  <c r="S22" i="6"/>
  <c r="C10" i="68"/>
  <c r="D19" i="68"/>
  <c r="S23" i="6"/>
  <c r="H23" i="6"/>
  <c r="R23" i="6" s="1"/>
  <c r="S26" i="6"/>
  <c r="H26" i="6"/>
  <c r="R26" i="6" s="1"/>
  <c r="M14" i="1"/>
  <c r="K16" i="1"/>
  <c r="C34" i="69"/>
  <c r="M19" i="6"/>
  <c r="K27" i="6"/>
  <c r="S24" i="6"/>
  <c r="H24" i="6"/>
  <c r="R24" i="6" s="1"/>
  <c r="E47" i="39"/>
  <c r="I52" i="39" s="1"/>
  <c r="J52" i="39" s="1"/>
  <c r="R48" i="39"/>
  <c r="I51" i="39"/>
  <c r="J51" i="39" s="1"/>
  <c r="G53" i="34"/>
  <c r="H53" i="34" s="1"/>
  <c r="G54" i="34"/>
  <c r="H54" i="34" s="1"/>
  <c r="G48" i="35"/>
  <c r="F52" i="37"/>
  <c r="G52" i="33"/>
  <c r="H52" i="33" s="1"/>
  <c r="G53" i="33"/>
  <c r="H53" i="33" s="1"/>
  <c r="R50" i="34"/>
  <c r="E49" i="34"/>
  <c r="I53" i="34"/>
  <c r="J53" i="34" s="1"/>
  <c r="I54" i="34"/>
  <c r="J54" i="34" s="1"/>
  <c r="I52" i="33"/>
  <c r="J52" i="33" s="1"/>
  <c r="G51" i="39"/>
  <c r="H51" i="39" s="1"/>
  <c r="G52" i="39"/>
  <c r="H52" i="39" s="1"/>
  <c r="N63" i="40"/>
  <c r="M65" i="40"/>
  <c r="AA7" i="33"/>
  <c r="R48" i="33" s="1"/>
  <c r="S7" i="33"/>
  <c r="F46" i="36"/>
  <c r="F58" i="21"/>
  <c r="C19" i="67"/>
  <c r="C20" i="67" s="1"/>
  <c r="E41" i="43"/>
  <c r="C41" i="43" s="1"/>
  <c r="C20" i="43"/>
  <c r="C53" i="67"/>
  <c r="C10" i="67"/>
  <c r="C5" i="67" s="1"/>
  <c r="J18" i="67"/>
  <c r="J5" i="67"/>
  <c r="J18" i="15"/>
  <c r="J10" i="15"/>
  <c r="J5" i="15" s="1"/>
  <c r="C53" i="15"/>
  <c r="C48" i="15" s="1"/>
  <c r="C10" i="15"/>
  <c r="C5" i="15" s="1"/>
  <c r="C48" i="67"/>
  <c r="F22" i="11"/>
  <c r="F22" i="68"/>
  <c r="F24" i="67"/>
  <c r="C24" i="67" s="1"/>
  <c r="F25" i="12"/>
  <c r="F24" i="15"/>
  <c r="C24" i="15" s="1"/>
  <c r="F22" i="69"/>
  <c r="C20" i="15"/>
  <c r="I19" i="6" l="1"/>
  <c r="M27" i="6"/>
  <c r="C19" i="68"/>
  <c r="C20" i="68" s="1"/>
  <c r="C28" i="68" s="1"/>
  <c r="C27" i="68" s="1"/>
  <c r="D37" i="68"/>
  <c r="C37" i="68" s="1"/>
  <c r="C38" i="69"/>
  <c r="C35" i="69"/>
  <c r="M16" i="1"/>
  <c r="T16" i="1"/>
  <c r="O14" i="1"/>
  <c r="N16" i="1"/>
  <c r="C19" i="69"/>
  <c r="C20" i="69" s="1"/>
  <c r="D37" i="69"/>
  <c r="C37" i="69" s="1"/>
  <c r="C33" i="69" s="1"/>
  <c r="C39" i="69" s="1"/>
  <c r="C46" i="69" s="1"/>
  <c r="C45" i="69" s="1"/>
  <c r="G58" i="21"/>
  <c r="G46" i="36"/>
  <c r="H46" i="36" s="1"/>
  <c r="I46" i="36" s="1"/>
  <c r="J46" i="36" s="1"/>
  <c r="K46" i="36" s="1"/>
  <c r="L46" i="36" s="1"/>
  <c r="M46" i="36" s="1"/>
  <c r="N46" i="36" s="1"/>
  <c r="O46" i="36" s="1"/>
  <c r="H7" i="36"/>
  <c r="J7" i="36"/>
  <c r="E48" i="33"/>
  <c r="R49" i="33"/>
  <c r="N65" i="40"/>
  <c r="O63" i="40"/>
  <c r="O65" i="40" s="1"/>
  <c r="C50" i="34"/>
  <c r="B2" i="34" s="1"/>
  <c r="B3" i="34" s="1"/>
  <c r="C49" i="34"/>
  <c r="C47" i="39"/>
  <c r="C48" i="39"/>
  <c r="F7" i="36"/>
  <c r="F7" i="40"/>
  <c r="H7" i="40"/>
  <c r="J7" i="40"/>
  <c r="E54" i="34"/>
  <c r="F54" i="34" s="1"/>
  <c r="E53" i="34"/>
  <c r="F53" i="34" s="1"/>
  <c r="G52" i="37"/>
  <c r="H48" i="35"/>
  <c r="E51" i="39"/>
  <c r="F51" i="39" s="1"/>
  <c r="E52" i="39"/>
  <c r="F52" i="39" s="1"/>
  <c r="C26" i="67"/>
  <c r="J24" i="15"/>
  <c r="J26" i="15"/>
  <c r="J29" i="15" s="1"/>
  <c r="C26" i="15"/>
  <c r="C60" i="67"/>
  <c r="C66" i="67"/>
  <c r="C66" i="15"/>
  <c r="C60" i="15"/>
  <c r="C39" i="43"/>
  <c r="C38" i="43"/>
  <c r="C25" i="11"/>
  <c r="C24" i="11"/>
  <c r="C44" i="11"/>
  <c r="D41" i="11" s="1"/>
  <c r="C23" i="11"/>
  <c r="C22" i="11" s="1"/>
  <c r="C26" i="11"/>
  <c r="D22" i="11" s="1"/>
  <c r="C23" i="15"/>
  <c r="C29" i="15" s="1"/>
  <c r="C44" i="69"/>
  <c r="D41" i="69" s="1"/>
  <c r="C26" i="69"/>
  <c r="D22" i="69" s="1"/>
  <c r="C24" i="69"/>
  <c r="C42" i="69"/>
  <c r="C41" i="69" s="1"/>
  <c r="C43" i="69"/>
  <c r="C23" i="69"/>
  <c r="C22" i="69" s="1"/>
  <c r="C26" i="12"/>
  <c r="D25" i="12" s="1"/>
  <c r="C26" i="68"/>
  <c r="D22" i="68" s="1"/>
  <c r="C24" i="68"/>
  <c r="C25" i="68"/>
  <c r="C23" i="68"/>
  <c r="C22" i="68" s="1"/>
  <c r="C44" i="68"/>
  <c r="D41" i="68" s="1"/>
  <c r="C38" i="15"/>
  <c r="J24" i="67"/>
  <c r="J26" i="67"/>
  <c r="J29" i="67" s="1"/>
  <c r="C38" i="67"/>
  <c r="T3" i="43"/>
  <c r="V3" i="43" s="1"/>
  <c r="T6" i="43"/>
  <c r="V6"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T14" i="43"/>
  <c r="V14" i="43" s="1"/>
  <c r="T5" i="43"/>
  <c r="V5" i="43" s="1"/>
  <c r="C29" i="43"/>
  <c r="E29" i="43" s="1"/>
  <c r="C23" i="67"/>
  <c r="C29" i="67" s="1"/>
  <c r="C31" i="68" l="1"/>
  <c r="C28" i="69"/>
  <c r="C27" i="69" s="1"/>
  <c r="C25" i="69"/>
  <c r="F50" i="69"/>
  <c r="F50" i="68"/>
  <c r="F50" i="11"/>
  <c r="C31" i="69"/>
  <c r="P14" i="1"/>
  <c r="P16" i="1" s="1"/>
  <c r="C11" i="12" s="1"/>
  <c r="O16" i="1"/>
  <c r="C34" i="68"/>
  <c r="L16" i="1"/>
  <c r="C34" i="11"/>
  <c r="S19" i="6"/>
  <c r="S27" i="6" s="1"/>
  <c r="I27" i="6"/>
  <c r="H19" i="6"/>
  <c r="I48" i="35"/>
  <c r="H52" i="37"/>
  <c r="AB7" i="40"/>
  <c r="T42" i="40" s="1"/>
  <c r="G42" i="40" s="1"/>
  <c r="U7" i="40"/>
  <c r="AA7" i="36"/>
  <c r="R36" i="36" s="1"/>
  <c r="S7" i="36"/>
  <c r="E53" i="33"/>
  <c r="F53" i="33" s="1"/>
  <c r="E52" i="33"/>
  <c r="F52" i="33" s="1"/>
  <c r="I53" i="33"/>
  <c r="J53" i="33" s="1"/>
  <c r="U7" i="36"/>
  <c r="AB7" i="36"/>
  <c r="T36" i="36" s="1"/>
  <c r="G36" i="36" s="1"/>
  <c r="W7" i="40"/>
  <c r="AC7" i="40"/>
  <c r="V42" i="40" s="1"/>
  <c r="I42" i="40" s="1"/>
  <c r="S7" i="40"/>
  <c r="AA7" i="40"/>
  <c r="R42" i="40" s="1"/>
  <c r="B59" i="39"/>
  <c r="F59" i="39" s="1"/>
  <c r="B61" i="39"/>
  <c r="F61" i="39" s="1"/>
  <c r="B56" i="39"/>
  <c r="F56" i="39" s="1"/>
  <c r="F66" i="39" s="1"/>
  <c r="B2" i="39" s="1"/>
  <c r="B3" i="39" s="1"/>
  <c r="B57" i="39"/>
  <c r="F57" i="39" s="1"/>
  <c r="B58" i="39"/>
  <c r="F58" i="39" s="1"/>
  <c r="B63" i="39"/>
  <c r="F63" i="39" s="1"/>
  <c r="B62" i="39"/>
  <c r="F62" i="39" s="1"/>
  <c r="B64" i="39"/>
  <c r="F64" i="39" s="1"/>
  <c r="B60" i="39"/>
  <c r="F60" i="39" s="1"/>
  <c r="B65" i="39"/>
  <c r="F65" i="39" s="1"/>
  <c r="C49" i="33"/>
  <c r="B2" i="33" s="1"/>
  <c r="B3" i="33" s="1"/>
  <c r="C48" i="33"/>
  <c r="W7" i="36"/>
  <c r="AC7" i="36"/>
  <c r="V36" i="36" s="1"/>
  <c r="I36" i="36" s="1"/>
  <c r="H58" i="21"/>
  <c r="C49" i="69"/>
  <c r="C51" i="69" s="1"/>
  <c r="C52" i="69" s="1"/>
  <c r="L30" i="43"/>
  <c r="J19" i="15"/>
  <c r="J17" i="15" s="1"/>
  <c r="Q49" i="15"/>
  <c r="C33" i="15"/>
  <c r="C31" i="15" s="1"/>
  <c r="C57" i="15"/>
  <c r="C13" i="15"/>
  <c r="C36" i="15"/>
  <c r="J14" i="15"/>
  <c r="C57" i="67"/>
  <c r="C36" i="67"/>
  <c r="J14" i="67"/>
  <c r="C33" i="67"/>
  <c r="C31" i="67" s="1"/>
  <c r="J19" i="67"/>
  <c r="J17" i="67" s="1"/>
  <c r="C13" i="67"/>
  <c r="Q49" i="67"/>
  <c r="G33" i="43"/>
  <c r="I33" i="43" s="1"/>
  <c r="E33" i="43"/>
  <c r="E37" i="43"/>
  <c r="G37" i="43"/>
  <c r="I37" i="43" s="1"/>
  <c r="E35" i="43"/>
  <c r="G35" i="43"/>
  <c r="I35" i="43" s="1"/>
  <c r="E36" i="43"/>
  <c r="G36" i="43"/>
  <c r="I36" i="43" s="1"/>
  <c r="C31" i="11"/>
  <c r="G39" i="43"/>
  <c r="I39" i="43" s="1"/>
  <c r="E39" i="43"/>
  <c r="C30" i="43"/>
  <c r="E30" i="43" s="1"/>
  <c r="G34" i="43"/>
  <c r="I34" i="43" s="1"/>
  <c r="E34" i="43"/>
  <c r="E38" i="43"/>
  <c r="G38" i="43"/>
  <c r="I38" i="43" s="1"/>
  <c r="C35" i="11" l="1"/>
  <c r="C33" i="11" s="1"/>
  <c r="C38" i="11"/>
  <c r="C38" i="68"/>
  <c r="C35" i="68"/>
  <c r="C12" i="12"/>
  <c r="C15" i="12"/>
  <c r="C16" i="12"/>
  <c r="C21" i="12" s="1"/>
  <c r="C33" i="68"/>
  <c r="R19" i="6"/>
  <c r="R27" i="6" s="1"/>
  <c r="H27" i="6"/>
  <c r="I40" i="36"/>
  <c r="J40" i="36" s="1"/>
  <c r="E42" i="40"/>
  <c r="R43" i="40"/>
  <c r="I47" i="40"/>
  <c r="J47" i="40" s="1"/>
  <c r="I46" i="40"/>
  <c r="J46" i="40" s="1"/>
  <c r="G40" i="36"/>
  <c r="H40" i="36" s="1"/>
  <c r="G41" i="36"/>
  <c r="H41" i="36" s="1"/>
  <c r="E36" i="36"/>
  <c r="I41" i="36" s="1"/>
  <c r="J41" i="36" s="1"/>
  <c r="R37" i="36"/>
  <c r="G46" i="40"/>
  <c r="H46" i="40" s="1"/>
  <c r="G47" i="40"/>
  <c r="H47" i="40" s="1"/>
  <c r="I58" i="21"/>
  <c r="I52" i="37"/>
  <c r="J48" i="35"/>
  <c r="B2" i="69"/>
  <c r="B3" i="69" s="1"/>
  <c r="C57" i="69"/>
  <c r="C56" i="69" s="1"/>
  <c r="C27" i="43"/>
  <c r="J13" i="67"/>
  <c r="J23" i="67" s="1"/>
  <c r="J22" i="67"/>
  <c r="C61" i="67"/>
  <c r="C59" i="67" s="1"/>
  <c r="C64" i="67"/>
  <c r="C64" i="15"/>
  <c r="C61" i="15"/>
  <c r="C59" i="15" s="1"/>
  <c r="C26" i="43"/>
  <c r="C37" i="67"/>
  <c r="C75" i="67"/>
  <c r="Q70" i="67"/>
  <c r="C56" i="67"/>
  <c r="C65" i="67" s="1"/>
  <c r="C30" i="67"/>
  <c r="C39" i="67" s="1"/>
  <c r="J22" i="15"/>
  <c r="J13" i="15"/>
  <c r="J23" i="15" s="1"/>
  <c r="Q70" i="15"/>
  <c r="C37" i="15"/>
  <c r="C30" i="15" s="1"/>
  <c r="C39" i="15" s="1"/>
  <c r="C75" i="15"/>
  <c r="C56" i="15"/>
  <c r="C65" i="15" s="1"/>
  <c r="E6" i="76"/>
  <c r="C39" i="68" l="1"/>
  <c r="C42" i="68"/>
  <c r="C41" i="68" s="1"/>
  <c r="C22" i="12"/>
  <c r="C30" i="12" s="1"/>
  <c r="C28" i="12" s="1"/>
  <c r="C39" i="11"/>
  <c r="C42" i="11"/>
  <c r="C41" i="11" s="1"/>
  <c r="C36" i="36"/>
  <c r="C37" i="36"/>
  <c r="B2" i="36" s="1"/>
  <c r="B3" i="36" s="1"/>
  <c r="C42" i="40"/>
  <c r="C43" i="40"/>
  <c r="K48" i="35"/>
  <c r="J52" i="37"/>
  <c r="J58" i="21"/>
  <c r="E40" i="36"/>
  <c r="F40" i="36" s="1"/>
  <c r="E41" i="36"/>
  <c r="F41" i="36" s="1"/>
  <c r="E47" i="40"/>
  <c r="F47" i="40" s="1"/>
  <c r="E46" i="40"/>
  <c r="F46" i="40" s="1"/>
  <c r="J16" i="15"/>
  <c r="J25" i="15" s="1"/>
  <c r="J16" i="67"/>
  <c r="J25" i="67" s="1"/>
  <c r="E2" i="76"/>
  <c r="Q69" i="15"/>
  <c r="Q68" i="15" s="1"/>
  <c r="C40" i="15"/>
  <c r="C80" i="15"/>
  <c r="C79" i="15" s="1"/>
  <c r="B2" i="43"/>
  <c r="B3" i="43" s="1"/>
  <c r="C58" i="67"/>
  <c r="C67" i="67" s="1"/>
  <c r="C68" i="67" s="1"/>
  <c r="C40" i="67"/>
  <c r="Q69" i="67"/>
  <c r="Q68" i="67" s="1"/>
  <c r="C80" i="67"/>
  <c r="C79" i="67" s="1"/>
  <c r="C58" i="15"/>
  <c r="C67" i="15" s="1"/>
  <c r="C68" i="15" s="1"/>
  <c r="L51" i="67"/>
  <c r="C19" i="9"/>
  <c r="L51" i="15"/>
  <c r="D19" i="9"/>
  <c r="B6" i="76"/>
  <c r="C46" i="11" l="1"/>
  <c r="C45" i="11" s="1"/>
  <c r="C49" i="11" s="1"/>
  <c r="C51" i="11" s="1"/>
  <c r="C43" i="11"/>
  <c r="C27" i="12"/>
  <c r="C25" i="12" s="1"/>
  <c r="C32" i="12" s="1"/>
  <c r="B2" i="12" s="1"/>
  <c r="B3" i="12" s="1"/>
  <c r="C46" i="68"/>
  <c r="C45" i="68" s="1"/>
  <c r="C49" i="68" s="1"/>
  <c r="C51" i="68" s="1"/>
  <c r="C43" i="68"/>
  <c r="K58" i="2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K52" i="37"/>
  <c r="L48" i="35"/>
  <c r="D102" i="9"/>
  <c r="D21" i="9"/>
  <c r="G19" i="9"/>
  <c r="C102" i="9"/>
  <c r="D22" i="9"/>
  <c r="C21" i="9"/>
  <c r="Q67" i="67"/>
  <c r="L57" i="67"/>
  <c r="L60" i="67" s="1"/>
  <c r="B2" i="76"/>
  <c r="B3" i="76" s="1"/>
  <c r="Q67" i="15"/>
  <c r="L57" i="15"/>
  <c r="L60" i="15" s="1"/>
  <c r="C71" i="15"/>
  <c r="C46" i="15"/>
  <c r="Q47" i="67"/>
  <c r="Q53" i="67" s="1"/>
  <c r="Q65" i="67"/>
  <c r="Q56" i="67"/>
  <c r="C43" i="67"/>
  <c r="C83" i="67"/>
  <c r="C82" i="67" s="1"/>
  <c r="C71" i="67"/>
  <c r="C45" i="67"/>
  <c r="C46" i="67" s="1"/>
  <c r="Q56" i="15"/>
  <c r="C43" i="15"/>
  <c r="Q65" i="15"/>
  <c r="Q47" i="15"/>
  <c r="Q53" i="15" s="1"/>
  <c r="C83" i="15"/>
  <c r="C82" i="15" s="1"/>
  <c r="D20" i="9"/>
  <c r="C20" i="9"/>
  <c r="C52" i="68" l="1"/>
  <c r="B2" i="68" s="1"/>
  <c r="B3" i="68" s="1"/>
  <c r="C52" i="11"/>
  <c r="B2" i="11" s="1"/>
  <c r="B3" i="11" s="1"/>
  <c r="M48" i="35"/>
  <c r="L52" i="37"/>
  <c r="L58" i="21"/>
  <c r="D103" i="9"/>
  <c r="G20" i="9"/>
  <c r="C103" i="9"/>
  <c r="G21" i="9"/>
  <c r="C32" i="9"/>
  <c r="Q66" i="67"/>
  <c r="Q75" i="67" s="1"/>
  <c r="Q57" i="67"/>
  <c r="Q62" i="67" s="1"/>
  <c r="L46" i="67"/>
  <c r="D2" i="67" s="1"/>
  <c r="Q57" i="15"/>
  <c r="Q62" i="15" s="1"/>
  <c r="Q66" i="15"/>
  <c r="Q75" i="15" s="1"/>
  <c r="L46" i="15"/>
  <c r="B2" i="15" s="1"/>
  <c r="B3" i="15" s="1"/>
  <c r="C56" i="11" l="1"/>
  <c r="C57" i="11" s="1"/>
  <c r="C57" i="68"/>
  <c r="C56" i="68" s="1"/>
  <c r="M58" i="21"/>
  <c r="N58" i="21" s="1"/>
  <c r="O58" i="21" s="1"/>
  <c r="H7" i="21"/>
  <c r="M52" i="37"/>
  <c r="N52" i="37" s="1"/>
  <c r="O52" i="37" s="1"/>
  <c r="H7" i="37"/>
  <c r="N48" i="35"/>
  <c r="O48" i="35" s="1"/>
  <c r="H7" i="35" s="1"/>
  <c r="J7" i="35"/>
  <c r="F7" i="35"/>
  <c r="C35" i="9"/>
  <c r="F118" i="9" s="1"/>
  <c r="H118" i="9"/>
  <c r="C34" i="9"/>
  <c r="D118" i="9" s="1"/>
  <c r="B2" i="67"/>
  <c r="B3" i="67"/>
  <c r="AC7" i="35" l="1"/>
  <c r="V38" i="35" s="1"/>
  <c r="I38" i="35" s="1"/>
  <c r="W7" i="35"/>
  <c r="U7" i="37"/>
  <c r="AB7" i="37"/>
  <c r="T42" i="37" s="1"/>
  <c r="G42" i="37" s="1"/>
  <c r="U7" i="21"/>
  <c r="AB7" i="21"/>
  <c r="T48" i="21" s="1"/>
  <c r="G48" i="21" s="1"/>
  <c r="AA7" i="35"/>
  <c r="R38" i="35" s="1"/>
  <c r="S7" i="35"/>
  <c r="AB7" i="35"/>
  <c r="T38" i="35" s="1"/>
  <c r="G38" i="35" s="1"/>
  <c r="U7" i="35"/>
  <c r="J7" i="37"/>
  <c r="F7" i="37"/>
  <c r="F7" i="21"/>
  <c r="J7" i="21"/>
  <c r="I118" i="9"/>
  <c r="C104" i="9"/>
  <c r="H4" i="52"/>
  <c r="H101" i="9"/>
  <c r="D14" i="74"/>
  <c r="H119" i="9"/>
  <c r="H5" i="52" s="1"/>
  <c r="D4" i="52"/>
  <c r="B47" i="72" s="1"/>
  <c r="D119" i="9"/>
  <c r="D5" i="52" s="1"/>
  <c r="B49" i="72" s="1"/>
  <c r="F119" i="9"/>
  <c r="F5" i="52" s="1"/>
  <c r="B53" i="72" s="1"/>
  <c r="F4" i="52"/>
  <c r="B51" i="72" s="1"/>
  <c r="G118" i="9"/>
  <c r="G4" i="52" s="1"/>
  <c r="B52" i="72" s="1"/>
  <c r="AC7" i="21" l="1"/>
  <c r="V48" i="21" s="1"/>
  <c r="I48" i="21" s="1"/>
  <c r="G53" i="21" s="1"/>
  <c r="H53" i="21" s="1"/>
  <c r="W7" i="21"/>
  <c r="S7" i="37"/>
  <c r="AA7" i="37"/>
  <c r="R42" i="37" s="1"/>
  <c r="G52" i="21"/>
  <c r="H52" i="21" s="1"/>
  <c r="G46" i="37"/>
  <c r="H46" i="37" s="1"/>
  <c r="AA7" i="21"/>
  <c r="R48" i="21" s="1"/>
  <c r="S7" i="21"/>
  <c r="W7" i="37"/>
  <c r="AC7" i="37"/>
  <c r="V42" i="37" s="1"/>
  <c r="I42" i="37" s="1"/>
  <c r="G42" i="35"/>
  <c r="H42" i="35" s="1"/>
  <c r="G43" i="35"/>
  <c r="H43" i="35" s="1"/>
  <c r="R39" i="35"/>
  <c r="E38" i="35"/>
  <c r="I42" i="35"/>
  <c r="J42" i="35" s="1"/>
  <c r="I43" i="35"/>
  <c r="J43" i="35" s="1"/>
  <c r="M48" i="9"/>
  <c r="H107" i="9"/>
  <c r="D45" i="9"/>
  <c r="D5" i="53"/>
  <c r="B5" i="74"/>
  <c r="F14" i="74"/>
  <c r="E14" i="74"/>
  <c r="E118" i="9"/>
  <c r="E4" i="52" s="1"/>
  <c r="B48" i="72" s="1"/>
  <c r="H102" i="9"/>
  <c r="D7" i="53" s="1"/>
  <c r="B21" i="72" s="1"/>
  <c r="I4" i="52"/>
  <c r="C105" i="9"/>
  <c r="E43" i="35" l="1"/>
  <c r="F43" i="35" s="1"/>
  <c r="E42" i="35"/>
  <c r="F42" i="35" s="1"/>
  <c r="I46" i="37"/>
  <c r="J46" i="37" s="1"/>
  <c r="G47" i="37"/>
  <c r="H47" i="37" s="1"/>
  <c r="E42" i="37"/>
  <c r="R43" i="37"/>
  <c r="C39" i="35"/>
  <c r="B2" i="35" s="1"/>
  <c r="B3" i="35" s="1"/>
  <c r="C38" i="35"/>
  <c r="R49" i="21"/>
  <c r="E48" i="21"/>
  <c r="I52" i="21"/>
  <c r="J52" i="21" s="1"/>
  <c r="I53" i="21"/>
  <c r="J53" i="21" s="1"/>
  <c r="B20" i="72"/>
  <c r="D6" i="53"/>
  <c r="B22" i="72" s="1"/>
  <c r="H108" i="9"/>
  <c r="D15" i="53" s="1"/>
  <c r="B31" i="72" s="1"/>
  <c r="D13" i="53"/>
  <c r="D122" i="9"/>
  <c r="D5" i="74"/>
  <c r="C5" i="74"/>
  <c r="C93" i="9"/>
  <c r="C86" i="9" s="1"/>
  <c r="D53" i="9"/>
  <c r="C78" i="9"/>
  <c r="C73" i="9" s="1"/>
  <c r="D55" i="9"/>
  <c r="M53" i="9" s="1"/>
  <c r="D52" i="9"/>
  <c r="C64" i="9"/>
  <c r="C63" i="9" s="1"/>
  <c r="C67" i="9" s="1"/>
  <c r="C68" i="9" s="1"/>
  <c r="D54" i="9" s="1"/>
  <c r="C72" i="9"/>
  <c r="C85" i="9"/>
  <c r="C48" i="21" l="1"/>
  <c r="C49" i="21"/>
  <c r="B2" i="21" s="1"/>
  <c r="B3" i="21" s="1"/>
  <c r="E47" i="37"/>
  <c r="F47" i="37" s="1"/>
  <c r="E46" i="37"/>
  <c r="F46" i="37" s="1"/>
  <c r="E52" i="21"/>
  <c r="F52" i="21" s="1"/>
  <c r="E53" i="21"/>
  <c r="F53" i="21" s="1"/>
  <c r="C42" i="37"/>
  <c r="C43" i="37"/>
  <c r="B2" i="37" s="1"/>
  <c r="B3" i="37" s="1"/>
  <c r="I47" i="37"/>
  <c r="J47" i="37" s="1"/>
  <c r="C79" i="9"/>
  <c r="C95" i="9"/>
  <c r="C96" i="9" s="1"/>
  <c r="E96" i="9" s="1"/>
  <c r="E97" i="9" s="1"/>
  <c r="C80" i="9"/>
  <c r="E80" i="9" s="1"/>
  <c r="E81" i="9" s="1"/>
  <c r="B30" i="72"/>
  <c r="D14" i="53"/>
  <c r="B32" i="72" s="1"/>
  <c r="G14" i="74"/>
  <c r="B6" i="74" s="1"/>
  <c r="D8" i="52"/>
  <c r="D123" i="9"/>
  <c r="D9" i="52" s="1"/>
  <c r="C81" i="9" l="1"/>
  <c r="C97" i="9"/>
  <c r="D58" i="9" s="1"/>
  <c r="D56" i="9" s="1"/>
  <c r="M54" i="9" s="1"/>
  <c r="N57" i="9" s="1"/>
  <c r="N59" i="9" s="1"/>
  <c r="D6" i="74"/>
  <c r="C6" i="74"/>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<sst xmlns="http://schemas.openxmlformats.org/spreadsheetml/2006/main" count="7287" uniqueCount="3079">
  <si>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</si>
  <si>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</si>
  <si>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</si>
  <si>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</si>
  <si>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</si>
  <si>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</si>
  <si>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</si>
  <si>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</si>
  <si>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</si>
  <si>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</si>
  <si>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</si>
  <si>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</si>
  <si>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</si>
  <si>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</si>
  <si>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</si>
  <si>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</si>
  <si>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</si>
  <si>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</si>
  <si>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</si>
  <si>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</si>
  <si>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</si>
  <si>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</si>
  <si>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</si>
  <si>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</si>
  <si>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</si>
  <si>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</si>
  <si>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</si>
  <si>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</si>
  <si>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</si>
  <si>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</si>
  <si>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</si>
  <si>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</si>
  <si>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</si>
  <si>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</si>
  <si>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</si>
  <si>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</si>
  <si>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</si>
  <si>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</si>
  <si>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</si>
  <si>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</si>
  <si>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</si>
  <si>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</si>
  <si>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</si>
  <si>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</si>
  <si>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</si>
  <si>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</si>
  <si>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</si>
  <si>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</si>
  <si>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</si>
  <si>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</si>
  <si>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</si>
  <si>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</si>
  <si>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</si>
  <si>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</si>
  <si>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</si>
  <si>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</si>
  <si>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</si>
  <si>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</si>
  <si>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</si>
  <si>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</si>
  <si>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</si>
  <si>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</si>
  <si>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</si>
  <si>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</si>
  <si>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</si>
  <si>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</si>
  <si>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</si>
  <si>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</si>
  <si>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</si>
  <si>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</si>
  <si>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</si>
  <si>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</si>
  <si>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</si>
  <si>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</si>
  <si>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</si>
  <si>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</si>
  <si>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</si>
  <si>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</si>
  <si>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</si>
  <si>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</si>
  <si>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</si>
  <si>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</si>
  <si>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</si>
  <si>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</si>
  <si>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</si>
  <si>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</si>
  <si>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</si>
  <si>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</si>
  <si>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</si>
  <si>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</si>
  <si>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</si>
  <si>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</si>
  <si>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</si>
  <si>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</si>
  <si>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</si>
  <si>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</si>
  <si>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</si>
  <si>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</si>
  <si>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</si>
  <si>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</si>
  <si>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</si>
  <si>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</si>
  <si>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</si>
  <si>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</si>
  <si>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</si>
  <si>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</si>
  <si>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</si>
  <si>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</si>
  <si>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</si>
  <si>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</si>
  <si>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</si>
  <si>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</si>
  <si>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</si>
  <si>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</si>
  <si>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</si>
  <si>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</si>
  <si>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</si>
  <si>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</si>
  <si>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</si>
  <si>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</si>
  <si>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</si>
  <si>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</si>
  <si>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</si>
  <si>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</si>
  <si>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</si>
  <si>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</si>
  <si>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</si>
  <si>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</si>
  <si>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</si>
  <si>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</si>
  <si>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</si>
  <si>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</si>
  <si>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</si>
  <si>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</si>
  <si>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</si>
  <si>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</si>
  <si>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</si>
  <si>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</si>
  <si>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</si>
  <si>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</si>
  <si>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</si>
  <si>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</si>
  <si>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</si>
  <si>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</si>
  <si>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</si>
  <si>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</si>
  <si>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</si>
  <si>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</si>
  <si>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</si>
  <si>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</si>
  <si>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</si>
  <si>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</si>
  <si>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</si>
  <si>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</si>
  <si>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</si>
  <si>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</si>
  <si>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</si>
  <si>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</si>
  <si>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</si>
  <si>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</si>
  <si>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</si>
  <si>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</si>
  <si>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</si>
  <si>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</si>
  <si>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</si>
  <si>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</si>
  <si>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</si>
  <si>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</si>
  <si>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</si>
  <si>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</si>
  <si>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</si>
  <si>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</si>
  <si>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</si>
  <si>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</si>
  <si>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</si>
  <si>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</si>
  <si>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</si>
  <si>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</si>
  <si>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</si>
  <si>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</si>
  <si>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</si>
  <si>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</si>
  <si>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</si>
  <si>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</si>
  <si>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</si>
  <si>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</si>
  <si>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</si>
  <si>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</si>
  <si>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</si>
  <si>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</si>
  <si>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</si>
  <si>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</si>
  <si>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</si>
  <si>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</si>
  <si>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</si>
  <si>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</si>
  <si>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</si>
  <si>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</si>
  <si>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</si>
  <si>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</si>
  <si>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</si>
  <si>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</si>
  <si>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</si>
  <si>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</si>
  <si>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</si>
  <si>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</si>
  <si>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</si>
  <si>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</si>
  <si>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</si>
  <si>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</si>
  <si>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</si>
  <si>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</si>
  <si>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</si>
  <si>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</si>
  <si>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</si>
  <si>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</si>
  <si>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</si>
  <si>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</si>
  <si>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</si>
  <si>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</si>
  <si>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</si>
  <si>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</si>
  <si>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</si>
  <si>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</si>
  <si>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</si>
  <si>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</si>
  <si>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</si>
  <si>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</si>
  <si>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</si>
  <si>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</si>
  <si>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</si>
  <si>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</si>
  <si>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</si>
  <si>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</si>
  <si>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</si>
  <si>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</si>
  <si>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</si>
  <si>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</si>
  <si>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</si>
  <si>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</si>
  <si>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</si>
  <si>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</si>
  <si>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</si>
  <si>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</si>
  <si>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</si>
  <si>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</si>
  <si>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</si>
  <si>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</si>
  <si>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</si>
  <si>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</si>
  <si>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</si>
  <si>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</si>
  <si>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</si>
  <si>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</si>
  <si>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</si>
  <si>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</si>
  <si>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</si>
  <si>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</si>
  <si>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</si>
  <si>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</si>
  <si>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</si>
  <si>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</si>
  <si>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</si>
  <si>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</si>
  <si>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</si>
  <si>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</si>
  <si>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</si>
  <si>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</si>
  <si>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</si>
  <si>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</si>
  <si>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</si>
  <si>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</si>
  <si>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</si>
  <si>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</si>
  <si>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</si>
  <si>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</si>
  <si>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</si>
  <si>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</si>
  <si>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</si>
  <si>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</si>
  <si>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</si>
  <si>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</si>
  <si>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</si>
  <si>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</si>
  <si>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</si>
  <si>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</si>
  <si>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</si>
  <si>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</si>
  <si>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</si>
  <si>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</si>
  <si>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</si>
  <si>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</si>
  <si>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</si>
  <si>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</si>
  <si>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</si>
  <si>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</si>
  <si>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</si>
  <si>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</si>
  <si>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</si>
  <si>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</si>
  <si>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</si>
  <si>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</si>
  <si>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</si>
  <si>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</si>
  <si>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</si>
  <si>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</si>
  <si>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</si>
  <si>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</si>
  <si>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</si>
  <si>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</si>
  <si>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</si>
  <si>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</si>
  <si>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</si>
  <si>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</si>
  <si>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</si>
  <si>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</si>
  <si>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</si>
  <si>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</si>
  <si>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</si>
  <si>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</si>
  <si>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</si>
  <si>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</si>
  <si>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</si>
  <si>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</si>
  <si>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</si>
  <si>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</si>
  <si>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</si>
  <si>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</si>
  <si>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</si>
  <si>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</si>
  <si>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</si>
  <si>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</si>
  <si>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</si>
  <si>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</si>
  <si>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</si>
  <si>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</si>
  <si>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</si>
  <si>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</si>
  <si>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</si>
  <si>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</si>
  <si>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</si>
  <si>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</si>
  <si>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</si>
  <si>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</si>
  <si>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</si>
  <si>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</si>
  <si>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</si>
  <si>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</si>
  <si>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</si>
  <si>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</si>
  <si>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</si>
  <si>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</si>
  <si>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</si>
  <si>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</si>
  <si>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</si>
  <si>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</si>
  <si>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</si>
  <si>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</si>
  <si>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</si>
  <si>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</si>
  <si>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</si>
  <si>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</si>
  <si>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</si>
  <si>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</si>
  <si>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</si>
  <si>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</si>
  <si>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</si>
  <si>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</si>
  <si>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</si>
  <si>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</si>
  <si>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</si>
  <si>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</si>
  <si>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</si>
  <si>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</si>
  <si>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</si>
  <si>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</si>
  <si>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</si>
  <si>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</si>
  <si>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</si>
  <si>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</si>
  <si>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</si>
  <si>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</si>
  <si>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</si>
  <si>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</si>
  <si>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</si>
  <si>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</si>
  <si>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</si>
  <si>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</si>
  <si>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</si>
  <si>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</si>
  <si>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</si>
  <si>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</si>
  <si>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</si>
  <si>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</si>
  <si>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</si>
  <si>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</si>
  <si>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</si>
  <si>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</si>
  <si>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</si>
  <si>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</si>
  <si>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</si>
  <si>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</si>
  <si>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</si>
  <si>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</si>
  <si>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</si>
  <si>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</si>
  <si>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</si>
  <si>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</si>
  <si>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</si>
  <si>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</si>
  <si>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</si>
  <si>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</si>
  <si>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</si>
  <si>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</si>
  <si>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</si>
  <si>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</si>
  <si>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</si>
  <si>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</si>
  <si>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</si>
  <si>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</si>
  <si>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</si>
  <si>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</si>
  <si>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</si>
  <si>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</si>
  <si>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</si>
  <si>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</si>
  <si>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</si>
  <si>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</si>
  <si>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</si>
  <si>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</si>
  <si>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</si>
  <si>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</si>
  <si>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</si>
  <si>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</si>
  <si>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</si>
  <si>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</si>
  <si>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</si>
  <si>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</si>
  <si>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</si>
  <si>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</si>
  <si>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</si>
  <si>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</si>
  <si>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</si>
  <si>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</si>
  <si>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</si>
  <si>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</si>
  <si>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</si>
  <si>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</si>
  <si>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</si>
  <si>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</si>
  <si>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</si>
  <si>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</si>
  <si>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</si>
  <si>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</si>
  <si>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</si>
  <si>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</si>
  <si>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</si>
  <si>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</si>
  <si>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</si>
  <si>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</si>
  <si>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</si>
  <si>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</si>
  <si>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</si>
  <si>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</si>
  <si>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</si>
  <si>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</si>
  <si>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</si>
  <si>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</si>
  <si>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</si>
  <si>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</si>
  <si>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</si>
  <si>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</si>
  <si>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</si>
  <si>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</si>
  <si>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</si>
  <si>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</si>
  <si>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</si>
  <si>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</si>
  <si>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</si>
  <si>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</si>
  <si>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</si>
  <si>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</si>
  <si>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</si>
  <si>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</si>
  <si>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</si>
  <si>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</si>
  <si>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</si>
  <si>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</si>
  <si>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</si>
  <si>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</si>
  <si>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</si>
  <si>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</si>
  <si>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</si>
  <si>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</si>
  <si>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</si>
  <si>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</si>
  <si>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</si>
  <si>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</si>
  <si>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</si>
  <si>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</si>
  <si>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</si>
  <si>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</si>
  <si>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</si>
  <si>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</si>
  <si>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</si>
  <si>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</si>
  <si>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</si>
  <si>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</si>
  <si>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</si>
  <si>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</si>
  <si>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</si>
  <si>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</si>
  <si>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</si>
  <si>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</si>
  <si>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</si>
  <si>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</si>
  <si>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</si>
  <si>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</si>
  <si>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</si>
  <si>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</si>
  <si>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</si>
  <si>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</si>
  <si>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</si>
  <si>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</si>
  <si>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</si>
  <si>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</si>
  <si>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</si>
  <si>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</si>
  <si>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</si>
  <si>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</si>
  <si>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</si>
  <si>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</si>
  <si>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</si>
  <si>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</si>
  <si>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</si>
  <si>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</si>
  <si>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</si>
  <si>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</si>
  <si>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</si>
  <si>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</si>
  <si>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</si>
  <si>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</si>
  <si>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</si>
  <si>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</si>
  <si>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</si>
  <si>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</si>
  <si>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</si>
  <si>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</si>
  <si>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</si>
  <si>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</si>
  <si>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</si>
  <si>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</si>
  <si>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</si>
  <si>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</si>
  <si>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</si>
  <si>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</si>
  <si>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</si>
  <si>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</si>
  <si>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</si>
  <si>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</si>
  <si>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</si>
  <si>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</si>
  <si>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</si>
  <si>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</si>
  <si>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</si>
  <si>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</si>
  <si>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</si>
  <si>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</si>
  <si>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</si>
  <si>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</si>
  <si>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</si>
  <si>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</si>
  <si>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</si>
  <si>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</si>
  <si>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</si>
  <si>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</si>
  <si>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</si>
  <si>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</si>
  <si>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</si>
  <si>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</si>
  <si>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</si>
  <si>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</si>
  <si>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</si>
  <si>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</si>
  <si>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</si>
  <si>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</si>
  <si>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</si>
  <si>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</si>
  <si>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</si>
  <si>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</si>
  <si>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</si>
  <si>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</si>
  <si>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</si>
  <si>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</si>
  <si>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</si>
  <si>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</si>
  <si>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</si>
  <si>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</si>
  <si>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</si>
  <si>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</si>
  <si>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</si>
  <si>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</si>
  <si>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</si>
  <si>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</si>
  <si>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</si>
  <si>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</si>
  <si>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</si>
  <si>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</si>
  <si>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</si>
  <si>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</si>
  <si>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</si>
  <si>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</si>
  <si>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</si>
  <si>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</si>
  <si>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</si>
  <si>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</si>
  <si>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</si>
  <si>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</si>
  <si>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</si>
  <si>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</si>
  <si>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</si>
  <si>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</si>
  <si>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</si>
  <si>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</si>
  <si>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</si>
  <si>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</si>
  <si>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</si>
  <si>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</si>
  <si>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</si>
  <si>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</si>
  <si>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</si>
  <si>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</si>
  <si>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</si>
  <si>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</si>
  <si>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</si>
  <si>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</si>
  <si>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</si>
  <si>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</si>
  <si>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</si>
  <si>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</si>
  <si>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</si>
  <si>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</si>
  <si>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</si>
  <si>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</si>
  <si>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</si>
  <si>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</si>
  <si>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</si>
  <si>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</si>
  <si>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</si>
  <si>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</si>
  <si>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</si>
  <si>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</si>
  <si>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</si>
  <si>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</si>
  <si>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</si>
  <si>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</si>
  <si>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</si>
  <si>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</si>
  <si>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</si>
  <si>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</si>
  <si>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</si>
  <si>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</si>
  <si>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</si>
  <si>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</si>
  <si>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</si>
  <si>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</si>
  <si>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</si>
  <si>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</si>
  <si>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</si>
  <si>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</si>
  <si>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</si>
  <si>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</si>
  <si>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</si>
  <si>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</si>
  <si>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</si>
  <si>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</si>
  <si>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</si>
  <si>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</si>
  <si>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</si>
  <si>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</si>
  <si>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</si>
  <si>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</si>
  <si>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</si>
  <si>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</si>
  <si>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</si>
  <si>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</si>
  <si>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</si>
  <si>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</si>
  <si>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</si>
  <si>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</si>
  <si>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</si>
  <si>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</si>
  <si>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</si>
  <si>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</si>
  <si>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</si>
  <si>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</si>
  <si>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</si>
  <si>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</si>
  <si>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</si>
  <si>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</si>
  <si>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</si>
  <si>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</si>
  <si>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</si>
  <si>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</si>
  <si>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</si>
  <si>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</si>
  <si>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</si>
  <si>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</si>
  <si>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</si>
  <si>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</si>
  <si>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</si>
  <si>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</si>
  <si>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</si>
  <si>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</si>
  <si>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</si>
  <si>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</si>
  <si>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</si>
  <si>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</si>
  <si>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</si>
  <si>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</si>
  <si>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</si>
  <si>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</si>
  <si>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</si>
  <si>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</si>
  <si>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</si>
  <si>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</si>
  <si>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</si>
  <si>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</si>
  <si>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</si>
  <si>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</si>
  <si>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</si>
  <si>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</si>
  <si>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</si>
  <si>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</si>
  <si>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</si>
  <si>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</si>
  <si>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</si>
  <si>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</si>
  <si>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</si>
  <si>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</si>
  <si>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</si>
  <si>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</si>
  <si>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</si>
  <si>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</si>
  <si>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</si>
  <si>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</si>
  <si>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</si>
  <si>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</si>
  <si>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</si>
  <si>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</si>
  <si>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</si>
  <si>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</si>
  <si>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</si>
  <si>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</si>
  <si>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</si>
  <si>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</si>
  <si>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</si>
  <si>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</si>
  <si>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</si>
  <si>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</si>
  <si>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</si>
  <si>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</si>
  <si>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</si>
  <si>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</si>
  <si>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</si>
  <si>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</si>
  <si>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</si>
  <si>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</si>
  <si>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</si>
  <si>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</si>
  <si>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</si>
  <si>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</si>
  <si>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</si>
  <si>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</si>
  <si>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</si>
  <si>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</si>
  <si>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</si>
  <si>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</si>
  <si>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</si>
  <si>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</si>
  <si>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</si>
  <si>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</si>
  <si>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</si>
  <si>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</si>
  <si>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</si>
  <si>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</si>
  <si>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</si>
  <si>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</si>
  <si>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</si>
  <si>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</si>
  <si>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</si>
  <si>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</si>
  <si>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</si>
  <si>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</si>
  <si>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</si>
  <si>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</si>
  <si>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</si>
  <si>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</si>
  <si>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</si>
  <si>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</si>
  <si>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</si>
  <si>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</si>
  <si>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</si>
  <si>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</si>
  <si>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</si>
  <si>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</si>
  <si>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</si>
  <si>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</si>
  <si>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</si>
  <si>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</si>
  <si>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</si>
  <si>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</si>
  <si>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</si>
  <si>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</si>
  <si>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</si>
  <si>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</si>
  <si>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</si>
  <si>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</si>
  <si>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</si>
  <si>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</si>
  <si>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</si>
  <si>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</si>
  <si>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</si>
  <si>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</si>
  <si>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</si>
  <si>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</si>
  <si>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</si>
  <si>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</si>
  <si>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</si>
  <si>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</si>
  <si>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</si>
  <si>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</si>
  <si>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</si>
  <si>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</si>
  <si>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</si>
  <si>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</si>
  <si>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</si>
  <si>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</si>
  <si>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</si>
  <si>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</si>
  <si>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</si>
  <si>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</si>
  <si>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</si>
  <si>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</si>
  <si>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</si>
  <si>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</si>
  <si>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</si>
  <si>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</si>
  <si>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</si>
  <si>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</si>
  <si>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</si>
  <si>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</si>
  <si>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</si>
  <si>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</si>
  <si>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</si>
  <si>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</si>
  <si>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</si>
  <si>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</si>
  <si>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</si>
  <si>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</si>
  <si>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</si>
  <si>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</si>
  <si>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</si>
  <si>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</si>
  <si>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</si>
  <si>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</si>
  <si>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</si>
  <si>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</si>
  <si>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</si>
  <si>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</si>
  <si>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</si>
  <si>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</si>
  <si>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</si>
  <si>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</si>
  <si>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</si>
  <si>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</si>
  <si>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</si>
  <si>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</si>
  <si>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</si>
  <si>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</si>
  <si>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</si>
  <si>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</si>
  <si>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</si>
  <si>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</si>
  <si>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</si>
  <si>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</si>
  <si>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</si>
  <si>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</si>
  <si>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</si>
  <si>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</si>
  <si>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</si>
  <si>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</si>
  <si>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</si>
  <si>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</si>
  <si>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</si>
  <si>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</si>
  <si>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</si>
  <si>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</si>
  <si>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</si>
  <si>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</si>
  <si>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</si>
  <si>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</si>
  <si>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</si>
  <si>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</si>
  <si>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</si>
  <si>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</si>
  <si>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</si>
  <si>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</si>
  <si>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</si>
  <si>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</si>
  <si>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</si>
  <si>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</si>
  <si>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</si>
  <si>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</si>
  <si>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</si>
  <si>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</si>
  <si>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</si>
  <si>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</si>
  <si>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</si>
  <si>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</si>
  <si>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</si>
  <si>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</si>
  <si>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</si>
  <si>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</si>
  <si>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</si>
  <si>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</si>
  <si>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</si>
  <si>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</si>
  <si>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</si>
  <si>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</si>
  <si>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</si>
  <si>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</si>
  <si>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</si>
  <si>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</si>
  <si>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</si>
  <si>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</si>
  <si>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</si>
  <si>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</si>
  <si>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</si>
  <si>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</si>
  <si>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</si>
  <si>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</si>
  <si>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</si>
  <si>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</si>
  <si>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</si>
  <si>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</si>
  <si>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</si>
  <si>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</si>
  <si>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</si>
  <si>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</si>
  <si>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</si>
  <si>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</si>
  <si>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</si>
  <si>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</si>
  <si>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</si>
  <si>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</si>
  <si>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</si>
  <si>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</si>
  <si>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</si>
  <si>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</si>
  <si>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</si>
  <si>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</si>
  <si>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</si>
  <si>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</si>
  <si>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</si>
  <si>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</si>
  <si>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</si>
  <si>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</si>
  <si>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</si>
  <si>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</si>
  <si>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</si>
  <si>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</si>
  <si>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</si>
  <si>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</si>
  <si>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</si>
  <si>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</si>
  <si>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</si>
  <si>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</si>
  <si>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</si>
  <si>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</si>
  <si>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</si>
  <si>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</si>
  <si>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</si>
  <si>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</si>
  <si>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</si>
  <si>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</si>
  <si>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</si>
  <si>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</si>
  <si>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</si>
  <si>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</si>
  <si>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</si>
  <si>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</si>
  <si>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</si>
  <si>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</si>
  <si>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</si>
  <si>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</si>
  <si>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</si>
  <si>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</si>
  <si>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</si>
  <si>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</si>
  <si>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</si>
  <si>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</si>
  <si>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</si>
  <si>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</si>
  <si>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</si>
  <si>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</si>
  <si>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</si>
  <si>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</si>
  <si>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</si>
  <si>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</si>
  <si>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</si>
  <si>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</si>
  <si>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</si>
  <si>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</si>
  <si>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</si>
  <si>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</si>
  <si>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</si>
  <si>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</si>
  <si>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</si>
  <si>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</si>
  <si>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</si>
  <si>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</si>
  <si>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</si>
  <si>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</si>
  <si>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</si>
  <si>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</si>
  <si>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</si>
  <si>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</si>
  <si>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</si>
  <si>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</si>
  <si>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</si>
  <si>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</si>
  <si>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</si>
  <si>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</si>
  <si>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</si>
  <si>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</si>
  <si>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</si>
  <si>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</si>
  <si>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</si>
  <si>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</si>
  <si>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</si>
  <si>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</si>
  <si>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</si>
  <si>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</si>
  <si>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</si>
  <si>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</si>
  <si>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</si>
  <si>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</si>
  <si>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</si>
  <si>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</si>
  <si>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</si>
  <si>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</si>
  <si>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</si>
  <si>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</si>
  <si>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</si>
  <si>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</si>
  <si>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</si>
  <si>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</si>
  <si>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</si>
  <si>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</si>
  <si>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</si>
  <si>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</si>
  <si>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</si>
  <si>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</si>
  <si>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</si>
  <si>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</si>
  <si>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</si>
  <si>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</si>
  <si>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</si>
  <si>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</si>
  <si>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</si>
  <si>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</si>
  <si>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</si>
  <si>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</si>
  <si>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</si>
  <si>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</si>
  <si>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</si>
  <si>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</si>
  <si>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</si>
  <si>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</si>
  <si>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</si>
  <si>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</si>
  <si>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</si>
  <si>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</si>
  <si>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</si>
  <si>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</si>
  <si>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</si>
  <si>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</si>
  <si>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</si>
  <si>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</si>
  <si>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</si>
  <si>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</si>
  <si>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</si>
  <si>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</si>
  <si>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</si>
  <si>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</si>
  <si>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</si>
  <si>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</si>
  <si>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</si>
  <si>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</si>
  <si>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</si>
  <si>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</si>
  <si>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</si>
  <si>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</si>
  <si>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</si>
  <si>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</si>
  <si>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</si>
  <si>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</si>
  <si>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</si>
  <si>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</si>
  <si>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</si>
  <si>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</si>
  <si>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</si>
  <si>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</si>
  <si>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</si>
  <si>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</si>
  <si>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</si>
  <si>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</si>
  <si>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</si>
  <si>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</si>
  <si>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</si>
  <si>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</si>
  <si>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</si>
  <si>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</si>
  <si>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</si>
  <si>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</si>
  <si>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</si>
  <si>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</si>
  <si>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</si>
  <si>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</si>
  <si>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</si>
  <si>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</si>
  <si>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</si>
  <si>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</si>
  <si>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</si>
  <si>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</si>
  <si>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</si>
  <si>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</si>
  <si>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</si>
  <si>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</si>
  <si>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</si>
  <si>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</si>
  <si>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</si>
  <si>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</si>
  <si>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</si>
  <si>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</si>
  <si>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</si>
  <si>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</si>
  <si>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</si>
  <si>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</si>
  <si>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</si>
  <si>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</si>
  <si>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</si>
  <si>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</si>
  <si>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</si>
  <si>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</si>
  <si>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</si>
  <si>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</si>
  <si>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</si>
  <si>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</si>
  <si>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</si>
  <si>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</si>
  <si>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</si>
  <si>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</si>
  <si>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</si>
  <si>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</si>
  <si>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</si>
  <si>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</si>
  <si>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</si>
  <si>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</si>
  <si>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</si>
  <si>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</si>
  <si>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</si>
  <si>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</si>
  <si>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</si>
  <si>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</si>
  <si>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</si>
  <si>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</si>
  <si>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</si>
  <si>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</si>
  <si>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</si>
  <si>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</si>
  <si>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</si>
  <si>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</si>
  <si>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</si>
  <si>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</si>
  <si>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</si>
  <si>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</si>
  <si>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</si>
  <si>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</si>
  <si>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</si>
  <si>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</si>
  <si>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</si>
  <si>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</si>
  <si>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</si>
  <si>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</si>
  <si>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</si>
  <si>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</si>
  <si>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</si>
  <si>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</si>
  <si>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</si>
  <si>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</si>
  <si>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</si>
  <si>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</si>
  <si>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</si>
  <si>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</si>
  <si>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</si>
  <si>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</si>
  <si>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</si>
  <si>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</si>
  <si>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</si>
  <si>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</si>
  <si>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</si>
  <si>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</si>
  <si>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</si>
  <si>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</si>
  <si>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</si>
  <si>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</si>
  <si>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</si>
  <si>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</si>
  <si>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</si>
  <si>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</si>
  <si>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</si>
  <si>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</si>
  <si>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</si>
  <si>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</si>
  <si>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</si>
  <si>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</si>
  <si>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</si>
  <si>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</si>
  <si>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</si>
  <si>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</si>
  <si>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</si>
  <si>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</si>
  <si>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</si>
  <si>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</si>
  <si>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</si>
  <si>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</si>
  <si>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</si>
  <si>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</si>
  <si>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</si>
  <si>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</si>
  <si>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</si>
  <si>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</si>
  <si>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</si>
  <si>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</si>
  <si>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</si>
  <si>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</si>
  <si>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</si>
  <si>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</si>
  <si>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</si>
  <si>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</si>
  <si>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</si>
  <si>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</si>
  <si>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</si>
  <si>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</si>
  <si>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</si>
  <si>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</si>
  <si>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</si>
  <si>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</si>
  <si>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</si>
  <si>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</si>
  <si>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</si>
  <si>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</si>
  <si>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</si>
  <si>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</si>
  <si>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</si>
  <si>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</si>
  <si>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</si>
  <si>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</si>
  <si>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</si>
  <si>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</si>
  <si>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</si>
  <si>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</si>
  <si>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</si>
  <si>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</si>
  <si>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</si>
  <si>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</si>
  <si>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</si>
  <si>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</si>
  <si>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</si>
  <si>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</si>
  <si>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</si>
  <si>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</si>
  <si>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</si>
  <si>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</si>
  <si>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</si>
  <si>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</si>
  <si>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</si>
  <si>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</si>
  <si>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</si>
  <si>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</si>
  <si>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</si>
  <si>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</si>
  <si>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</si>
  <si>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</si>
  <si>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</si>
  <si>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</si>
  <si>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</si>
  <si>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</si>
  <si>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</si>
  <si>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</si>
  <si>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</si>
  <si>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</si>
  <si>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</si>
  <si>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</si>
  <si>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</si>
  <si>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</si>
  <si>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</si>
  <si>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</si>
  <si>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</si>
  <si>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</si>
  <si>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</si>
  <si>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</si>
  <si>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</si>
  <si>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</si>
  <si>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</si>
  <si>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</si>
  <si>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</si>
  <si>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</si>
  <si>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</si>
  <si>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</si>
  <si>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</si>
  <si>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</si>
  <si>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</si>
  <si>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</si>
  <si>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</si>
  <si>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</si>
  <si>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</si>
  <si>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</si>
  <si>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</si>
  <si>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</si>
  <si>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</si>
  <si>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</si>
  <si>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</si>
  <si>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</si>
  <si>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</si>
  <si>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</si>
  <si>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</si>
  <si>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</si>
  <si>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</si>
  <si>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</si>
  <si>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</si>
  <si>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</si>
  <si>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</si>
  <si>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</si>
  <si>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</si>
  <si>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</si>
  <si>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</si>
  <si>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</si>
  <si>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</si>
  <si>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</si>
  <si>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</si>
  <si>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</si>
  <si>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</si>
  <si>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</si>
  <si>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</si>
  <si>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</si>
  <si>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</si>
  <si>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</si>
  <si>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</si>
  <si>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</si>
  <si>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</si>
  <si>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</si>
  <si>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</si>
  <si>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</si>
  <si>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</si>
  <si>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</si>
  <si>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</si>
  <si>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</si>
  <si>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</si>
  <si>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</si>
  <si>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</si>
  <si>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</si>
  <si>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</si>
  <si>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</si>
  <si>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</si>
  <si>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</si>
  <si>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</si>
  <si>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</si>
  <si>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</si>
  <si>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</si>
  <si>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</si>
  <si>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</si>
  <si>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</si>
  <si>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</si>
  <si>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</si>
  <si>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</si>
  <si>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</si>
  <si>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</si>
  <si>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</si>
  <si>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</si>
  <si>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</si>
  <si>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</si>
  <si>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</si>
  <si>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</si>
  <si>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</si>
  <si>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</si>
  <si>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</si>
  <si>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</si>
  <si>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</si>
  <si>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</si>
  <si>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</si>
  <si>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</si>
  <si>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</si>
  <si>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</si>
  <si>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</si>
  <si>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</si>
  <si>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</si>
  <si>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</si>
  <si>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</si>
  <si>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</si>
  <si>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</si>
  <si>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</si>
  <si>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</si>
  <si>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</si>
  <si>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</si>
  <si>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</si>
  <si>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</si>
  <si>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</si>
  <si>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</si>
  <si>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</si>
  <si>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</si>
  <si>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</si>
  <si>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</si>
  <si>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</si>
  <si>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</si>
  <si>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</si>
  <si>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</si>
  <si>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</si>
  <si>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</si>
  <si>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</si>
  <si>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</si>
  <si>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</si>
  <si>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</si>
  <si>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</si>
  <si>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</si>
  <si>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</si>
  <si>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</si>
  <si>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</si>
  <si>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</si>
  <si>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</si>
  <si>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</si>
  <si>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</si>
  <si>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</si>
  <si>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</si>
  <si>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</si>
  <si>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</si>
  <si>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</si>
  <si>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</si>
  <si>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</si>
  <si>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</si>
  <si>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</si>
  <si>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</si>
  <si>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</si>
  <si>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</si>
  <si>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</si>
  <si>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</si>
  <si>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</si>
  <si>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</si>
  <si>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</si>
  <si>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</si>
  <si>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</si>
  <si>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</si>
  <si>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</si>
  <si>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</si>
  <si>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</si>
  <si>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</si>
  <si>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</si>
  <si>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</si>
  <si>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</si>
  <si>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</si>
  <si>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</si>
  <si>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</si>
  <si>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</si>
  <si>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</si>
  <si>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</si>
  <si>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</si>
  <si>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</si>
  <si>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</si>
  <si>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</si>
  <si>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</si>
  <si>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</si>
  <si>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</si>
  <si>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</si>
  <si>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</si>
  <si>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</si>
  <si>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</si>
  <si>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</si>
  <si>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</si>
  <si>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</si>
  <si>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</si>
  <si>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</si>
  <si>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</si>
  <si>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</si>
  <si>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</si>
  <si>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</si>
  <si>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</si>
  <si>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</si>
  <si>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</si>
  <si>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</si>
  <si>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</si>
  <si>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</si>
  <si>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</si>
  <si>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</si>
  <si>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</si>
  <si>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</si>
  <si>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</si>
  <si>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</si>
  <si>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</si>
  <si>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</si>
  <si>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</si>
  <si>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</si>
  <si>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</si>
  <si>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</si>
  <si>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</si>
  <si>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</si>
  <si>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</si>
  <si>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</si>
  <si>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</si>
  <si>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</si>
  <si>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</si>
  <si>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</si>
  <si>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</si>
  <si>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</si>
  <si>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</si>
  <si>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</si>
  <si>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</si>
  <si>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</si>
  <si>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</si>
  <si>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</si>
  <si>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</si>
  <si>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</si>
  <si>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</si>
  <si>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</si>
  <si>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</si>
  <si>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</si>
  <si>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</si>
  <si>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</si>
  <si>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</si>
  <si>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</si>
  <si>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</si>
  <si>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</si>
  <si>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</si>
  <si>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</si>
  <si>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</si>
  <si>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</si>
  <si>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</si>
  <si>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</si>
  <si>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</si>
  <si>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</si>
  <si>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</si>
  <si>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</si>
  <si>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</si>
  <si>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</si>
  <si>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</si>
  <si>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</si>
  <si>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</si>
  <si>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</si>
  <si>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</si>
  <si>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</si>
  <si>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</si>
  <si>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</si>
  <si>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</si>
  <si>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</si>
  <si>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</si>
  <si>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</si>
  <si>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</si>
  <si>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</si>
  <si>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</si>
  <si>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</si>
  <si>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</si>
  <si>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</si>
  <si>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</si>
  <si>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</si>
  <si>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</si>
  <si>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</si>
  <si>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</si>
  <si>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</si>
  <si>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</si>
  <si>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</si>
  <si>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</si>
  <si>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</si>
  <si>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</si>
  <si>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</si>
  <si>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</si>
  <si>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</si>
  <si>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</si>
  <si>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</si>
  <si>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</si>
  <si>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</si>
  <si>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</si>
  <si>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</si>
  <si>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</si>
  <si>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</si>
  <si>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</si>
  <si>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</si>
  <si>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</si>
  <si>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</si>
  <si>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</si>
  <si>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</si>
  <si>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</si>
  <si>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</si>
  <si>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</si>
  <si>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</si>
  <si>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</si>
  <si>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</si>
  <si>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</si>
  <si>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</si>
  <si>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</si>
  <si>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</si>
  <si>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</si>
  <si>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</si>
  <si>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</si>
  <si>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</si>
  <si>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</si>
  <si>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</si>
  <si>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</si>
  <si>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</si>
  <si>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</si>
  <si>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</si>
  <si>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</si>
  <si>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</si>
  <si>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</si>
  <si>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</si>
  <si>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</si>
  <si>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</si>
  <si>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</si>
  <si>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</si>
  <si>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</si>
  <si>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</si>
  <si>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</si>
  <si>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</si>
  <si>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</si>
  <si>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</si>
  <si>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</si>
  <si>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</si>
  <si>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</si>
  <si>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</si>
  <si>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</si>
  <si>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</si>
  <si>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</si>
  <si>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</si>
  <si>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</si>
  <si>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</si>
  <si>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</si>
  <si>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</si>
  <si>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</si>
  <si>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</si>
  <si>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</si>
  <si>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</si>
  <si>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</si>
  <si>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</si>
  <si>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</si>
  <si>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</si>
  <si>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</si>
  <si>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</si>
  <si>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</si>
  <si>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</si>
  <si>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</si>
  <si>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</si>
  <si>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</si>
  <si>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</si>
  <si>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</si>
  <si>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</si>
  <si>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</si>
  <si>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</si>
  <si>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</si>
  <si>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</si>
  <si>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</si>
  <si>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</si>
  <si>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</si>
  <si>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</si>
  <si>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</si>
  <si>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</si>
  <si>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</si>
  <si>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</si>
  <si>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</si>
  <si>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</si>
  <si>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</si>
  <si>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</si>
  <si>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</si>
  <si>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</si>
  <si>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</si>
  <si>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</si>
  <si>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</si>
  <si>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</si>
  <si>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</si>
  <si>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</si>
  <si>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</si>
  <si>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</si>
  <si>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</si>
  <si>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</si>
  <si>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</si>
  <si>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</si>
  <si>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</si>
  <si>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</si>
  <si>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</si>
  <si>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</si>
  <si>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</si>
  <si>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</si>
  <si>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</si>
  <si>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</si>
  <si>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</si>
  <si>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</si>
  <si>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</si>
  <si>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</si>
  <si>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</si>
  <si>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</si>
  <si>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</si>
  <si>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</si>
  <si>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</si>
  <si>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</si>
  <si>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</si>
  <si>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</si>
  <si>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</si>
  <si>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</si>
  <si>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</si>
  <si>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</si>
  <si>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</si>
  <si>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</si>
  <si>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</si>
  <si>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</si>
  <si>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</si>
  <si>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</si>
  <si>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</si>
  <si>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</si>
  <si>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</si>
  <si>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</si>
  <si>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</si>
  <si>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</si>
  <si>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</si>
  <si>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</si>
  <si>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</si>
  <si>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</si>
  <si>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</si>
  <si>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</si>
  <si>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</si>
  <si>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</si>
  <si>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</si>
  <si>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</si>
  <si>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</si>
  <si>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</si>
  <si>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</si>
  <si>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</si>
  <si>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</si>
  <si>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</si>
  <si>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</si>
  <si>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</si>
  <si>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</si>
  <si>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</si>
  <si>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</si>
  <si>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</si>
  <si>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</si>
  <si>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</si>
  <si>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</si>
  <si>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</si>
  <si>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</si>
  <si>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</si>
  <si>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</si>
  <si>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</si>
  <si>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</si>
  <si>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</si>
  <si>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</si>
  <si>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</si>
  <si>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</si>
  <si>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</si>
  <si>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</si>
  <si>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</si>
  <si>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</si>
  <si>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</si>
  <si>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</si>
  <si>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</si>
  <si>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</si>
  <si>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</si>
  <si>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</si>
  <si>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</si>
  <si>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</si>
  <si>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</si>
  <si>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</si>
  <si>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</si>
  <si>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</si>
  <si>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</si>
  <si>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</si>
  <si>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</si>
  <si>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</si>
  <si>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</si>
  <si>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</si>
  <si>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</si>
  <si>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</si>
  <si>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</si>
  <si>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</si>
  <si>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</si>
  <si>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</si>
  <si>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</si>
  <si>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</si>
  <si>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</si>
  <si>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</si>
  <si>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</si>
  <si>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</si>
  <si>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</si>
  <si>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</si>
  <si>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</si>
  <si>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</si>
  <si>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</si>
  <si>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</si>
  <si>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</si>
  <si>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</si>
  <si>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</si>
  <si>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</si>
  <si>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</si>
  <si>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</si>
  <si>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</si>
  <si>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</si>
  <si>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</si>
  <si>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</si>
  <si>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</si>
  <si>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</si>
  <si>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</si>
  <si>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</si>
  <si>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</si>
  <si>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</si>
  <si>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</si>
  <si>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</si>
  <si>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</si>
  <si>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</si>
  <si>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</si>
  <si>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</si>
  <si>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</si>
  <si>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</si>
  <si>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</si>
  <si>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</si>
  <si>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</si>
  <si>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</si>
  <si>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</si>
  <si>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</si>
  <si>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</si>
  <si>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</si>
  <si>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</si>
  <si>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</si>
  <si>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</si>
  <si>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</si>
  <si>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</si>
  <si>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</si>
  <si>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</si>
  <si>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</si>
  <si>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</si>
  <si>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</si>
  <si>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</si>
  <si>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</si>
  <si>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</si>
  <si>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</si>
  <si>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</si>
  <si>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</si>
  <si>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</si>
  <si>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</si>
  <si>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</si>
  <si>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</si>
  <si>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</si>
  <si>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</si>
  <si>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</si>
  <si>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</si>
  <si>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</si>
  <si>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</si>
  <si>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</si>
  <si>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</si>
  <si>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</si>
  <si>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</si>
  <si>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</si>
  <si>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</si>
  <si>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</si>
  <si>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</si>
  <si>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</si>
  <si>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</si>
  <si>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</si>
  <si>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</si>
  <si>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</si>
  <si>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</si>
  <si>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</si>
  <si>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</si>
  <si>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</si>
  <si>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</si>
  <si>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</si>
  <si>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</si>
  <si>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</si>
  <si>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</si>
  <si>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</si>
  <si>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</si>
  <si>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</si>
  <si>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</si>
  <si>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</si>
  <si>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</si>
  <si>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</si>
  <si>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</si>
  <si>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</si>
  <si>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</si>
  <si>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</si>
  <si>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</si>
  <si>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</si>
  <si>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</si>
  <si>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</si>
  <si>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</si>
  <si>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</si>
  <si>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</si>
  <si>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</si>
  <si>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</si>
  <si>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</si>
  <si>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</si>
  <si>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</si>
  <si>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</si>
  <si>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</si>
  <si>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</si>
  <si>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</si>
  <si>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</si>
  <si>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</si>
  <si>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</si>
  <si>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</si>
  <si>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</si>
  <si>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</si>
  <si>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</si>
  <si>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</si>
  <si>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</si>
  <si>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</si>
  <si>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</si>
  <si>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</si>
  <si>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</si>
  <si>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</si>
  <si>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</si>
  <si>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</si>
  <si>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</si>
  <si>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</si>
  <si>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</si>
  <si>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</si>
  <si>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</si>
  <si>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</si>
  <si>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</si>
  <si>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</si>
  <si>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</si>
  <si>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</si>
  <si>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</si>
  <si>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</si>
  <si>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</si>
  <si>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</si>
  <si>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</si>
  <si>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</si>
  <si>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</si>
  <si>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</si>
  <si>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</si>
  <si>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</si>
  <si>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</si>
  <si>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</si>
  <si>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</si>
  <si>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</si>
  <si>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</si>
  <si>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</si>
  <si>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</si>
  <si>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</si>
  <si>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</si>
  <si>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</si>
  <si>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</si>
  <si>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</si>
  <si>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</si>
  <si>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</si>
  <si>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</si>
  <si>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</si>
  <si>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</si>
  <si>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</si>
  <si>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</si>
  <si>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</si>
  <si>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</si>
  <si>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</si>
  <si>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</si>
  <si>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</si>
  <si>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</si>
  <si>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</si>
  <si>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</si>
  <si>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</si>
  <si>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</si>
  <si>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</si>
  <si>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</si>
  <si>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</si>
  <si>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</si>
  <si>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</si>
  <si>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</si>
  <si>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</si>
  <si>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</si>
  <si>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</si>
  <si>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</si>
  <si>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</si>
  <si>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</si>
  <si>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</si>
  <si>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</si>
  <si>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</si>
  <si>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</si>
  <si>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</si>
  <si>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</si>
  <si>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</si>
  <si>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</si>
  <si>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</si>
  <si>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</si>
  <si>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</si>
  <si>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</si>
  <si>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</si>
  <si>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</si>
  <si>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</si>
  <si>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</si>
  <si>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</si>
  <si>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</si>
  <si>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</si>
  <si>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</si>
  <si>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</si>
  <si>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</si>
  <si>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</si>
  <si>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</si>
  <si>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</si>
  <si>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</si>
  <si>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</si>
  <si>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</si>
  <si>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</si>
  <si>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</si>
  <si>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</si>
  <si>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</si>
  <si>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</si>
  <si>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</si>
  <si>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</si>
  <si>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</si>
  <si>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</si>
  <si>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</si>
  <si>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</si>
  <si>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</si>
  <si>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</si>
  <si>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</si>
  <si>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</si>
  <si>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</si>
  <si>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</si>
  <si>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</si>
  <si>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</si>
  <si>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</si>
  <si>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</si>
  <si>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</si>
  <si>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</si>
  <si>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</si>
  <si>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</si>
  <si>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</si>
  <si>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</si>
  <si>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</si>
  <si>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</si>
  <si>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</si>
  <si>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</si>
  <si>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</si>
  <si>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</si>
  <si>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</si>
  <si>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</si>
  <si>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</si>
  <si>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</si>
  <si>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</si>
  <si>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</si>
  <si>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</si>
  <si>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</si>
  <si>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</si>
  <si>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</si>
  <si>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</si>
  <si>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</si>
  <si>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</si>
  <si>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</si>
  <si>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</si>
  <si>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</si>
  <si>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</si>
  <si>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</si>
  <si>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</si>
  <si>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</si>
  <si>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</si>
  <si>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</si>
  <si>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</si>
  <si>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</si>
  <si>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</si>
  <si>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</si>
  <si>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</si>
  <si>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</si>
  <si>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</si>
  <si>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</si>
  <si>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</si>
  <si>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</si>
  <si>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</si>
  <si>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</si>
  <si>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</si>
  <si>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</si>
  <si>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</si>
  <si>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</si>
  <si>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</si>
  <si>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</si>
  <si>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</si>
  <si>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</si>
  <si>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</si>
  <si>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</si>
  <si>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</si>
  <si>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</si>
  <si>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</si>
  <si>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</si>
  <si>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</si>
  <si>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</si>
  <si>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</si>
  <si>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</si>
  <si>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</si>
  <si>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</si>
  <si>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</si>
  <si>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</si>
  <si>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</si>
  <si>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</si>
  <si>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</si>
  <si>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</si>
  <si>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</si>
  <si>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</si>
  <si>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</si>
  <si>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</si>
  <si>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</si>
  <si>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</si>
  <si>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</si>
  <si>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</si>
  <si>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</si>
  <si>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</si>
  <si>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</si>
  <si>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</si>
  <si>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</si>
  <si>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</si>
  <si>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</si>
  <si>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</si>
  <si>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</si>
  <si>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</si>
  <si>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</si>
  <si>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</si>
  <si>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</si>
  <si>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</si>
  <si>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</si>
  <si>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</si>
  <si>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</si>
  <si>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</si>
  <si>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</si>
  <si>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</si>
  <si>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</si>
  <si>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</si>
  <si>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</si>
  <si>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</si>
  <si>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</si>
  <si>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</si>
  <si>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</si>
  <si>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</si>
  <si>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</si>
  <si>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</si>
  <si>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</si>
  <si>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</si>
  <si>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</si>
  <si>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</si>
  <si>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</si>
  <si>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</si>
  <si>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</si>
  <si>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</si>
  <si>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</si>
  <si>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</si>
  <si>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</si>
  <si>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</si>
  <si>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</si>
  <si>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</si>
  <si>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</si>
  <si>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</si>
  <si>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</si>
  <si>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</si>
  <si>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</si>
  <si>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</si>
  <si>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</si>
  <si>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</si>
  <si>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</si>
  <si>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</si>
  <si>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</si>
  <si>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</si>
  <si>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</si>
  <si>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</si>
  <si>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</si>
  <si>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</si>
  <si>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</si>
  <si>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</si>
  <si>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</si>
  <si>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</si>
  <si>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</si>
  <si>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</si>
  <si>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</si>
  <si>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</si>
  <si>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</si>
  <si>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</si>
  <si>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</si>
  <si>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</si>
  <si>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</si>
  <si>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</si>
  <si>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</si>
  <si>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</si>
  <si>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</si>
  <si>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</si>
  <si>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</si>
  <si>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</si>
  <si>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</si>
  <si>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</si>
  <si>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</si>
  <si>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</si>
  <si>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</si>
  <si>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</si>
  <si>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</si>
  <si>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</si>
  <si>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</si>
  <si>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</si>
  <si>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</si>
  <si>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</si>
  <si>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</si>
  <si>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</si>
  <si>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</si>
  <si>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</si>
  <si>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</si>
  <si>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</si>
  <si>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</si>
  <si>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</si>
  <si>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</si>
  <si>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</si>
  <si>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</si>
  <si>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</si>
  <si>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</si>
  <si>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</si>
  <si>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</si>
  <si>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</si>
  <si>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</si>
  <si>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</si>
  <si>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</si>
  <si>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</si>
  <si>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</si>
  <si>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</si>
  <si>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</si>
  <si>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</si>
  <si>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</si>
  <si>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</si>
  <si>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</si>
  <si>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</si>
  <si>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</si>
  <si>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</si>
  <si>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</si>
  <si>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</si>
  <si>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</si>
  <si>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</si>
  <si>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</si>
  <si>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</si>
  <si>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</si>
  <si>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</si>
  <si>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</si>
  <si>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</si>
  <si>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</si>
  <si>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</si>
  <si>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</si>
  <si>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</si>
  <si>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</si>
  <si>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</si>
  <si>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</si>
  <si>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</si>
  <si>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</si>
  <si>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</si>
  <si>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</si>
  <si>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</si>
  <si>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</si>
  <si>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</si>
  <si>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</si>
  <si>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</si>
  <si>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</si>
  <si>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</si>
  <si>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</si>
  <si>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</si>
  <si>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</si>
  <si>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</si>
  <si>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</si>
  <si>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</si>
  <si>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</si>
  <si>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</si>
  <si>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</si>
  <si>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</si>
  <si>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</si>
  <si>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</si>
  <si>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</si>
  <si>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</si>
  <si>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</si>
  <si>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</si>
  <si>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</si>
  <si>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</si>
  <si>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</si>
  <si>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</si>
  <si>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</si>
  <si>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</si>
  <si>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</si>
  <si>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</si>
  <si>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</si>
  <si>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</si>
  <si>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</si>
  <si>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</si>
  <si>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</si>
  <si>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</si>
  <si>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</si>
  <si>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</si>
  <si>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</si>
  <si>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</si>
  <si>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</si>
  <si>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</si>
  <si>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</si>
  <si>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</si>
  <si>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</si>
  <si>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</si>
  <si>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</si>
  <si>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</si>
  <si>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</si>
  <si>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</si>
  <si>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</si>
  <si>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</si>
  <si>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</si>
  <si>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</si>
  <si>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</si>
  <si>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</si>
  <si>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</si>
  <si>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</si>
  <si>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</si>
  <si>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</si>
  <si>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</si>
  <si>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</si>
  <si>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</si>
  <si>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</si>
  <si>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</si>
  <si>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</si>
  <si>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</si>
  <si>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</si>
  <si>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</si>
  <si>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</si>
  <si>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</si>
  <si>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</si>
  <si>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</si>
  <si>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</si>
  <si>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</si>
  <si>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</si>
  <si>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</si>
  <si>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</si>
  <si>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</si>
  <si>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</si>
  <si>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</si>
  <si>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</si>
  <si>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</si>
  <si>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</si>
  <si>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</si>
  <si>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</si>
  <si>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</si>
  <si>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</si>
  <si>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</si>
  <si>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</si>
  <si>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</si>
  <si>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</si>
  <si>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</si>
  <si>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</si>
  <si>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</si>
  <si>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</si>
  <si>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</si>
  <si>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</si>
  <si>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</si>
  <si>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</si>
  <si>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</si>
  <si>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</si>
  <si>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</si>
  <si>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</si>
  <si>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</si>
  <si>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</si>
  <si>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</si>
  <si>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</si>
  <si>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</si>
  <si>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</si>
  <si>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</si>
  <si>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</si>
  <si>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</si>
  <si>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</si>
  <si>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</si>
  <si>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</si>
  <si>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</si>
  <si>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</si>
  <si>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</si>
  <si>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</si>
  <si>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</si>
  <si>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</si>
  <si>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</si>
  <si>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</si>
  <si>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</si>
  <si>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</si>
  <si>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</si>
  <si>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</si>
  <si>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</si>
  <si>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</si>
  <si>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</si>
  <si>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</si>
  <si>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</si>
  <si>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</si>
  <si>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</si>
  <si>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</si>
  <si>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</si>
  <si>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</si>
  <si>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</si>
  <si>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</si>
  <si>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</si>
  <si>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</si>
  <si>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</si>
  <si>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</si>
  <si>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</si>
  <si>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</si>
  <si>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</si>
  <si>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</si>
  <si>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</si>
  <si>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</si>
  <si>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</si>
  <si>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</si>
  <si>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</si>
  <si>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</si>
  <si>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</si>
  <si>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</si>
  <si>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</si>
  <si>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</si>
  <si>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</si>
  <si>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</si>
  <si>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</si>
  <si>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</si>
  <si>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</si>
  <si>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</si>
  <si>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</si>
  <si>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</si>
  <si>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</si>
  <si>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</si>
  <si>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</si>
  <si>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</si>
  <si>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</si>
  <si>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</si>
  <si>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</si>
  <si>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</si>
  <si>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</si>
  <si>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</si>
  <si>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</si>
  <si>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</si>
  <si>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</si>
  <si>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</si>
  <si>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</si>
  <si>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</si>
  <si>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</si>
  <si>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</si>
  <si>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</si>
  <si>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</si>
  <si>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</si>
  <si>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</si>
  <si>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</si>
  <si>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</si>
  <si>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</si>
  <si>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</si>
  <si>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</si>
  <si>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</si>
  <si>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</si>
  <si>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</si>
  <si>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</si>
  <si>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</si>
  <si>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</si>
  <si>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</si>
  <si>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</si>
  <si>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</si>
  <si>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</si>
  <si>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</si>
  <si>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</si>
  <si>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</si>
  <si>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</si>
  <si>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</si>
  <si>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</si>
  <si>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</si>
  <si>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</si>
  <si>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</si>
  <si>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</si>
  <si>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</si>
  <si>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</si>
  <si>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</si>
  <si>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</si>
  <si>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</si>
  <si>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</si>
  <si>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</si>
  <si>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</si>
  <si>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</si>
  <si>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</si>
  <si>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</si>
  <si>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</si>
  <si>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</si>
  <si>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</si>
  <si>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</si>
  <si>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</si>
  <si>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</si>
  <si>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</si>
  <si>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</si>
  <si>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</si>
  <si>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</si>
  <si>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</si>
  <si>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</si>
  <si>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</si>
  <si>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</si>
  <si>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</si>
  <si>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</si>
  <si>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</si>
  <si>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</si>
  <si>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</si>
  <si>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</si>
  <si>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</si>
  <si>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</si>
  <si>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</si>
  <si>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</si>
  <si>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</si>
  <si>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</si>
  <si>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</si>
  <si>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</si>
  <si>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</si>
  <si>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</si>
  <si>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</si>
  <si>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</si>
  <si>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</si>
  <si>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</si>
  <si>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</si>
  <si>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</si>
  <si>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</si>
  <si>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</si>
  <si>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</si>
  <si>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</si>
  <si>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</si>
  <si>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</si>
  <si>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</si>
  <si>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</si>
  <si>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</si>
  <si>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</si>
  <si>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</si>
  <si>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</si>
  <si>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</si>
  <si>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</si>
  <si>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</si>
  <si>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</si>
  <si>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</si>
  <si>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</si>
  <si>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</si>
  <si>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</si>
  <si>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</si>
  <si>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</si>
  <si>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</si>
  <si>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</si>
  <si>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</si>
  <si>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</si>
  <si>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</si>
  <si>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</si>
  <si>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</si>
  <si>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</si>
  <si>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</si>
  <si>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</si>
  <si>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</si>
  <si>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</si>
  <si>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</si>
  <si>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</si>
  <si>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</si>
  <si>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</si>
  <si>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</si>
  <si>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</si>
  <si>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</si>
  <si>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</si>
  <si>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</si>
  <si>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</si>
  <si>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</si>
  <si>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</si>
  <si>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</si>
  <si>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</si>
  <si>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</si>
  <si>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</si>
  <si>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</si>
  <si>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</si>
  <si>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</si>
  <si>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</si>
  <si>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</si>
  <si>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</si>
  <si>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</si>
  <si>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</si>
  <si>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</si>
  <si>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</si>
  <si>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</si>
  <si>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</si>
  <si>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</si>
  <si>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</si>
  <si>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</si>
  <si>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</si>
  <si>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</si>
  <si>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</si>
  <si>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</si>
  <si>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</si>
  <si>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</si>
  <si>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</si>
  <si>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</si>
  <si>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</si>
  <si>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</si>
  <si>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</si>
  <si>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</si>
  <si>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</si>
  <si>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</si>
  <si>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</si>
  <si>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</si>
  <si>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</si>
  <si>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</si>
  <si>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</si>
  <si>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</si>
  <si>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</si>
  <si>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</si>
  <si>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</si>
  <si>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</si>
  <si>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</si>
  <si>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</si>
  <si>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</si>
  <si>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</si>
  <si>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</si>
  <si>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</si>
  <si>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</si>
  <si>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</si>
  <si>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</si>
  <si>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</si>
  <si>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</si>
  <si>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</si>
  <si>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</si>
  <si>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</si>
  <si>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</si>
  <si>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</si>
  <si>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</si>
  <si>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</si>
  <si>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</si>
  <si>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</si>
  <si>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</si>
  <si>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</si>
  <si>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</si>
  <si>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</si>
  <si>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</si>
  <si>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</si>
  <si>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</si>
  <si>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</si>
  <si>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</si>
  <si>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</si>
  <si>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</si>
  <si>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</si>
  <si>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</si>
  <si>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</si>
  <si>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</si>
  <si>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</si>
  <si>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</si>
  <si>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</si>
  <si>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</si>
  <si>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</si>
  <si>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</si>
  <si>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</si>
  <si>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</si>
  <si>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</si>
  <si>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</si>
  <si>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</si>
  <si>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</si>
  <si>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</si>
  <si>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</si>
  <si>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</si>
  <si>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</si>
  <si>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</si>
  <si>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</si>
  <si>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</si>
  <si>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</si>
  <si>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</si>
  <si>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</si>
  <si>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</si>
  <si>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</si>
  <si>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</si>
  <si>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</si>
  <si>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</si>
  <si>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</si>
  <si>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</si>
  <si>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</si>
  <si>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</si>
  <si>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</si>
  <si>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</si>
  <si>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</si>
  <si>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</si>
  <si>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</si>
  <si>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</si>
  <si>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</si>
  <si>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</si>
  <si>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</si>
  <si>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</si>
  <si>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</si>
  <si>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</si>
  <si>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</si>
  <si>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</si>
  <si>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</si>
  <si>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</si>
  <si>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</si>
  <si>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</si>
  <si>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</si>
  <si>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</si>
  <si>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</si>
  <si>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</si>
  <si>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</si>
  <si>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</si>
  <si>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</si>
  <si>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</si>
  <si>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</si>
  <si>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</si>
  <si>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</si>
  <si>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</si>
  <si>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</si>
  <si>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</si>
  <si>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</si>
  <si>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</si>
  <si>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</si>
  <si>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</si>
  <si>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</si>
  <si>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</si>
  <si>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</si>
  <si>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</si>
  <si>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</si>
  <si>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</si>
  <si>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</si>
  <si>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</si>
  <si>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</si>
  <si>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</si>
  <si>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</si>
  <si>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</si>
  <si>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</si>
  <si>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</si>
  <si>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</si>
  <si>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</si>
  <si>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</si>
  <si>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</si>
  <si>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</si>
  <si>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</si>
  <si>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</si>
  <si>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</si>
  <si>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</si>
  <si>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</si>
  <si>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</si>
  <si>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</si>
  <si>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</si>
  <si>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</si>
  <si>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</si>
  <si>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</si>
  <si>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</si>
  <si>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</si>
  <si>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</si>
  <si>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</si>
  <si>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</si>
  <si>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</si>
  <si>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</si>
  <si>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</si>
  <si>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</si>
  <si>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</si>
  <si>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</si>
  <si>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</si>
  <si>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</si>
  <si>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</si>
  <si>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</si>
  <si>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</si>
  <si>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</si>
  <si>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</si>
  <si>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</si>
  <si>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</si>
  <si>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</si>
  <si>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</si>
  <si>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</si>
  <si>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</si>
  <si>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</si>
  <si>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</si>
  <si>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</si>
  <si>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</si>
  <si>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</si>
  <si>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</si>
  <si>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</si>
  <si>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</si>
  <si>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</si>
  <si>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</si>
  <si>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</si>
  <si>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</si>
  <si>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</si>
  <si>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</si>
  <si>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</si>
  <si>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</si>
  <si>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</si>
  <si>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</si>
  <si>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</si>
  <si>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</si>
  <si>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</si>
  <si>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</si>
  <si>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</si>
  <si>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</si>
  <si>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</si>
  <si>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</si>
  <si>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</si>
  <si>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</si>
  <si>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</si>
  <si>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</si>
  <si>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</si>
  <si>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</si>
  <si>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</si>
  <si>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</si>
  <si>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</si>
  <si>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</si>
  <si>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</si>
  <si>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</si>
  <si>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</si>
  <si>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</si>
  <si>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</si>
  <si>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</si>
  <si>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</si>
  <si>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</si>
  <si>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</si>
  <si>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</si>
  <si>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</si>
  <si>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</si>
  <si>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</si>
  <si>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</si>
  <si>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</si>
  <si>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</si>
  <si>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</si>
  <si>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</si>
  <si>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</si>
  <si>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</si>
  <si>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</si>
  <si>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</si>
  <si>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</si>
  <si>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</si>
  <si>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</si>
  <si>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</si>
  <si>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</si>
  <si>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</si>
  <si>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</si>
  <si>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</si>
  <si>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</si>
  <si>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</si>
  <si>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</si>
  <si>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</si>
  <si>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</si>
  <si>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</si>
  <si>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</si>
  <si>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</si>
  <si>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</si>
  <si>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</si>
  <si>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</si>
  <si>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</si>
  <si>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</si>
  <si>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</si>
  <si>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</si>
  <si>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</si>
  <si>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</si>
  <si>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</si>
  <si>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</si>
  <si>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</si>
  <si>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</si>
  <si>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</si>
  <si>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</si>
  <si>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</si>
  <si>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</si>
  <si>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</si>
  <si>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</si>
  <si>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</si>
  <si>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</si>
  <si>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</si>
  <si>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</si>
  <si>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</si>
  <si>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</si>
  <si>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</si>
  <si>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</si>
  <si>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</si>
  <si>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</si>
  <si>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</si>
  <si>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</si>
  <si>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</si>
  <si>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</si>
  <si>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</si>
  <si>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</si>
  <si>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</si>
  <si>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</si>
  <si>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</si>
  <si>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</si>
  <si>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</si>
  <si>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</si>
  <si>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</si>
  <si>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</si>
  <si>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</si>
  <si>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</si>
  <si>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</si>
  <si>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</si>
  <si>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</si>
  <si>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</si>
  <si>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</si>
  <si>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</si>
  <si>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</si>
  <si>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</si>
  <si>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</si>
  <si>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</si>
  <si>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</si>
  <si>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</si>
  <si>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</si>
  <si>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</si>
  <si>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</si>
  <si>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</si>
  <si>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</si>
  <si>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</si>
  <si>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</si>
  <si>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</si>
  <si>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</si>
  <si>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</si>
  <si>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</si>
  <si>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</si>
  <si>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</si>
  <si>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</si>
  <si>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</si>
  <si>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</si>
  <si>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</si>
  <si>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</si>
  <si>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</si>
  <si>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</si>
  <si>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</si>
  <si>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</si>
  <si>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</si>
  <si>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</si>
  <si>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</si>
  <si>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</si>
  <si>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</si>
  <si>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</si>
  <si>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</si>
  <si>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</si>
  <si>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</si>
  <si>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</si>
  <si>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</si>
  <si>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</si>
  <si>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</si>
  <si>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</si>
  <si>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</si>
  <si>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</si>
  <si>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</si>
  <si>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</si>
  <si>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</si>
  <si>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</si>
  <si>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</si>
  <si>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</si>
  <si>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</si>
  <si>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</si>
  <si>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</si>
  <si>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</si>
  <si>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</si>
  <si>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</si>
  <si>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</si>
  <si>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</si>
  <si>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</si>
  <si>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</si>
  <si>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</si>
  <si>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</si>
  <si>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</si>
  <si>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</si>
  <si>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</si>
  <si>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</si>
  <si>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</si>
  <si>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</si>
  <si>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</si>
  <si>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</si>
  <si>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</si>
  <si>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</si>
  <si>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</si>
  <si>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</si>
  <si>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</si>
  <si>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</si>
  <si>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</si>
  <si>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</si>
  <si>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</si>
  <si>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</si>
  <si>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</si>
  <si>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</si>
  <si>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</si>
  <si>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</si>
  <si>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</si>
  <si>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</si>
  <si>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</si>
  <si>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</si>
  <si>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</si>
  <si>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</si>
  <si>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</si>
  <si>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</si>
  <si>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</si>
  <si>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</si>
  <si>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</si>
  <si>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</si>
  <si>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</si>
  <si>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</si>
  <si>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</si>
  <si>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</si>
  <si>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</si>
  <si>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</si>
  <si>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</si>
  <si>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</si>
  <si>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</si>
  <si>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</si>
  <si>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</si>
  <si>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</si>
  <si>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</si>
  <si>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</si>
  <si>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</si>
  <si>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</si>
  <si>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</si>
  <si>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</si>
  <si>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</si>
  <si>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</si>
  <si>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</si>
  <si>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</si>
  <si>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</si>
  <si>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</si>
  <si>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</si>
  <si>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</si>
  <si>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</si>
  <si>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</si>
  <si>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</si>
  <si>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</si>
  <si>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</si>
  <si>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</si>
  <si>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</si>
  <si>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</si>
  <si>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</si>
  <si>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</si>
  <si>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</si>
  <si>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</si>
  <si>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</si>
  <si>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</si>
  <si>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</si>
  <si>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</si>
  <si>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</si>
  <si>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</si>
  <si>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</si>
  <si>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</si>
  <si>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</si>
  <si>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</si>
  <si>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</si>
  <si>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</si>
  <si>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</si>
  <si>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</si>
  <si>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</si>
  <si>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</si>
  <si>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</si>
  <si>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</si>
  <si>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</si>
  <si>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</si>
  <si>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</si>
  <si>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</si>
  <si>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</si>
  <si>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</si>
  <si>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</si>
  <si>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</si>
  <si>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</si>
  <si>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</si>
  <si>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</si>
  <si>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商务金融用地（商业类）</t>
  </si>
  <si>
    <t>自定义容积率</t>
  </si>
  <si>
    <t>不临58条商业街</t>
  </si>
  <si>
    <t>与级别开发程度一致</t>
  </si>
  <si>
    <t>按公示增长率计算</t>
  </si>
  <si>
    <t>容积率修正</t>
  </si>
  <si>
    <t>出让</t>
  </si>
  <si>
    <t>基准地价修正</t>
  </si>
  <si>
    <t>差</t>
  </si>
  <si>
    <t>较差</t>
  </si>
  <si>
    <t>一般</t>
  </si>
  <si>
    <t>较好</t>
  </si>
  <si>
    <t>郑燚</t>
  </si>
  <si>
    <t>崔锴</t>
  </si>
  <si>
    <t>土地</t>
  </si>
  <si>
    <t>通路</t>
  </si>
  <si>
    <t>通电</t>
  </si>
  <si>
    <t>通上水</t>
  </si>
  <si>
    <t>通讯</t>
  </si>
  <si>
    <t>通下水</t>
  </si>
  <si>
    <t>平整</t>
  </si>
  <si>
    <t>是</t>
  </si>
  <si>
    <t>地上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</si>
</sst>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受贵公司委托，我公司对出让国有建设用地使用权抵押价值进行了预评估。</v>
      </c>
    </row>
    <row r="7" spans="1:2" s="1593" customFormat="1">
      <c r="A7" s="1591" t="s">
        <v>1260</v>
      </c>
      <c r="B7" s="1592" t="str">
        <f>'预评函-1'!A7</f>
        <v>估价对象为出让国有建设用地使用权，为所有。根据《国有土地使用证》[]，估价对象（分摊）出让国有建设用地使用权面积为1308.9平方米，建筑面积为916.22平方米。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估价对象为出让国有建设用地使用权,属开发建设的，该项目尚在开发建设中。根据《国有土地使用证》[]，估价对象（分摊）出让国有建设用地使用权面积为1308.9平方米，规划建筑面积为916.22平方米。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2019年7月22日</v>
      </c>
    </row>
    <row r="13" spans="1:2" s="1593" customFormat="1">
      <c r="A13" s="1591" t="s">
        <v>1223</v>
      </c>
      <c r="B13" s="1592"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621</v>
      </c>
    </row>
    <row r="21" spans="1:2" s="1593" customFormat="1">
      <c r="A21" s="1591" t="s">
        <v>1231</v>
      </c>
      <c r="B21" s="1592">
        <f ca="1">'预评函-2'!D7</f>
        <v>6778</v>
      </c>
    </row>
    <row r="22" spans="1:2" s="1593" customFormat="1">
      <c r="A22" s="1591" t="s">
        <v>1232</v>
      </c>
      <c r="B22" s="1592" t="str">
        <f ca="1">'预评函-2'!D6</f>
        <v>陆佰贰拾壹万元整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621</v>
      </c>
    </row>
    <row r="31" spans="1:2" s="1593" customFormat="1">
      <c r="A31" s="1591" t="s">
        <v>1270</v>
      </c>
      <c r="B31" s="1592">
        <f ca="1">'预评函-2'!D15</f>
        <v>6778</v>
      </c>
    </row>
    <row r="32" spans="1:2" s="1593" customFormat="1">
      <c r="A32" s="1591" t="s">
        <v>1237</v>
      </c>
      <c r="B32" s="1592" t="str">
        <f ca="1">'预评函-2'!D14</f>
        <v>陆佰贰拾壹万元整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v>
      </c>
    </row>
    <row r="42" spans="1:2" s="1593" customFormat="1">
      <c r="A42" s="1591" t="s">
        <v>1284</v>
      </c>
      <c r="B42" s="1592" t="str">
        <f>'预评函-3'!B2</f>
        <v>建筑面积</v>
      </c>
    </row>
    <row r="43" spans="1:2" s="1593" customFormat="1">
      <c r="A43" s="1591" t="s">
        <v>1285</v>
      </c>
      <c r="B43" s="1592">
        <f>'预评函-3'!B4</f>
        <v>916.22</v>
      </c>
    </row>
    <row r="44" spans="1:2" s="1593" customFormat="1">
      <c r="A44" s="1591" t="s">
        <v>1269</v>
      </c>
      <c r="B44" s="1592" t="str">
        <f>'预评函-3'!C2</f>
        <v>(分摊)土地面积</v>
      </c>
    </row>
    <row r="45" spans="1:2" s="1593" customFormat="1">
      <c r="A45" s="1591" t="s">
        <v>1241</v>
      </c>
      <c r="B45" s="1592">
        <f>'预评函-3'!C4</f>
        <v>1308.9000000000001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1" customWidth="1"/>
    <col min="2" max="2" width="10" style="2031" customWidth="1"/>
    <col min="3" max="3" width="11.5" style="2031" customWidth="1"/>
    <col min="4" max="4" width="15.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0" t="str">
        <f>IF(B10="北京市","北京市",C10)&amp;F10&amp;IF(结果表!G1="在建","出让国有建设用地使用权及在建建筑物",IF(结果表!G1="土地","出让国有建设用地使用权",))&amp;B9&amp;"预评估"</f>
        <v>出让国有建设用地使用权预评估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v>
      </c>
    </row>
    <row r="3" spans="1:19" ht="18" customHeight="1">
      <c r="A3" s="2034" t="s">
        <v>1773</v>
      </c>
      <c r="B3" s="2035"/>
      <c r="C3" s="2036" t="s">
        <v>1774</v>
      </c>
      <c r="D3" s="2035">
        <v>43668</v>
      </c>
      <c r="E3" s="2025"/>
      <c r="F3" s="2025"/>
      <c r="G3" s="2025"/>
      <c r="H3" s="2025"/>
      <c r="I3" s="2025"/>
      <c r="J3" s="2025"/>
      <c r="K3" s="2026"/>
      <c r="L3" s="2027"/>
      <c r="M3" s="2027"/>
      <c r="N3" s="2028"/>
      <c r="O3" s="2029"/>
      <c r="P3" s="2028"/>
      <c r="Q3" s="2028"/>
      <c r="R3" s="2028"/>
      <c r="S3" s="2030"/>
    </row>
    <row r="4" spans="1:19" ht="18" customHeight="1" thickBot="1">
      <c r="A4" s="2037" t="s">
        <v>1775</v>
      </c>
      <c r="B4" s="2038" t="s">
        <v>3068</v>
      </c>
      <c r="C4" s="1037">
        <f ca="1">SUMIF(注册房地产估价师,B4,估价师及机构信息!B3:B24)</f>
        <v>1120070131</v>
      </c>
      <c r="D4" s="2038" t="s">
        <v>3069</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c r="C8" s="2055"/>
      <c r="D8" s="3003"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04"/>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3062</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54546</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29.8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0"/>
      <c r="C16" s="3011"/>
      <c r="D16" s="3012"/>
      <c r="E16" s="2085" t="s">
        <v>1797</v>
      </c>
      <c r="F16" s="3013"/>
      <c r="G16" s="3014"/>
      <c r="H16" s="3014"/>
      <c r="I16" s="3015"/>
      <c r="J16" s="2028"/>
      <c r="K16" s="2082"/>
      <c r="L16" s="2083"/>
      <c r="M16" s="2083"/>
      <c r="N16" s="2084"/>
      <c r="O16" s="2083"/>
      <c r="P16" s="2084"/>
      <c r="Q16" s="2028"/>
      <c r="R16" s="2028"/>
    </row>
    <row r="17" spans="1:22" ht="18" customHeight="1">
      <c r="A17" s="2086" t="s">
        <v>1798</v>
      </c>
      <c r="B17" s="2034" t="s">
        <v>1799</v>
      </c>
      <c r="C17" s="1054">
        <f>'数据-汇总表'!E3</f>
        <v>916.22</v>
      </c>
      <c r="D17" s="2087" t="s">
        <v>1800</v>
      </c>
      <c r="E17" s="3016" t="s">
        <v>1801</v>
      </c>
      <c r="F17" s="3017"/>
      <c r="G17" s="3017"/>
      <c r="H17" s="3017"/>
      <c r="I17" s="301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1308.9000000000001</v>
      </c>
      <c r="D18" s="2090" t="s">
        <v>1800</v>
      </c>
      <c r="E18" s="3019" t="s">
        <v>1804</v>
      </c>
      <c r="F18" s="3020"/>
      <c r="G18" s="3020"/>
      <c r="H18" s="3020"/>
      <c r="I18" s="302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6" t="s">
        <v>1809</v>
      </c>
      <c r="C20" s="3007"/>
      <c r="D20" s="3008" t="s">
        <v>1810</v>
      </c>
      <c r="E20" s="3009"/>
      <c r="F20" s="2097" t="s">
        <v>1811</v>
      </c>
      <c r="G20" s="2041"/>
      <c r="H20" s="2041"/>
      <c r="I20" s="2041"/>
      <c r="J20" s="2041"/>
      <c r="K20" s="300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1828</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22" t="s">
        <v>1838</v>
      </c>
      <c r="T34" s="2134" t="str">
        <f>NUMBERSTRING(7-K34,1)&amp;"通"</f>
        <v>七通</v>
      </c>
      <c r="U34" s="2028"/>
      <c r="V34" s="2028"/>
    </row>
    <row r="35" spans="1:22" ht="18" customHeight="1">
      <c r="A35" s="2135"/>
      <c r="B35" s="3029" t="s">
        <v>1839</v>
      </c>
      <c r="C35" s="3029"/>
      <c r="D35" s="3029"/>
      <c r="E35" s="302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534</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381</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1308.9000000000001</v>
      </c>
      <c r="B3" s="14">
        <f>IF(C3="否",G5-AT5,G5)</f>
        <v>916.22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916.22</v>
      </c>
      <c r="H5" s="16">
        <f t="shared" ref="H5:AT5" si="0">SUM(H13:H656)</f>
        <v>916.22</v>
      </c>
      <c r="I5" s="16">
        <f t="shared" si="0"/>
        <v>916.22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916.22</v>
      </c>
      <c r="BA5" s="18">
        <f t="shared" si="1"/>
        <v>916.22</v>
      </c>
      <c r="BB5" s="18">
        <f t="shared" si="1"/>
        <v>916.22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1308.9000000000001</v>
      </c>
      <c r="F6" s="16" t="s">
        <v>1</v>
      </c>
      <c r="G6" s="16" t="s">
        <v>2</v>
      </c>
      <c r="H6" s="20">
        <f>SUMIF(I$12:AB$12,"总值",I6:AB6)</f>
        <v>1308.9000000000001</v>
      </c>
      <c r="I6" s="16">
        <f t="shared" ref="I6:AB6" si="2">ROUND($A$3*I5/$B$3,2)</f>
        <v>1308.9000000000001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1308.9000000000001</v>
      </c>
      <c r="AZ6" s="16" t="s">
        <v>3</v>
      </c>
      <c r="BA6" s="16">
        <f>ROUND($AY$6*BA5/$AZ$5,2)</f>
        <v>1308.9000000000001</v>
      </c>
      <c r="BB6" s="16">
        <f>ROUND($AY$6*BB5/$AZ$5,2)</f>
        <v>1308.9000000000001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3078</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3077</v>
      </c>
      <c r="E13" s="16">
        <f>IF($C$3="是",ROUND($A$3*G13/$B$3,2),ROUND($A$3*(G13-AT13)/$B$3,2))</f>
        <v>1308.9000000000001</v>
      </c>
      <c r="F13" s="32"/>
      <c r="G13" s="33">
        <f>H13+AC13+AT13</f>
        <v>916.22</v>
      </c>
      <c r="H13" s="20">
        <f>SUMIF(I$12:AB$12,"总值",I13:AB13)</f>
        <v>916.22</v>
      </c>
      <c r="I13" s="2214">
        <v>916.22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1308.9000000000001</v>
      </c>
      <c r="AZ13" s="16">
        <f>BA13+BL13</f>
        <v>916.22</v>
      </c>
      <c r="BA13" s="16">
        <f>SUM(BB13:BK13)</f>
        <v>916.22</v>
      </c>
      <c r="BB13" s="16">
        <f>IF($D13="是",I13-J13,0)</f>
        <v>916.22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1" t="s">
        <v>1935</v>
      </c>
      <c r="B2" s="3041"/>
      <c r="C2" s="3041"/>
      <c r="D2" s="967" t="s">
        <v>1911</v>
      </c>
      <c r="E2" s="2227" t="s">
        <v>1912</v>
      </c>
      <c r="F2" s="1392"/>
      <c r="G2" s="2228"/>
      <c r="H2" s="2229"/>
      <c r="I2" s="2230" t="s">
        <v>1936</v>
      </c>
      <c r="J2" s="1392"/>
      <c r="K2" s="1392"/>
      <c r="L2" s="1392"/>
      <c r="M2" s="1392"/>
      <c r="N2" s="1427"/>
      <c r="O2" s="1392"/>
      <c r="P2" s="1392"/>
    </row>
    <row r="3" spans="1:16" ht="15.75" thickBot="1">
      <c r="A3" s="3042" t="s">
        <v>1909</v>
      </c>
      <c r="B3" s="3042"/>
      <c r="C3" s="3042"/>
      <c r="D3" s="46">
        <f>'数据-基础表'!AY6</f>
        <v>1308.9000000000001</v>
      </c>
      <c r="E3" s="46">
        <f>'数据-基础表'!AZ5</f>
        <v>916.22</v>
      </c>
      <c r="F3" s="1392"/>
      <c r="G3" s="1399"/>
      <c r="H3" s="1247" t="s">
        <v>1910</v>
      </c>
      <c r="I3" s="55">
        <f>ROUND('数据-基础表'!B3/'数据-基础表'!A3,2)</f>
        <v>0.7</v>
      </c>
      <c r="J3" s="1392"/>
      <c r="K3" s="1392"/>
      <c r="L3" s="1392"/>
      <c r="M3" s="1392"/>
      <c r="N3" s="1427"/>
      <c r="O3" s="1392"/>
      <c r="P3" s="1392"/>
    </row>
    <row r="4" spans="1:16" ht="15">
      <c r="A4" s="3043"/>
      <c r="B4" s="3044"/>
      <c r="C4" s="3045"/>
      <c r="D4" s="2231" t="s">
        <v>1911</v>
      </c>
      <c r="E4" s="2232" t="s">
        <v>1912</v>
      </c>
      <c r="F4" s="1392"/>
      <c r="G4" s="2233" t="s">
        <v>1937</v>
      </c>
      <c r="H4" s="1247" t="s">
        <v>1917</v>
      </c>
      <c r="I4" s="55">
        <f>ROUND(SUMIF('数据-基础表'!I9:AS9,"地上",'数据-基础表'!I5:AS5)/'数据-基础表'!A3,2)</f>
        <v>0.7</v>
      </c>
      <c r="J4" s="1392"/>
      <c r="K4" s="1392"/>
      <c r="L4" s="1392"/>
      <c r="M4" s="1392"/>
      <c r="N4" s="1427"/>
      <c r="O4" s="1392"/>
      <c r="P4" s="1392"/>
    </row>
    <row r="5" spans="1:16">
      <c r="A5" s="47" t="s">
        <v>1913</v>
      </c>
      <c r="B5" s="3046" t="s">
        <v>1914</v>
      </c>
      <c r="C5" s="3046"/>
      <c r="D5" s="48">
        <f>ROUND($D$3*E5/$E$3,2)</f>
        <v>0</v>
      </c>
      <c r="E5" s="49">
        <f>SUMIF('数据-基础表'!$11:$11,"住宅",'数据-基础表'!$5:$5)</f>
        <v>0</v>
      </c>
      <c r="F5" s="1392"/>
      <c r="G5" s="1399"/>
      <c r="H5" s="1247" t="s">
        <v>1910</v>
      </c>
      <c r="I5" s="55">
        <f>ROUND(E31/D31,2)</f>
        <v>0.7</v>
      </c>
      <c r="J5" s="1392"/>
      <c r="K5" s="1392"/>
      <c r="L5" s="1392"/>
      <c r="M5" s="1392"/>
      <c r="N5" s="1392"/>
      <c r="O5" s="1392"/>
      <c r="P5" s="1392"/>
    </row>
    <row r="6" spans="1:16" ht="15" thickBot="1">
      <c r="A6" s="2234"/>
      <c r="B6" s="3046" t="s">
        <v>1915</v>
      </c>
      <c r="C6" s="3046"/>
      <c r="D6" s="48">
        <f>ROUND($D$3*E6/$E$3,2)</f>
        <v>1308.9000000000001</v>
      </c>
      <c r="E6" s="49">
        <f>E3-E5</f>
        <v>916.22</v>
      </c>
      <c r="F6" s="1392"/>
      <c r="G6" s="2235" t="s">
        <v>1916</v>
      </c>
      <c r="H6" s="1399" t="s">
        <v>1917</v>
      </c>
      <c r="I6" s="939">
        <f>ROUND(F31/D31,2)</f>
        <v>0.7</v>
      </c>
      <c r="J6" s="1392"/>
      <c r="K6" s="1392"/>
      <c r="L6" s="1392"/>
      <c r="M6" s="1392"/>
      <c r="N6" s="1392"/>
      <c r="O6" s="1392"/>
      <c r="P6" s="1392"/>
    </row>
    <row r="7" spans="1:16" ht="15">
      <c r="A7" s="3038"/>
      <c r="B7" s="3039"/>
      <c r="C7" s="3040"/>
      <c r="D7" s="2231" t="s">
        <v>1911</v>
      </c>
      <c r="E7" s="2236" t="s">
        <v>1918</v>
      </c>
      <c r="F7" s="1392"/>
      <c r="G7" s="2228" t="s">
        <v>1919</v>
      </c>
      <c r="H7" s="64"/>
      <c r="I7" s="420">
        <v>0.7</v>
      </c>
      <c r="J7" s="1392"/>
      <c r="K7" s="1392"/>
      <c r="L7" s="1392"/>
      <c r="M7" s="1392"/>
      <c r="N7" s="1392"/>
      <c r="O7" s="1392"/>
      <c r="P7" s="1392"/>
    </row>
    <row r="8" spans="1:16">
      <c r="A8" s="47" t="s">
        <v>1920</v>
      </c>
      <c r="B8" s="50" t="s">
        <v>1921</v>
      </c>
      <c r="C8" s="48" t="s">
        <v>1922</v>
      </c>
      <c r="D8" s="48">
        <f t="shared" ref="D8:D15" si="0">ROUND($D$3*E8/$E$3,2)</f>
        <v>1308.9000000000001</v>
      </c>
      <c r="E8" s="51">
        <f>SUMIF('数据-基础表'!BB10:BK10,"地上",'数据-基础表'!BB5:BK5)</f>
        <v>916.22</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1308.9000000000001</v>
      </c>
      <c r="E16" s="53">
        <f>SUM(E8:E15)</f>
        <v>916.22</v>
      </c>
      <c r="F16" s="1392"/>
      <c r="G16" s="2237"/>
      <c r="H16" s="2240" t="s">
        <v>1939</v>
      </c>
      <c r="I16" s="2241"/>
      <c r="J16" s="1392"/>
      <c r="K16" s="3035" t="s">
        <v>1939</v>
      </c>
      <c r="L16" s="3036"/>
      <c r="M16" s="3036"/>
      <c r="N16" s="3036"/>
      <c r="O16" s="3036"/>
      <c r="P16" s="3037"/>
    </row>
    <row r="17" spans="1:19" ht="15">
      <c r="A17" s="2242" t="s">
        <v>1940</v>
      </c>
      <c r="B17" s="2243" t="s">
        <v>1941</v>
      </c>
      <c r="C17" s="2244" t="s">
        <v>1942</v>
      </c>
      <c r="D17" s="2245" t="s">
        <v>1930</v>
      </c>
      <c r="E17" s="2246" t="s">
        <v>1931</v>
      </c>
      <c r="F17" s="2247"/>
      <c r="G17" s="2248"/>
      <c r="H17" s="2249" t="s">
        <v>1943</v>
      </c>
      <c r="I17" s="2250" t="s">
        <v>1928</v>
      </c>
      <c r="J17" s="1392"/>
      <c r="K17" s="3032" t="s">
        <v>1944</v>
      </c>
      <c r="L17" s="3033"/>
      <c r="M17" s="3034"/>
      <c r="N17" s="3032" t="s">
        <v>1945</v>
      </c>
      <c r="O17" s="3033"/>
      <c r="P17" s="3034"/>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260"/>
      <c r="D19" s="48">
        <f>ROUND($D$3*E19/$E$3,2)</f>
        <v>1308.9000000000001</v>
      </c>
      <c r="E19" s="56">
        <f t="shared" ref="E19:E26" si="1">SUM(F19:G19)</f>
        <v>916.22</v>
      </c>
      <c r="F19" s="57">
        <f>'数据-基础表'!I13</f>
        <v>916.22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1308.9000000000001</v>
      </c>
      <c r="S19" s="1248">
        <f t="shared" si="5"/>
        <v>916.22</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1308.9000000000001</v>
      </c>
      <c r="E27" s="1394">
        <f>IF(SUM(E19:E26)='数据-基础表'!BA5,SUM(E19:E26),IF(F27="地上面积有误","面积有误","地下面积有误"))</f>
        <v>916.22</v>
      </c>
      <c r="F27" s="1393">
        <f>IF(SUM(F19:F26)=E8,SUM(F19:F26),"地上面积有误")</f>
        <v>916.22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1308.9000000000001</v>
      </c>
      <c r="S27" s="1247">
        <f>IF(SUM(S19:S26)=$E$3,SUM(S19:S26),SUM(S19:S26)&amp;"误差"&amp;ROUND(SUM(S19:S26)-E3,2))</f>
        <v>916.22</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1308.9000000000001</v>
      </c>
      <c r="E31" s="729">
        <f>E27+E30</f>
        <v>916.22</v>
      </c>
      <c r="F31" s="730">
        <f>F27+F30</f>
        <v>916.22</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35" sqref="D35"/>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43668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4" t="s">
        <v>2006</v>
      </c>
      <c r="AP5" s="1249"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0</v>
      </c>
      <c r="B6" s="2307" t="str">
        <f>IF(A6=0,"","经营性")</f>
        <v/>
      </c>
      <c r="C6" s="2308" t="s">
        <v>1373</v>
      </c>
      <c r="D6" s="1051">
        <f>SUMIF(项目基本情况!D$12:I$12,C6,项目基本情况!D$14:I$14)</f>
        <v>40</v>
      </c>
      <c r="E6" s="1048" t="str">
        <f>IF(B6="","",SUMIF(项目基本情况!D$12:I$12,C6,项目基本情况!D$13:I$13))</f>
        <v/>
      </c>
      <c r="F6" s="72">
        <f>SUMIF(项目基本情况!D$12:I$12,C6,项目基本情况!D$15:I$15)</f>
        <v>29.8</v>
      </c>
      <c r="G6" s="73">
        <f>IF(ISERROR(ROUND(POWER(1+H6,D6-F6)*(POWER(1+H6,F6)-1)/(POWER(1+H6,D6)-1),3)),0,ROUND(POWER(1+H6,D6-F6)*(POWER(1+H6,F6)-1)/(POWER(1+H6,D6)-1),3))</f>
        <v>0</v>
      </c>
      <c r="H6" s="802"/>
      <c r="I6" s="802"/>
      <c r="J6" s="74"/>
      <c r="K6" s="1251">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2010</v>
      </c>
      <c r="B14" s="2307" t="s">
        <v>2011</v>
      </c>
      <c r="C14" s="2312"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2014</v>
      </c>
      <c r="B16" s="97"/>
      <c r="C16" s="1005"/>
      <c r="D16" s="2314"/>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0</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0</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t="e">
        <f ca="1">存贷款利率!G1</f>
        <v>#VALUE!</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0</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c r="C42" s="2331">
        <f>IF(B2&lt;DATE(2016,5,1),0,B42)</f>
        <v>0</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0</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7" t="s">
        <v>2081</v>
      </c>
      <c r="B1" s="3048"/>
      <c r="C1" s="3048"/>
      <c r="D1" s="3048"/>
      <c r="E1" s="3048"/>
      <c r="F1" s="3048"/>
      <c r="G1" s="304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916.22</v>
      </c>
      <c r="C1" s="1742"/>
      <c r="D1" s="1742"/>
      <c r="E1" s="1742"/>
      <c r="F1" s="1742"/>
      <c r="G1" s="1740"/>
    </row>
    <row r="2" spans="1:10" ht="16.5">
      <c r="A2" s="1743" t="s">
        <v>1349</v>
      </c>
      <c r="B2" s="1743">
        <f>SUM(C14:C23)</f>
        <v>1308.9000000000001</v>
      </c>
      <c r="C2" s="1742"/>
      <c r="D2" s="1742"/>
      <c r="E2" s="1742"/>
      <c r="F2" s="1742"/>
      <c r="G2" s="1740"/>
    </row>
    <row r="3" spans="1:10" ht="16.5">
      <c r="A3" s="1743" t="s">
        <v>1358</v>
      </c>
      <c r="B3" s="1744">
        <f>项目基本情况!D3</f>
        <v>43668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621</v>
      </c>
      <c r="C5" s="1743">
        <f ca="1">ROUND(B5*10000/$B$1,0)</f>
        <v>6778</v>
      </c>
      <c r="D5" s="1743">
        <f ca="1">ROUND(B5*10000/$B$2,0)</f>
        <v>4744</v>
      </c>
      <c r="E5" s="1742"/>
      <c r="F5" s="1740"/>
      <c r="G5" s="1740"/>
    </row>
    <row r="6" spans="1:10" ht="16.5">
      <c r="A6" s="1743" t="s">
        <v>1352</v>
      </c>
      <c r="B6" s="1743">
        <f ca="1">SUM(G14:G23)</f>
        <v>621</v>
      </c>
      <c r="C6" s="1743">
        <f ca="1">ROUND(B6*10000/$B$1,0)</f>
        <v>6778</v>
      </c>
      <c r="D6" s="1743">
        <f ca="1">ROUND(B6*10000/$B$2,0)</f>
        <v>4744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916.22</v>
      </c>
      <c r="C14" s="1741">
        <f>结果表!C118</f>
        <v>1308.9000000000001</v>
      </c>
      <c r="D14" s="1741">
        <f ca="1">结果表!H118</f>
        <v>621</v>
      </c>
      <c r="E14" s="1741">
        <f ca="1">ROUND(D14*10000/B14,0)</f>
        <v>6778</v>
      </c>
      <c r="F14" s="1741">
        <f ca="1">ROUND(D14*10000/C14,0)</f>
        <v>4744</v>
      </c>
      <c r="G14" s="1741">
        <f ca="1">结果表!D122</f>
        <v>621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 sqref="G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3070</v>
      </c>
      <c r="H1" s="2422" t="str">
        <f>IF(G1="现房","——","估价对象范围")</f>
        <v>估价对象范围</v>
      </c>
      <c r="I1" s="2423"/>
    </row>
    <row r="2" spans="1:12" ht="21.75" customHeight="1" thickBot="1">
      <c r="A2" s="3121" t="str">
        <f>项目基本情况!S2</f>
        <v>出让国有建设用地使用权</v>
      </c>
      <c r="B2" s="3122"/>
      <c r="C2" s="3122"/>
      <c r="D2" s="3122"/>
      <c r="E2" s="3122"/>
      <c r="F2" s="3122"/>
      <c r="G2" s="3122"/>
      <c r="H2" s="3122"/>
      <c r="I2" s="3123"/>
    </row>
    <row r="3" spans="1:12" ht="12.75">
      <c r="A3" s="3124" t="s">
        <v>2120</v>
      </c>
      <c r="B3" s="3125"/>
      <c r="C3" s="3125"/>
      <c r="D3" s="3125"/>
      <c r="E3" s="3125"/>
      <c r="F3" s="3125"/>
      <c r="G3" s="3125"/>
      <c r="H3" s="3125"/>
      <c r="I3" s="3125"/>
    </row>
    <row r="4" spans="1:12" ht="14.25">
      <c r="A4" s="2426" t="s">
        <v>2121</v>
      </c>
      <c r="B4" s="2427" t="s">
        <v>2122</v>
      </c>
      <c r="C4" s="2428" t="s">
        <v>3063</v>
      </c>
      <c r="D4" s="2428" t="s">
        <v>3063</v>
      </c>
      <c r="E4" s="3105" t="s">
        <v>2123</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6" t="s">
        <v>2124</v>
      </c>
      <c r="B5" s="3022">
        <v>25</v>
      </c>
      <c r="C5" s="3126"/>
      <c r="D5" s="3114"/>
      <c r="E5" s="140" t="s">
        <v>2125</v>
      </c>
      <c r="F5" s="2430"/>
      <c r="G5" s="2430"/>
      <c r="H5" s="2430"/>
      <c r="I5" s="1831"/>
    </row>
    <row r="6" spans="1:12" ht="12.75">
      <c r="A6" s="3096"/>
      <c r="B6" s="3022"/>
      <c r="C6" s="3128"/>
      <c r="D6" s="3114"/>
      <c r="E6" s="140" t="s">
        <v>2126</v>
      </c>
      <c r="F6" s="2430"/>
      <c r="G6" s="2430"/>
      <c r="H6" s="2430"/>
      <c r="I6" s="1831"/>
    </row>
    <row r="7" spans="1:12" ht="12.75">
      <c r="A7" s="3096"/>
      <c r="B7" s="3022"/>
      <c r="C7" s="3127"/>
      <c r="D7" s="3114"/>
      <c r="E7" s="140" t="s">
        <v>2127</v>
      </c>
      <c r="F7" s="2430"/>
      <c r="G7" s="2430"/>
      <c r="H7" s="2430"/>
      <c r="I7" s="1831"/>
    </row>
    <row r="8" spans="1:12" ht="12.75">
      <c r="A8" s="3096" t="s">
        <v>2128</v>
      </c>
      <c r="B8" s="3022">
        <v>15</v>
      </c>
      <c r="C8" s="3126"/>
      <c r="D8" s="3114"/>
      <c r="E8" s="140" t="s">
        <v>2129</v>
      </c>
      <c r="F8" s="2430"/>
      <c r="G8" s="2430"/>
      <c r="H8" s="2430"/>
      <c r="I8" s="1831"/>
    </row>
    <row r="9" spans="1:12" ht="12.75">
      <c r="A9" s="3096"/>
      <c r="B9" s="3022"/>
      <c r="C9" s="3127"/>
      <c r="D9" s="3114"/>
      <c r="E9" s="140" t="s">
        <v>2130</v>
      </c>
      <c r="F9" s="2430"/>
      <c r="G9" s="2430"/>
      <c r="H9" s="2430"/>
      <c r="I9" s="1831"/>
    </row>
    <row r="10" spans="1:12" ht="12.75">
      <c r="A10" s="3096" t="s">
        <v>2131</v>
      </c>
      <c r="B10" s="3022">
        <v>15</v>
      </c>
      <c r="C10" s="3126"/>
      <c r="D10" s="3114"/>
      <c r="E10" s="140" t="s">
        <v>2132</v>
      </c>
      <c r="F10" s="2430"/>
      <c r="G10" s="2430"/>
      <c r="H10" s="2430"/>
      <c r="I10" s="1831"/>
    </row>
    <row r="11" spans="1:12" ht="12.75">
      <c r="A11" s="3096"/>
      <c r="B11" s="3022"/>
      <c r="C11" s="3127"/>
      <c r="D11" s="3114"/>
      <c r="E11" s="140" t="s">
        <v>2133</v>
      </c>
      <c r="F11" s="2430"/>
      <c r="G11" s="2430"/>
      <c r="H11" s="2430"/>
      <c r="I11" s="1831"/>
    </row>
    <row r="12" spans="1:12" ht="12.75">
      <c r="A12" s="3096" t="s">
        <v>2134</v>
      </c>
      <c r="B12" s="3022">
        <v>15</v>
      </c>
      <c r="C12" s="3126"/>
      <c r="D12" s="3114"/>
      <c r="E12" s="140" t="s">
        <v>2135</v>
      </c>
      <c r="F12" s="2430"/>
      <c r="G12" s="2430"/>
      <c r="H12" s="2430"/>
      <c r="I12" s="1831"/>
    </row>
    <row r="13" spans="1:12" ht="12.75">
      <c r="A13" s="3096"/>
      <c r="B13" s="3022"/>
      <c r="C13" s="3127"/>
      <c r="D13" s="3114"/>
      <c r="E13" s="140" t="s">
        <v>2136</v>
      </c>
      <c r="F13" s="2430"/>
      <c r="G13" s="2430"/>
      <c r="H13" s="2430"/>
      <c r="I13" s="1831"/>
    </row>
    <row r="14" spans="1:12" ht="12.75">
      <c r="A14" s="3096" t="s">
        <v>2137</v>
      </c>
      <c r="B14" s="3022">
        <v>30</v>
      </c>
      <c r="C14" s="3126">
        <v>1</v>
      </c>
      <c r="D14" s="3114"/>
      <c r="E14" s="140" t="s">
        <v>2138</v>
      </c>
      <c r="F14" s="2430"/>
      <c r="G14" s="2430"/>
      <c r="H14" s="2430"/>
      <c r="I14" s="1831"/>
    </row>
    <row r="15" spans="1:12" ht="12.75">
      <c r="A15" s="3096"/>
      <c r="B15" s="3022"/>
      <c r="C15" s="3128"/>
      <c r="D15" s="3114"/>
      <c r="E15" s="140" t="s">
        <v>2139</v>
      </c>
      <c r="F15" s="2430"/>
      <c r="G15" s="2430"/>
      <c r="H15" s="2430"/>
      <c r="I15" s="1831"/>
    </row>
    <row r="16" spans="1:12" ht="12.75">
      <c r="A16" s="3096"/>
      <c r="B16" s="3022"/>
      <c r="C16" s="3127"/>
      <c r="D16" s="3114"/>
      <c r="E16" s="140" t="s">
        <v>2140</v>
      </c>
      <c r="F16" s="2430"/>
      <c r="G16" s="2430"/>
      <c r="H16" s="2430"/>
      <c r="I16" s="1831"/>
    </row>
    <row r="17" spans="1:35" ht="15">
      <c r="A17" s="2431" t="s">
        <v>2141</v>
      </c>
      <c r="B17" s="64"/>
      <c r="C17" s="141">
        <f>SUM(C5:C16)</f>
        <v>1</v>
      </c>
      <c r="D17" s="141">
        <f>SUM(D5:D16)</f>
        <v>0</v>
      </c>
      <c r="E17" s="138"/>
      <c r="F17" s="138"/>
      <c r="G17" s="138"/>
      <c r="H17" s="138"/>
      <c r="I17" s="138"/>
      <c r="K17" s="2429"/>
      <c r="L17" s="2432" t="s">
        <v>2142</v>
      </c>
      <c r="M17" s="2432" t="s">
        <v>2143</v>
      </c>
    </row>
    <row r="18" spans="1:35" ht="15.75" thickBot="1">
      <c r="A18" s="2433" t="s">
        <v>2144</v>
      </c>
      <c r="B18" s="2434"/>
      <c r="C18" s="142">
        <f>ROUND(C17/SUM(C17:D17),2)</f>
        <v>1</v>
      </c>
      <c r="D18" s="142">
        <f>1-C18</f>
        <v>0</v>
      </c>
      <c r="E18" s="138"/>
      <c r="F18" s="138"/>
      <c r="G18" s="138"/>
      <c r="H18" s="138"/>
      <c r="I18" s="138"/>
      <c r="K18" s="2429" t="s">
        <v>2145</v>
      </c>
      <c r="L18" s="2429">
        <f>IF(C1="",'数据-汇总表'!E3,SUMIF(项目类型,C1,'数据-汇总表'!E17:E26)+SUMIF(项目类型,C1,'数据-汇总表'!I17:I26))</f>
        <v>916.22</v>
      </c>
      <c r="M18" s="2429">
        <f>IF(C1="",'数据-汇总表'!E3,SUMIF(项目类型,C1,'数据-汇总表'!E17:E26))</f>
        <v>916.22</v>
      </c>
    </row>
    <row r="19" spans="1:35" ht="15">
      <c r="A19" s="2435" t="s">
        <v>2146</v>
      </c>
      <c r="B19" s="2436" t="s">
        <v>2147</v>
      </c>
      <c r="C19" s="143">
        <f ca="1">SUMIF(INDIRECT("'"&amp;C4&amp;"'"&amp;"!A:A"),结果表!B19,INDIRECT("'"&amp;C4&amp;"'"&amp;"!B:B"))</f>
        <v>621</v>
      </c>
      <c r="D19" s="144">
        <f ca="1">SUMIF(INDIRECT("'"&amp;D4&amp;"'"&amp;"!A:A"),结果表!B19,INDIRECT("'"&amp;D4&amp;"'"&amp;"!B:B"))</f>
        <v>621</v>
      </c>
      <c r="E19" s="2435" t="s">
        <v>2148</v>
      </c>
      <c r="F19" s="2436" t="s">
        <v>2147</v>
      </c>
      <c r="G19" s="145">
        <f ca="1">ROUND(C19*$C$18+D19*$D$18,0)</f>
        <v>621</v>
      </c>
      <c r="H19" s="2437" t="s">
        <v>2149</v>
      </c>
      <c r="I19" s="138"/>
      <c r="K19" s="2429" t="s">
        <v>2150</v>
      </c>
      <c r="L19" s="2429">
        <f>IF(C1="",'数据-汇总表'!D3,SUMIF(项目类型,C1,'数据-汇总表'!D17:D26)+SUMIF(项目类型,C1,'数据-汇总表'!H17:H27))</f>
        <v>1308.9000000000001</v>
      </c>
      <c r="M19" s="2429">
        <f>IF(C1="",'数据-汇总表'!D3,SUMIF(项目类型,C1,'数据-汇总表'!D17:D26))</f>
        <v>1308.9000000000001</v>
      </c>
    </row>
    <row r="20" spans="1:35" ht="15">
      <c r="A20" s="2438"/>
      <c r="B20" s="1247" t="s">
        <v>2151</v>
      </c>
      <c r="C20" s="146">
        <f ca="1">SUMIF(INDIRECT("'"&amp;C4&amp;"'"&amp;"!A:A"),结果表!B20,INDIRECT("'"&amp;C4&amp;"'"&amp;"!B:B"))</f>
        <v>6778</v>
      </c>
      <c r="D20" s="147">
        <f ca="1">SUMIF(INDIRECT("'"&amp;D4&amp;"'"&amp;"!A:A"),结果表!B20,INDIRECT("'"&amp;D4&amp;"'"&amp;"!B:B"))</f>
        <v>6778</v>
      </c>
      <c r="E20" s="2438"/>
      <c r="F20" s="1247" t="s">
        <v>2151</v>
      </c>
      <c r="G20" s="148">
        <f ca="1">ROUND(C20*$C$18+D20*$D$18,0)</f>
        <v>6778</v>
      </c>
      <c r="H20" s="980" t="s">
        <v>2152</v>
      </c>
      <c r="I20" s="138"/>
    </row>
    <row r="21" spans="1:35" ht="15" customHeight="1" thickBot="1">
      <c r="A21" s="1000"/>
      <c r="B21" s="2439" t="s">
        <v>2153</v>
      </c>
      <c r="C21" s="789">
        <f ca="1">ROUND(C19*10000/L19,0)</f>
        <v>4744</v>
      </c>
      <c r="D21" s="790">
        <f ca="1">ROUND(D19*10000/L19,0)</f>
        <v>4744</v>
      </c>
      <c r="E21" s="1000"/>
      <c r="F21" s="2439" t="s">
        <v>2153</v>
      </c>
      <c r="G21" s="149">
        <f ca="1">ROUND(G19*10000/L19,0)</f>
        <v>4744</v>
      </c>
      <c r="H21" s="2440" t="s">
        <v>2152</v>
      </c>
      <c r="I21" s="138"/>
    </row>
    <row r="22" spans="1:35" ht="15" thickBot="1">
      <c r="A22" s="2281" t="s">
        <v>2154</v>
      </c>
      <c r="B22" s="2441"/>
      <c r="C22" s="2442"/>
      <c r="D22" s="791">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135" t="s">
        <v>2155</v>
      </c>
      <c r="B24" s="2436" t="s">
        <v>2147</v>
      </c>
      <c r="C24" s="145">
        <f>IF(B30=0,0,D30)</f>
        <v>0</v>
      </c>
      <c r="D24" s="2443"/>
      <c r="E24" s="138"/>
      <c r="F24" s="138"/>
      <c r="G24" s="138"/>
      <c r="H24" s="138"/>
      <c r="I24" s="138"/>
    </row>
    <row r="25" spans="1:35" ht="14.25">
      <c r="A25" s="3136"/>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621</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15" t="s">
        <v>2169</v>
      </c>
      <c r="B36" s="2462" t="s">
        <v>2170</v>
      </c>
      <c r="C36" s="154"/>
      <c r="D36" s="2463"/>
      <c r="E36" s="2464"/>
      <c r="F36" s="2465"/>
      <c r="G36" s="138"/>
      <c r="H36" s="138"/>
      <c r="I36" s="138"/>
    </row>
    <row r="37" spans="1:15" ht="15.75" thickBot="1">
      <c r="A37" s="3116"/>
      <c r="B37" s="2267" t="s">
        <v>2171</v>
      </c>
      <c r="C37" s="156"/>
      <c r="D37" s="1392"/>
      <c r="E37" s="1392"/>
      <c r="F37" s="2465"/>
      <c r="G37" s="138"/>
      <c r="H37" s="138"/>
      <c r="I37" s="138"/>
    </row>
    <row r="38" spans="1:15" ht="15.75" thickBot="1">
      <c r="A38" s="3117"/>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2" t="s">
        <v>2183</v>
      </c>
      <c r="B45" s="3133"/>
      <c r="C45" s="3134"/>
      <c r="D45" s="164">
        <f ca="1">ROUND(H101*F45,0)</f>
        <v>621</v>
      </c>
      <c r="E45" s="165" t="s">
        <v>2184</v>
      </c>
      <c r="F45" s="166">
        <v>1</v>
      </c>
      <c r="G45" s="167" t="s">
        <v>2185</v>
      </c>
      <c r="H45" s="138"/>
      <c r="I45" s="138"/>
      <c r="J45" s="3051" t="s">
        <v>2186</v>
      </c>
      <c r="K45" s="3051"/>
      <c r="L45" s="3051"/>
      <c r="M45" s="3051"/>
      <c r="N45" s="3051"/>
      <c r="O45" s="3051"/>
    </row>
    <row r="46" spans="1:15" ht="14.25" customHeight="1">
      <c r="A46" s="3129" t="s">
        <v>2187</v>
      </c>
      <c r="B46" s="3130"/>
      <c r="C46" s="3130"/>
      <c r="D46" s="3130"/>
      <c r="E46" s="3130"/>
      <c r="F46" s="3130"/>
      <c r="G46" s="3131"/>
      <c r="H46" s="2481"/>
      <c r="I46" s="168"/>
      <c r="J46" s="1809">
        <v>1</v>
      </c>
      <c r="K46" s="3051" t="s">
        <v>2188</v>
      </c>
      <c r="L46" s="3051"/>
      <c r="M46" s="3052"/>
      <c r="N46" s="3052"/>
      <c r="O46" s="3052"/>
    </row>
    <row r="47" spans="1:15" ht="12" customHeight="1">
      <c r="A47" s="169" t="s">
        <v>2189</v>
      </c>
      <c r="B47" s="170"/>
      <c r="C47" s="171"/>
      <c r="D47" s="172" t="s">
        <v>2190</v>
      </c>
      <c r="E47" s="24" t="s">
        <v>2191</v>
      </c>
      <c r="F47" s="173" t="s">
        <v>2192</v>
      </c>
      <c r="G47" s="174" t="s">
        <v>2193</v>
      </c>
      <c r="H47" s="2481"/>
      <c r="I47" s="168"/>
      <c r="J47" s="1809">
        <v>2</v>
      </c>
      <c r="K47" s="3051" t="s">
        <v>2194</v>
      </c>
      <c r="L47" s="3051"/>
      <c r="M47" s="3053">
        <f>'数据-取费表'!B2</f>
        <v>43668</v>
      </c>
      <c r="N47" s="3053"/>
      <c r="O47" s="3053"/>
    </row>
    <row r="48" spans="1:15" ht="25.5">
      <c r="A48" s="3119" t="s">
        <v>2195</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051" t="s">
        <v>2198</v>
      </c>
      <c r="L48" s="3051"/>
      <c r="M48" s="3054">
        <f ca="1">H101</f>
        <v>621</v>
      </c>
      <c r="N48" s="3054"/>
      <c r="O48" s="3054"/>
    </row>
    <row r="49" spans="1:35" ht="25.5" customHeight="1">
      <c r="A49" s="176" t="s">
        <v>2199</v>
      </c>
      <c r="B49" s="3099" t="s">
        <v>2200</v>
      </c>
      <c r="C49" s="3099"/>
      <c r="D49" s="177">
        <v>0</v>
      </c>
      <c r="E49" s="23" t="s">
        <v>2201</v>
      </c>
      <c r="F49" s="28" t="s">
        <v>34</v>
      </c>
      <c r="G49" s="3080"/>
      <c r="H49" s="138"/>
      <c r="I49" s="2484"/>
      <c r="J49" s="1809">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2202</v>
      </c>
      <c r="C50" s="3099"/>
      <c r="D50" s="179"/>
      <c r="E50" s="31"/>
      <c r="F50" s="180"/>
      <c r="G50" s="3081"/>
      <c r="H50" s="138"/>
      <c r="I50" s="2484"/>
      <c r="J50" s="3051" t="s">
        <v>2203</v>
      </c>
      <c r="K50" s="3051"/>
      <c r="L50" s="3051"/>
      <c r="M50" s="3051"/>
      <c r="N50" s="3051"/>
      <c r="O50" s="3051"/>
    </row>
    <row r="51" spans="1:35" ht="12" customHeight="1">
      <c r="A51" s="181"/>
      <c r="B51" s="3099" t="s">
        <v>2204</v>
      </c>
      <c r="C51" s="3099"/>
      <c r="D51" s="182"/>
      <c r="E51" s="30"/>
      <c r="F51" s="180"/>
      <c r="G51" s="3082"/>
      <c r="H51" s="138"/>
      <c r="I51" s="2484"/>
      <c r="J51" s="2485" t="s">
        <v>2205</v>
      </c>
      <c r="K51" s="3051" t="s">
        <v>2206</v>
      </c>
      <c r="L51" s="3051"/>
      <c r="M51" s="2485" t="s">
        <v>2207</v>
      </c>
      <c r="N51" s="2485" t="s">
        <v>2208</v>
      </c>
      <c r="O51" s="2485" t="s">
        <v>2209</v>
      </c>
    </row>
    <row r="52" spans="1:35" ht="24" customHeight="1">
      <c r="A52" s="183" t="s">
        <v>2210</v>
      </c>
      <c r="B52" s="3099" t="s">
        <v>2211</v>
      </c>
      <c r="C52" s="3099"/>
      <c r="D52" s="182">
        <f ca="1">ROUND(D45*'数据-取费表'!B41/(1+'数据-取费表'!C42),0)</f>
        <v>0</v>
      </c>
      <c r="E52" s="11" t="s">
        <v>2212</v>
      </c>
      <c r="F52" s="184">
        <f>'数据-取费表'!B41</f>
        <v>0</v>
      </c>
      <c r="G52" s="2486"/>
      <c r="H52" s="138"/>
      <c r="I52" s="2484"/>
      <c r="J52" s="1809">
        <v>1</v>
      </c>
      <c r="K52" s="3074" t="s">
        <v>2213</v>
      </c>
      <c r="L52" s="3074"/>
      <c r="M52" s="1751">
        <f>D48</f>
        <v>0</v>
      </c>
      <c r="N52" s="1809" t="str">
        <f>E48</f>
        <v>销售额×税（费）率</v>
      </c>
      <c r="O52" s="1752" t="str">
        <f>F48</f>
        <v>免征</v>
      </c>
    </row>
    <row r="53" spans="1:35" ht="12" customHeight="1">
      <c r="A53" s="183" t="s">
        <v>2214</v>
      </c>
      <c r="B53" s="3100" t="s">
        <v>2215</v>
      </c>
      <c r="C53" s="3101"/>
      <c r="D53" s="182">
        <f ca="1">ROUND(D45*'数据-取费表'!B41/(1+'数据-取费表'!C42),0)</f>
        <v>0</v>
      </c>
      <c r="E53" s="11" t="s">
        <v>2212</v>
      </c>
      <c r="F53" s="184">
        <f>'数据-取费表'!B41</f>
        <v>0</v>
      </c>
      <c r="G53" s="2486"/>
      <c r="H53" s="138"/>
      <c r="I53" s="2484"/>
      <c r="J53" s="1809">
        <v>2</v>
      </c>
      <c r="K53" s="3074" t="s">
        <v>2216</v>
      </c>
      <c r="L53" s="3074"/>
      <c r="M53" s="1751">
        <f t="shared" ref="M53:O54" ca="1" si="0">D55</f>
        <v>0</v>
      </c>
      <c r="N53" s="1809" t="str">
        <f t="shared" si="0"/>
        <v>销售额×税（费）率</v>
      </c>
      <c r="O53" s="1752">
        <f t="shared" si="0"/>
        <v>0</v>
      </c>
    </row>
    <row r="54" spans="1:35" ht="12" customHeight="1">
      <c r="A54" s="183" t="s">
        <v>2217</v>
      </c>
      <c r="B54" s="3100" t="s">
        <v>2218</v>
      </c>
      <c r="C54" s="3101"/>
      <c r="D54" s="182">
        <f ca="1">C68</f>
        <v>0</v>
      </c>
      <c r="E54" s="30" t="s">
        <v>2219</v>
      </c>
      <c r="F54" s="184">
        <f>'数据-取费表'!B41</f>
        <v>0</v>
      </c>
      <c r="G54" s="2486"/>
      <c r="H54" s="2487"/>
      <c r="I54" s="2484"/>
      <c r="J54" s="1809">
        <v>3</v>
      </c>
      <c r="K54" s="3074" t="s">
        <v>2220</v>
      </c>
      <c r="L54" s="3074"/>
      <c r="M54" s="1751" t="e">
        <f t="shared" ca="1" si="0"/>
        <v>#DIV/0!</v>
      </c>
      <c r="N54" s="1809" t="str">
        <f t="shared" si="0"/>
        <v>增值额×税（费）率</v>
      </c>
      <c r="O54" s="1753" t="str">
        <f t="shared" si="0"/>
        <v>——</v>
      </c>
    </row>
    <row r="55" spans="1:35" ht="24" customHeight="1">
      <c r="A55" s="3138" t="s">
        <v>2221</v>
      </c>
      <c r="B55" s="3120"/>
      <c r="C55" s="3120"/>
      <c r="D55" s="185">
        <f ca="1">IF(H55="个人住宅",0,ROUND(D45*I55,0))</f>
        <v>0</v>
      </c>
      <c r="E55" s="11" t="s">
        <v>2222</v>
      </c>
      <c r="F55" s="184">
        <f>IF(H55="正常",I55,"免征")</f>
        <v>0</v>
      </c>
      <c r="G55" s="2486"/>
      <c r="H55" s="2483" t="s">
        <v>2223</v>
      </c>
      <c r="I55" s="186">
        <f>'数据-取费表'!B49</f>
        <v>0</v>
      </c>
      <c r="J55" s="1809" t="str">
        <f>IF(H59="非个人房产","",4)</f>
        <v/>
      </c>
      <c r="K55" s="3074" t="str">
        <f>IF(H59="非个人房产","——","个人所得税")</f>
        <v>——</v>
      </c>
      <c r="L55" s="3074"/>
      <c r="M55" s="1754" t="str">
        <f>D59</f>
        <v>——</v>
      </c>
      <c r="N55" s="1807" t="str">
        <f>E59</f>
        <v>——</v>
      </c>
      <c r="O55" s="1755" t="str">
        <f>F59</f>
        <v>——</v>
      </c>
    </row>
    <row r="56" spans="1:35" ht="24.75">
      <c r="A56" s="3138" t="s">
        <v>2224</v>
      </c>
      <c r="B56" s="3120"/>
      <c r="C56" s="3120"/>
      <c r="D56" s="185" t="e">
        <f ca="1">IF(H56="个人住宅",D57,D58)</f>
        <v>#DIV/0!</v>
      </c>
      <c r="E56" s="11" t="s">
        <v>2225</v>
      </c>
      <c r="F56" s="184" t="str">
        <f>IF(H56="正常",F58,"免征")</f>
        <v>——</v>
      </c>
      <c r="G56" s="2488" t="s">
        <v>2226</v>
      </c>
      <c r="H56" s="2489" t="s">
        <v>2223</v>
      </c>
      <c r="I56" s="2490"/>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2199</v>
      </c>
      <c r="B57" s="3105" t="s">
        <v>2227</v>
      </c>
      <c r="C57" s="3106"/>
      <c r="D57" s="187">
        <v>0</v>
      </c>
      <c r="E57" s="23" t="s">
        <v>2201</v>
      </c>
      <c r="F57" s="155"/>
      <c r="G57" s="2486"/>
      <c r="H57" s="2490"/>
      <c r="I57" s="2490"/>
      <c r="J57" s="3074">
        <f>IF(AND(J55="",J56=""),4,IF(项目基本情况!K6="上海银行",结果表!J56+1,结果表!J55+1))</f>
        <v>4</v>
      </c>
      <c r="K57" s="3074" t="s">
        <v>2228</v>
      </c>
      <c r="L57" s="2491" t="s">
        <v>2229</v>
      </c>
      <c r="M57" s="1756"/>
      <c r="N57" s="1757">
        <f ca="1">SUMIF(M52:M56,"&lt;9e307")</f>
        <v>0</v>
      </c>
      <c r="O57" s="2492"/>
      <c r="P57" s="1750" t="e">
        <f ca="1">N57/M49</f>
        <v>#VALUE!</v>
      </c>
    </row>
    <row r="58" spans="1:35" ht="24.75">
      <c r="A58" s="183" t="s">
        <v>2210</v>
      </c>
      <c r="B58" s="3105" t="s">
        <v>2230</v>
      </c>
      <c r="C58" s="3118"/>
      <c r="D58" s="185" t="e">
        <f ca="1">IF(H58="转让取得",C81,C97)</f>
        <v>#DIV/0!</v>
      </c>
      <c r="E58" s="11" t="s">
        <v>2225</v>
      </c>
      <c r="F58" s="24" t="s">
        <v>34</v>
      </c>
      <c r="G58" s="2486"/>
      <c r="H58" s="2489" t="s">
        <v>2231</v>
      </c>
      <c r="I58" s="2490"/>
      <c r="J58" s="3074"/>
      <c r="K58" s="3074"/>
      <c r="L58" s="2491" t="s">
        <v>2232</v>
      </c>
      <c r="M58" s="1758"/>
      <c r="N58" s="2493" t="str">
        <f ca="1">NUMBERSTRING(INT(N57*10000),2)&amp;"元整"</f>
        <v>零元整</v>
      </c>
      <c r="O58" s="2494"/>
    </row>
    <row r="59" spans="1:35" ht="24.75" thickBot="1">
      <c r="A59" s="3078" t="s">
        <v>2233</v>
      </c>
      <c r="B59" s="3079"/>
      <c r="C59" s="3079"/>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076">
        <f>J57+1</f>
        <v>5</v>
      </c>
      <c r="K59" s="3074" t="s">
        <v>2235</v>
      </c>
      <c r="L59" s="1809" t="s">
        <v>2229</v>
      </c>
      <c r="M59" s="1759"/>
      <c r="N59" s="1760" t="e">
        <f ca="1">M49-N57</f>
        <v>#VALUE!</v>
      </c>
      <c r="O59" s="2496"/>
    </row>
    <row r="60" spans="1:35" ht="12" customHeight="1">
      <c r="A60" s="2497"/>
      <c r="B60" s="2419"/>
      <c r="C60" s="2419"/>
      <c r="D60" s="2419"/>
      <c r="E60" s="2166"/>
      <c r="F60" s="2490"/>
      <c r="G60" s="2490"/>
      <c r="H60" s="2498"/>
      <c r="I60" s="138"/>
      <c r="J60" s="3077"/>
      <c r="K60" s="3074"/>
      <c r="L60" s="2491" t="s">
        <v>2232</v>
      </c>
      <c r="M60" s="1758"/>
      <c r="N60" s="2493" t="e">
        <f ca="1">NUMBERSTRING(INT(N59*10000),2)&amp;"元整"</f>
        <v>#VALUE!</v>
      </c>
      <c r="O60" s="2494"/>
    </row>
    <row r="61" spans="1:35" ht="13.5" thickBot="1">
      <c r="A61" s="3137" t="s">
        <v>2236</v>
      </c>
      <c r="B61" s="3137"/>
      <c r="C61" s="3137"/>
      <c r="D61" s="3137"/>
      <c r="E61" s="3137"/>
      <c r="F61" s="2490"/>
      <c r="G61" s="2490"/>
      <c r="H61" s="2498"/>
      <c r="I61" s="138"/>
      <c r="J61" s="1809">
        <f>J59+1</f>
        <v>6</v>
      </c>
      <c r="K61" s="3074" t="s">
        <v>2237</v>
      </c>
      <c r="L61" s="3074"/>
      <c r="M61" s="1761"/>
      <c r="N61" s="1762" t="e">
        <f ca="1">ROUND(N59*10000/'数据-汇总表'!E3,0)</f>
        <v>#VALUE!</v>
      </c>
      <c r="O61" s="2499"/>
    </row>
    <row r="62" spans="1:35" ht="12.75">
      <c r="A62" s="3094" t="s">
        <v>2238</v>
      </c>
      <c r="B62" s="3095"/>
      <c r="C62" s="1801"/>
      <c r="D62" s="1801" t="s">
        <v>2239</v>
      </c>
      <c r="E62" s="192" t="s">
        <v>2240</v>
      </c>
      <c r="F62" s="2490"/>
      <c r="G62" s="2490"/>
      <c r="H62" s="2498"/>
      <c r="I62" s="138"/>
    </row>
    <row r="63" spans="1:35" ht="12.75">
      <c r="A63" s="203" t="s">
        <v>775</v>
      </c>
      <c r="B63" s="193" t="s">
        <v>2241</v>
      </c>
      <c r="C63" s="194">
        <f ca="1">ROUND((C64+C65)/(1+'数据-取费表'!C42),0)</f>
        <v>621</v>
      </c>
      <c r="D63" s="195"/>
      <c r="E63" s="196"/>
      <c r="F63" s="2490"/>
      <c r="G63" s="2490"/>
      <c r="H63" s="2498"/>
      <c r="I63" s="138"/>
      <c r="J63" s="3059" t="s">
        <v>2242</v>
      </c>
      <c r="K63" s="2500" t="s">
        <v>2243</v>
      </c>
      <c r="L63" s="1749" t="e">
        <f>IF(M49&gt;10000,M49*0.5%,IF(AND(M49&gt;1000,M49&lt;=10000),M49*1%,IF(AND(M49&gt;100,M49&lt;=1000),M49*3%,IF(AND(M49&gt;10,M49&lt;=100),M49*5%,M49*8%))))</f>
        <v>#VALUE!</v>
      </c>
      <c r="M63" s="24" t="e">
        <f>ROUND(L63,1)</f>
        <v>#VALUE!</v>
      </c>
      <c r="Z63" s="2424"/>
      <c r="AI63" s="2425"/>
    </row>
    <row r="64" spans="1:35" ht="14.25" customHeight="1">
      <c r="A64" s="197" t="s">
        <v>770</v>
      </c>
      <c r="B64" s="198" t="s">
        <v>2244</v>
      </c>
      <c r="C64" s="199">
        <f ca="1">D45</f>
        <v>621</v>
      </c>
      <c r="D64" s="200" t="s">
        <v>32</v>
      </c>
      <c r="E64" s="201"/>
      <c r="F64" s="2490"/>
      <c r="G64" s="2490"/>
      <c r="H64" s="2498"/>
      <c r="I64" s="138"/>
      <c r="J64" s="3059"/>
      <c r="K64" s="2500"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4"/>
      <c r="AI64" s="2425"/>
    </row>
    <row r="65" spans="1:35" ht="14.25" customHeight="1">
      <c r="A65" s="197" t="s">
        <v>771</v>
      </c>
      <c r="B65" s="198" t="s">
        <v>2247</v>
      </c>
      <c r="C65" s="202"/>
      <c r="D65" s="200"/>
      <c r="E65" s="201"/>
      <c r="F65" s="2490"/>
      <c r="G65" s="2490"/>
      <c r="H65" s="2498"/>
      <c r="I65" s="138"/>
      <c r="J65" s="3059"/>
      <c r="K65" s="2500" t="s">
        <v>2248</v>
      </c>
      <c r="L65" s="1749" t="e">
        <f>IF(M49&gt;1000,M49*0.1%,IF(AND(M49&gt;500,M49&lt;=1000),M49*0.5%,IF(AND(M49&gt;50,M49&lt;=500),M49*1%,IF(AND(M49&gt;1,M49&lt;=50),M49*1.5%))))</f>
        <v>#VALUE!</v>
      </c>
      <c r="M65" s="24" t="e">
        <f t="shared" si="1"/>
        <v>#VALUE!</v>
      </c>
      <c r="N65" s="138" t="s">
        <v>2246</v>
      </c>
      <c r="Z65" s="2424"/>
      <c r="AI65" s="2425"/>
    </row>
    <row r="66" spans="1:35" ht="14.25" customHeight="1">
      <c r="A66" s="203" t="s">
        <v>772</v>
      </c>
      <c r="B66" s="204" t="s">
        <v>2249</v>
      </c>
      <c r="C66" s="205"/>
      <c r="D66" s="206" t="s">
        <v>32</v>
      </c>
      <c r="E66" s="1773" t="s">
        <v>1367</v>
      </c>
      <c r="F66" s="2490"/>
      <c r="G66" s="2490"/>
      <c r="H66" s="2498"/>
      <c r="I66" s="138"/>
      <c r="J66" s="3059"/>
      <c r="K66" s="2500" t="s">
        <v>2250</v>
      </c>
      <c r="L66" s="1749" t="e">
        <f>M49*0.5%</f>
        <v>#VALUE!</v>
      </c>
      <c r="M66" s="24" t="e">
        <f>IF(L66&gt;0.5,0.5,ROUND(L66,0))</f>
        <v>#VALUE!</v>
      </c>
      <c r="N66" s="138" t="s">
        <v>2251</v>
      </c>
      <c r="Z66" s="2424"/>
      <c r="AI66" s="2425"/>
    </row>
    <row r="67" spans="1:35" ht="14.25" customHeight="1">
      <c r="A67" s="203" t="s">
        <v>773</v>
      </c>
      <c r="B67" s="204" t="s">
        <v>2252</v>
      </c>
      <c r="C67" s="207">
        <f ca="1">C63-C66</f>
        <v>621</v>
      </c>
      <c r="D67" s="200" t="s">
        <v>32</v>
      </c>
      <c r="E67" s="201"/>
      <c r="F67" s="2490"/>
      <c r="G67" s="2490"/>
      <c r="H67" s="2498"/>
      <c r="I67" s="138"/>
      <c r="J67" s="3059"/>
      <c r="K67" s="2500"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2254</v>
      </c>
      <c r="C68" s="210">
        <f ca="1">IF(C67&lt;=0,0,ROUND(C67*D68,0))</f>
        <v>0</v>
      </c>
      <c r="D68" s="211">
        <f>'数据-取费表'!B41</f>
        <v>0</v>
      </c>
      <c r="E68" s="212"/>
      <c r="F68" s="2490"/>
      <c r="G68" s="2490"/>
      <c r="H68" s="2498"/>
      <c r="I68" s="138"/>
      <c r="J68" s="3059"/>
      <c r="K68" s="2500" t="s">
        <v>2255</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059"/>
      <c r="K69" s="2500" t="s">
        <v>2256</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2257</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2238</v>
      </c>
      <c r="B71" s="3095"/>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621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00" t="s">
        <v>2266</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0</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0</v>
      </c>
      <c r="D78" s="226">
        <f>'数据-取费表'!B43</f>
        <v>0</v>
      </c>
      <c r="E78" s="3091" t="s">
        <v>2271</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621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2275</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2238</v>
      </c>
      <c r="B84" s="3095"/>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621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0</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091" t="s">
        <v>2284</v>
      </c>
      <c r="F91" s="3092"/>
      <c r="G91" s="309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091" t="s">
        <v>2288</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0</v>
      </c>
      <c r="D93" s="226">
        <f>'数据-取费表'!B43</f>
        <v>0</v>
      </c>
      <c r="E93" s="3091" t="s">
        <v>2271</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39" t="s">
        <v>2292</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621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043" t="s">
        <v>2294</v>
      </c>
      <c r="B100" s="3044"/>
      <c r="C100" s="3044"/>
      <c r="D100" s="3075"/>
      <c r="E100" s="3044" t="s">
        <v>2295</v>
      </c>
      <c r="F100" s="3044"/>
      <c r="G100" s="3044"/>
      <c r="H100" s="3075"/>
      <c r="I100" s="138"/>
    </row>
    <row r="101" spans="1:35" ht="18.75" customHeight="1">
      <c r="A101" s="3083" t="s">
        <v>2296</v>
      </c>
      <c r="B101" s="3084"/>
      <c r="C101" s="736" t="str">
        <f>C4</f>
        <v>基准地价修正</v>
      </c>
      <c r="D101" s="737" t="str">
        <f>D4</f>
        <v>基准地价修正</v>
      </c>
      <c r="E101" s="3055" t="s">
        <v>2297</v>
      </c>
      <c r="F101" s="3056"/>
      <c r="G101" s="2521" t="s">
        <v>2298</v>
      </c>
      <c r="H101" s="1045">
        <f ca="1">H118</f>
        <v>621</v>
      </c>
      <c r="I101" s="138"/>
    </row>
    <row r="102" spans="1:35" ht="18.75" customHeight="1">
      <c r="A102" s="3085" t="s">
        <v>2299</v>
      </c>
      <c r="B102" s="2521" t="s">
        <v>2298</v>
      </c>
      <c r="C102" s="736">
        <f ca="1">C19</f>
        <v>621</v>
      </c>
      <c r="D102" s="737">
        <f ca="1">D19</f>
        <v>621</v>
      </c>
      <c r="E102" s="3055"/>
      <c r="F102" s="3056"/>
      <c r="G102" s="2521" t="s">
        <v>2300</v>
      </c>
      <c r="H102" s="371">
        <f ca="1">I118</f>
        <v>6778</v>
      </c>
      <c r="I102" s="138"/>
    </row>
    <row r="103" spans="1:35" ht="42.75" customHeight="1">
      <c r="A103" s="3085"/>
      <c r="B103" s="2521" t="s">
        <v>2300</v>
      </c>
      <c r="C103" s="738">
        <f ca="1">C20</f>
        <v>6778</v>
      </c>
      <c r="D103" s="739">
        <f ca="1">D20</f>
        <v>6778</v>
      </c>
      <c r="E103" s="3049" t="s">
        <v>2301</v>
      </c>
      <c r="F103" s="3050"/>
      <c r="G103" s="2522" t="s">
        <v>2302</v>
      </c>
      <c r="H103" s="1045">
        <f>IF(D36="正常操作",H104+H105+H106,H105+H106)</f>
        <v>0</v>
      </c>
      <c r="I103" s="138"/>
    </row>
    <row r="104" spans="1:35" ht="18.75" customHeight="1">
      <c r="A104" s="3085" t="s">
        <v>2303</v>
      </c>
      <c r="B104" s="2523" t="s">
        <v>2298</v>
      </c>
      <c r="C104" s="740">
        <f ca="1">H118</f>
        <v>621</v>
      </c>
      <c r="D104" s="741"/>
      <c r="E104" s="2267" t="s">
        <v>2304</v>
      </c>
      <c r="F104" s="2258"/>
      <c r="G104" s="2522" t="s">
        <v>2302</v>
      </c>
      <c r="H104" s="1046">
        <f>IF(D36="同一抵押权人同一抵押物续贷",C36&amp;"（未扣减，详见特别提示）",C36)</f>
        <v>0</v>
      </c>
      <c r="I104" s="138"/>
    </row>
    <row r="105" spans="1:35" ht="18.75" customHeight="1" thickBot="1">
      <c r="A105" s="3097"/>
      <c r="B105" s="2524" t="s">
        <v>2300</v>
      </c>
      <c r="C105" s="742">
        <f ca="1">I118</f>
        <v>6778</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086" t="str">
        <f>IF(项目基本情况!E8="已注销","——","3.房地产抵押价值")</f>
        <v>3.房地产抵押价值</v>
      </c>
      <c r="F107" s="3056"/>
      <c r="G107" s="2521" t="s">
        <v>2298</v>
      </c>
      <c r="H107" s="1045">
        <f ca="1">IF(E107="——","——",H101-H103)</f>
        <v>621</v>
      </c>
      <c r="I107" s="138"/>
    </row>
    <row r="108" spans="1:35" ht="18.75" customHeight="1">
      <c r="A108" s="138"/>
      <c r="B108" s="138"/>
      <c r="C108" s="138"/>
      <c r="D108" s="138"/>
      <c r="E108" s="3086"/>
      <c r="F108" s="3056"/>
      <c r="G108" s="2521" t="s">
        <v>2300</v>
      </c>
      <c r="H108" s="371">
        <f ca="1">ROUND(H107*10000/'数据-汇总表'!E3,0)</f>
        <v>6778</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2298</v>
      </c>
      <c r="H109" s="348" t="str">
        <f>IF(E109="——","——",H101-H105-H106)</f>
        <v>——</v>
      </c>
      <c r="I109" s="138"/>
    </row>
    <row r="110" spans="1:35" ht="18.75" customHeight="1">
      <c r="A110" s="138"/>
      <c r="B110" s="138"/>
      <c r="C110" s="138"/>
      <c r="D110" s="138"/>
      <c r="E110" s="3086"/>
      <c r="F110" s="3056"/>
      <c r="G110" s="2521" t="s">
        <v>2300</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2298</v>
      </c>
      <c r="H111" s="1045" t="str">
        <f>IF(E111="——","——",N59)</f>
        <v>——</v>
      </c>
      <c r="I111" s="138"/>
    </row>
    <row r="112" spans="1:35" ht="18.75" customHeight="1" thickBot="1">
      <c r="A112" s="138"/>
      <c r="B112" s="138"/>
      <c r="C112" s="138"/>
      <c r="D112" s="138"/>
      <c r="E112" s="3089"/>
      <c r="F112" s="3090"/>
      <c r="G112" s="2526" t="s">
        <v>2300</v>
      </c>
      <c r="H112" s="790" t="str">
        <f>IF(E111="——","——",N61)</f>
        <v>——</v>
      </c>
      <c r="I112" s="138"/>
    </row>
    <row r="113" spans="1:11" ht="18.75" customHeight="1">
      <c r="A113" s="138"/>
      <c r="B113" s="138"/>
      <c r="C113" s="138"/>
      <c r="D113" s="138"/>
      <c r="E113" s="3098" t="s">
        <v>2306</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2308</v>
      </c>
      <c r="B115" s="3112"/>
      <c r="C115" s="3112"/>
      <c r="D115" s="3112"/>
      <c r="E115" s="3112"/>
      <c r="F115" s="3112"/>
      <c r="G115" s="3112"/>
      <c r="H115" s="3112"/>
      <c r="I115" s="3113"/>
    </row>
    <row r="116" spans="1:11" ht="27" customHeight="1">
      <c r="A116" s="3022" t="s">
        <v>2309</v>
      </c>
      <c r="B116" s="3065" t="s">
        <v>2310</v>
      </c>
      <c r="C116" s="3065" t="s">
        <v>2311</v>
      </c>
      <c r="D116" s="3071" t="s">
        <v>2312</v>
      </c>
      <c r="E116" s="3072"/>
      <c r="F116" s="3107" t="s">
        <v>2313</v>
      </c>
      <c r="G116" s="3107"/>
      <c r="H116" s="3022" t="s">
        <v>2314</v>
      </c>
      <c r="I116" s="3022"/>
    </row>
    <row r="117" spans="1:11" ht="18.75" customHeight="1">
      <c r="A117" s="3022"/>
      <c r="B117" s="3066"/>
      <c r="C117" s="3066"/>
      <c r="D117" s="1795" t="s">
        <v>2315</v>
      </c>
      <c r="E117" s="1795" t="s">
        <v>2316</v>
      </c>
      <c r="F117" s="1795" t="s">
        <v>2315</v>
      </c>
      <c r="G117" s="1795" t="s">
        <v>2317</v>
      </c>
      <c r="H117" s="1795" t="s">
        <v>2315</v>
      </c>
      <c r="I117" s="1795" t="s">
        <v>2317</v>
      </c>
    </row>
    <row r="118" spans="1:11" ht="24.75" customHeight="1">
      <c r="A118" s="2527" t="str">
        <f>项目基本情况!S2</f>
        <v>出让国有建设用地使用权</v>
      </c>
      <c r="B118" s="1795">
        <f>M18</f>
        <v>916.22</v>
      </c>
      <c r="C118" s="1795">
        <f>M19</f>
        <v>1308.9000000000001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621</v>
      </c>
      <c r="I118" s="1795">
        <f ca="1">ROUND(IF(D32="楼面单价",C32,H118*10000/B118),0)</f>
        <v>6778</v>
      </c>
    </row>
    <row r="119" spans="1:11" ht="18.75" customHeight="1">
      <c r="A119" s="3022" t="s">
        <v>2318</v>
      </c>
      <c r="B119" s="3022"/>
      <c r="C119" s="3022"/>
      <c r="D119" s="3067" t="e">
        <f ca="1">NUMBERSTRING(INT(D118*10000),2)&amp;"元整"</f>
        <v>#REF!</v>
      </c>
      <c r="E119" s="3068"/>
      <c r="F119" s="3067" t="e">
        <f ca="1">NUMBERSTRING(INT(F118*10000),2)&amp;"元整"</f>
        <v>#REF!</v>
      </c>
      <c r="G119" s="3068"/>
      <c r="H119" s="3067" t="str">
        <f ca="1">NUMBERSTRING(INT(H118*10000),2)&amp;"元整"</f>
        <v>陆佰贰拾壹万元整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2318</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621</v>
      </c>
      <c r="E122" s="3063"/>
      <c r="F122" s="3063"/>
      <c r="G122" s="3063"/>
      <c r="H122" s="3063"/>
      <c r="I122" s="3064"/>
    </row>
    <row r="123" spans="1:11" ht="18.75" customHeight="1">
      <c r="A123" s="3022" t="s">
        <v>2318</v>
      </c>
      <c r="B123" s="3022"/>
      <c r="C123" s="3022"/>
      <c r="D123" s="3067" t="str">
        <f ca="1">NUMBERSTRING(INT(D122*10000),2)&amp;"元整"</f>
        <v>陆佰贰拾壹万元整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2318</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2318</v>
      </c>
      <c r="B127" s="3022"/>
      <c r="C127" s="3022"/>
      <c r="D127" s="3067" t="e">
        <f>NUMBERSTRING(INT(D126*10000),2)&amp;"元整"</f>
        <v>#VALUE!</v>
      </c>
      <c r="E127" s="3069"/>
      <c r="F127" s="3069"/>
      <c r="G127" s="3069"/>
      <c r="H127" s="3069"/>
      <c r="I127" s="3068"/>
    </row>
    <row r="128" spans="1:11" ht="21.75" customHeight="1">
      <c r="A128" s="3070" t="s">
        <v>2319</v>
      </c>
      <c r="B128" s="3070"/>
      <c r="C128" s="3070"/>
      <c r="D128" s="3070"/>
      <c r="E128" s="3070"/>
      <c r="F128" s="3070"/>
      <c r="G128" s="3070"/>
      <c r="H128" s="3070"/>
      <c r="I128" s="3070"/>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6</v>
      </c>
    </row>
    <row r="2" spans="1:9" s="244" customFormat="1" ht="18" customHeight="1">
      <c r="A2" s="245" t="s">
        <v>2328</v>
      </c>
      <c r="B2" s="246" t="e">
        <f ca="1">IF(D2="——",C52,C52-E2)</f>
        <v>#VALUE!</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t="e">
        <f ca="1">ROUND(B2*10000/(IF(B1="",'数据-汇总表'!E3,INDIRECT("'数据-取费表'!k"&amp;$G$1))),0)</f>
        <v>#VALUE!</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0</v>
      </c>
      <c r="G7" s="263"/>
    </row>
    <row r="8" spans="1:9" s="267" customFormat="1">
      <c r="A8" s="949" t="s">
        <v>2342</v>
      </c>
      <c r="B8" s="259" t="s">
        <v>2343</v>
      </c>
      <c r="C8" s="264">
        <f>IF(G8="已包含在土地购买价格中","0",IF(B1="",'数据-取费表'!B29,IF(G9="全部缴纳",C9+C10,H9)))</f>
        <v>0</v>
      </c>
      <c r="D8" s="266"/>
      <c r="E8" s="264"/>
      <c r="F8" s="265"/>
      <c r="G8" s="2553"/>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4"/>
      <c r="H9" s="1390"/>
      <c r="I9" s="2555"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916.22</v>
      </c>
      <c r="E10" s="269">
        <f>'数据-取费表'!B28</f>
        <v>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0</v>
      </c>
      <c r="D19" s="1036">
        <f ca="1">D9+D10</f>
        <v>916.22</v>
      </c>
      <c r="E19" s="255">
        <f>'数据-取费表'!B31</f>
        <v>0</v>
      </c>
      <c r="F19" s="275"/>
      <c r="G19" s="2553"/>
    </row>
    <row r="20" spans="1:7" s="258" customFormat="1" ht="13.5" customHeight="1">
      <c r="A20" s="299" t="s">
        <v>2359</v>
      </c>
      <c r="B20" s="254" t="s">
        <v>2360</v>
      </c>
      <c r="C20" s="276">
        <f ca="1">ROUND((C5+C19)*F20,0)</f>
        <v>0</v>
      </c>
      <c r="D20" s="276"/>
      <c r="E20" s="276"/>
      <c r="F20" s="277">
        <f>'数据-取费表'!B37</f>
        <v>0</v>
      </c>
      <c r="G20" s="278" t="s">
        <v>2361</v>
      </c>
    </row>
    <row r="21" spans="1:7" s="258" customFormat="1" ht="13.5" customHeight="1">
      <c r="A21" s="299" t="s">
        <v>2362</v>
      </c>
      <c r="B21" s="254" t="s">
        <v>2363</v>
      </c>
      <c r="C21" s="279">
        <f>F21</f>
        <v>0</v>
      </c>
      <c r="D21" s="280" t="s">
        <v>2364</v>
      </c>
      <c r="E21" s="276"/>
      <c r="F21" s="277">
        <f>'数据-取费表'!B38</f>
        <v>0</v>
      </c>
      <c r="G21" s="278" t="s">
        <v>2365</v>
      </c>
    </row>
    <row r="22" spans="1:7" s="258" customFormat="1" ht="13.5" customHeight="1">
      <c r="A22" s="299" t="s">
        <v>2366</v>
      </c>
      <c r="B22" s="254" t="s">
        <v>2367</v>
      </c>
      <c r="C22" s="1354" t="e">
        <f ca="1">ROUND(SUM(C23:C25),0)</f>
        <v>#VALUE!</v>
      </c>
      <c r="D22" s="279" t="e">
        <f ca="1">C26</f>
        <v>#VALUE!</v>
      </c>
      <c r="E22" s="280" t="s">
        <v>2364</v>
      </c>
      <c r="F22" s="281" t="e">
        <f ca="1">'数据-取费表'!B40</f>
        <v>#VALUE!</v>
      </c>
      <c r="G22" s="278" t="str">
        <f>IF('数据-取费表'!B22&lt;=1,"单利计息","复利计息")</f>
        <v>单利计息</v>
      </c>
    </row>
    <row r="23" spans="1:7" s="258" customFormat="1" ht="13.5" customHeight="1">
      <c r="A23" s="951" t="s">
        <v>2368</v>
      </c>
      <c r="B23" s="259" t="s">
        <v>2369</v>
      </c>
      <c r="C23" s="1355" t="e">
        <f ca="1">ROUND(IF('数据-取费表'!B22&lt;=1,C5*F22*'数据-取费表'!B23,C5*(POWER((1+F22),'数据-取费表'!B23)-1)),0)</f>
        <v>#VALUE!</v>
      </c>
      <c r="D23" s="282"/>
      <c r="E23" s="282"/>
      <c r="F23" s="283"/>
      <c r="G23" s="284" t="s">
        <v>2370</v>
      </c>
    </row>
    <row r="24" spans="1:7" s="258" customFormat="1" ht="13.5" customHeight="1">
      <c r="A24" s="951" t="s">
        <v>2371</v>
      </c>
      <c r="B24" s="259" t="s">
        <v>2372</v>
      </c>
      <c r="C24" s="1355" t="e">
        <f ca="1">ROUND(IF('数据-取费表'!B22&lt;=1,C19*F22*('数据-取费表'!B19/2+'数据-取费表'!B21),C19*(POWER((1+F22),('数据-取费表'!B19/2+'数据-取费表'!B21))-1)),0)</f>
        <v>#VALUE!</v>
      </c>
      <c r="D24" s="282"/>
      <c r="E24" s="282"/>
      <c r="F24" s="283"/>
      <c r="G24" s="284" t="s">
        <v>2373</v>
      </c>
    </row>
    <row r="25" spans="1:7" s="258" customFormat="1" ht="24">
      <c r="A25" s="951" t="s">
        <v>2374</v>
      </c>
      <c r="B25" s="259" t="s">
        <v>2375</v>
      </c>
      <c r="C25" s="1355" t="e">
        <f ca="1">ROUND(IF('数据-取费表'!B22&lt;=1,C20*F22*'数据-取费表'!B23/2,C20*(POWER((1+F22),'数据-取费表'!B23/2)-1)),0)</f>
        <v>#VALUE!</v>
      </c>
      <c r="D25" s="282"/>
      <c r="E25" s="285"/>
      <c r="F25" s="283"/>
      <c r="G25" s="286" t="s">
        <v>2376</v>
      </c>
    </row>
    <row r="26" spans="1:7" s="258" customFormat="1">
      <c r="A26" s="951" t="s">
        <v>795</v>
      </c>
      <c r="B26" s="259" t="s">
        <v>2377</v>
      </c>
      <c r="C26" s="282" t="e">
        <f ca="1">ROUND(IF('数据-取费表'!B22&lt;=1,F21*F22*'数据-取费表'!B23/2,F21*(POWER((1+F22),'数据-取费表'!B23/2)-1)),4)</f>
        <v>#VALUE!</v>
      </c>
      <c r="D26" s="282"/>
      <c r="E26" s="285"/>
      <c r="F26" s="283"/>
      <c r="G26" s="287"/>
    </row>
    <row r="27" spans="1:7" s="258" customFormat="1" ht="24.75">
      <c r="A27" s="299" t="s">
        <v>2378</v>
      </c>
      <c r="B27" s="288" t="s">
        <v>2379</v>
      </c>
      <c r="C27" s="289" t="e">
        <f ca="1">C28</f>
        <v>#DIV/0!</v>
      </c>
      <c r="D27" s="279" t="e">
        <f ca="1">C29</f>
        <v>#DIV/0!</v>
      </c>
      <c r="E27" s="280" t="s">
        <v>2380</v>
      </c>
      <c r="F27" s="290" t="e">
        <f ca="1">IF(B1="",'数据-取费表'!Q16,INDIRECT("'数据-取费表'!q"&amp;$G$1))</f>
        <v>#DIV/0!</v>
      </c>
      <c r="G27" s="291" t="s">
        <v>2381</v>
      </c>
    </row>
    <row r="28" spans="1:7" s="258" customFormat="1" ht="13.5" customHeight="1">
      <c r="A28" s="951" t="s">
        <v>791</v>
      </c>
      <c r="B28" s="292" t="s">
        <v>2382</v>
      </c>
      <c r="C28" s="293" t="e">
        <f ca="1">ROUND((C5+C19+C20)*F27*'数据-取费表'!B21/'数据-取费表'!B20,0)</f>
        <v>#DIV/0!</v>
      </c>
      <c r="D28" s="279"/>
      <c r="E28" s="280"/>
      <c r="F28" s="290"/>
      <c r="G28" s="291"/>
    </row>
    <row r="29" spans="1:7" s="258" customFormat="1" ht="13.5" customHeight="1">
      <c r="A29" s="951" t="s">
        <v>792</v>
      </c>
      <c r="B29" s="292" t="s">
        <v>2383</v>
      </c>
      <c r="C29" s="282" t="e">
        <f ca="1">ROUND(C21*F27*'数据-取费表'!B21/'数据-取费表'!B20,4)</f>
        <v>#DIV/0!</v>
      </c>
      <c r="D29" s="279"/>
      <c r="E29" s="280"/>
      <c r="F29" s="290"/>
      <c r="G29" s="291"/>
    </row>
    <row r="30" spans="1:7" s="258" customFormat="1" ht="13.5" customHeight="1">
      <c r="A30" s="299" t="s">
        <v>2384</v>
      </c>
      <c r="B30" s="254" t="s">
        <v>2385</v>
      </c>
      <c r="C30" s="279">
        <f>ROUND(F30/(1+'数据-取费表'!C42),4)</f>
        <v>0</v>
      </c>
      <c r="D30" s="280" t="s">
        <v>2380</v>
      </c>
      <c r="E30" s="285"/>
      <c r="F30" s="281">
        <f>'数据-取费表'!B41</f>
        <v>0</v>
      </c>
      <c r="G30" s="278" t="s">
        <v>2386</v>
      </c>
    </row>
    <row r="31" spans="1:7" ht="16.5" customHeight="1">
      <c r="A31" s="253">
        <v>1</v>
      </c>
      <c r="B31" s="254" t="s">
        <v>2387</v>
      </c>
      <c r="C31" s="255" t="e">
        <f ca="1">ROUND((C5+C19+C20+C22+C27)/(1-C21-D22-D27-C30),0)</f>
        <v>#VALUE!</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2392</v>
      </c>
    </row>
    <row r="35" spans="1:7" ht="13.5" customHeight="1">
      <c r="A35" s="951" t="s">
        <v>796</v>
      </c>
      <c r="B35" s="259" t="s">
        <v>2393</v>
      </c>
      <c r="C35" s="264">
        <f ca="1">ROUND(C34*F35,0)</f>
        <v>0</v>
      </c>
      <c r="D35" s="264"/>
      <c r="E35" s="264"/>
      <c r="F35" s="303">
        <f>'数据-取费表'!B33</f>
        <v>0</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0</v>
      </c>
      <c r="D37" s="261">
        <f ca="1">D19</f>
        <v>916.22</v>
      </c>
      <c r="E37" s="293">
        <f>'数据-取费表'!B35</f>
        <v>0</v>
      </c>
      <c r="F37" s="303"/>
      <c r="G37" s="305" t="s">
        <v>2398</v>
      </c>
    </row>
    <row r="38" spans="1:7" ht="13.5" customHeight="1">
      <c r="A38" s="951" t="s">
        <v>799</v>
      </c>
      <c r="B38" s="259" t="s">
        <v>2399</v>
      </c>
      <c r="C38" s="264">
        <f ca="1">ROUND(C34*F38,0)</f>
        <v>0</v>
      </c>
      <c r="D38" s="264"/>
      <c r="E38" s="264"/>
      <c r="F38" s="303">
        <f>'数据-取费表'!B36</f>
        <v>0</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8">
        <f>F21</f>
        <v>0</v>
      </c>
      <c r="D40" s="280" t="s">
        <v>2405</v>
      </c>
      <c r="E40" s="276"/>
      <c r="F40" s="277"/>
      <c r="G40" s="278" t="s">
        <v>2406</v>
      </c>
    </row>
    <row r="41" spans="1:7" s="258" customFormat="1" ht="13.5" customHeight="1">
      <c r="A41" s="299" t="s">
        <v>2407</v>
      </c>
      <c r="B41" s="254" t="s">
        <v>2408</v>
      </c>
      <c r="C41" s="276" t="e">
        <f ca="1">ROUND(SUM(C42:C43),0)</f>
        <v>#VALUE!</v>
      </c>
      <c r="D41" s="279" t="e">
        <f ca="1">C44</f>
        <v>#VALUE!</v>
      </c>
      <c r="E41" s="280" t="s">
        <v>2405</v>
      </c>
      <c r="F41" s="281"/>
      <c r="G41" s="278" t="str">
        <f>IF('数据-取费表'!B22&lt;=1,"单利计息","复利计息")</f>
        <v>单利计息</v>
      </c>
    </row>
    <row r="42" spans="1:7" ht="13.5" customHeight="1">
      <c r="A42" s="951" t="s">
        <v>791</v>
      </c>
      <c r="B42" s="259" t="s">
        <v>2409</v>
      </c>
      <c r="C42" s="282" t="e">
        <f ca="1">ROUND(IF('数据-取费表'!B22&lt;=1,C33*F22*'数据-取费表'!B21/2,C33*(POWER((1+F22),'数据-取费表'!B21/2)-1)),0)</f>
        <v>#VALUE!</v>
      </c>
      <c r="D42" s="282"/>
      <c r="E42" s="282"/>
      <c r="F42" s="283"/>
      <c r="G42" s="3142" t="s">
        <v>2410</v>
      </c>
    </row>
    <row r="43" spans="1:7" ht="13.5" customHeight="1">
      <c r="A43" s="951" t="s">
        <v>792</v>
      </c>
      <c r="B43" s="259" t="s">
        <v>2411</v>
      </c>
      <c r="C43" s="282" t="e">
        <f ca="1">ROUND(IF('数据-取费表'!B22&lt;=1,C39*F22*'数据-取费表'!B21/2,C39*(POWER((1+F22),'数据-取费表'!B21/2)-1)),0)</f>
        <v>#VALUE!</v>
      </c>
      <c r="D43" s="282"/>
      <c r="E43" s="282"/>
      <c r="F43" s="283"/>
      <c r="G43" s="3143"/>
    </row>
    <row r="44" spans="1:7" ht="13.5" customHeight="1">
      <c r="A44" s="951" t="s">
        <v>793</v>
      </c>
      <c r="B44" s="259" t="s">
        <v>2412</v>
      </c>
      <c r="C44" s="282" t="e">
        <f ca="1">ROUND(IF('数据-取费表'!B22&lt;=1,C40*F22*'数据-取费表'!B21/2,C40*(POWER((1+F22),'数据-取费表'!B21/2)-1)),4)</f>
        <v>#VALUE!</v>
      </c>
      <c r="D44" s="282"/>
      <c r="E44" s="282"/>
      <c r="F44" s="283"/>
      <c r="G44" s="3144"/>
    </row>
    <row r="45" spans="1:7" s="258" customFormat="1" ht="13.5" customHeight="1">
      <c r="A45" s="299" t="s">
        <v>2413</v>
      </c>
      <c r="B45" s="288" t="s">
        <v>2379</v>
      </c>
      <c r="C45" s="289" t="e">
        <f ca="1">C46</f>
        <v>#DIV/0!</v>
      </c>
      <c r="D45" s="279" t="e">
        <f ca="1">C47</f>
        <v>#DIV/0!</v>
      </c>
      <c r="E45" s="280" t="s">
        <v>2405</v>
      </c>
      <c r="F45" s="290"/>
      <c r="G45" s="291" t="s">
        <v>2414</v>
      </c>
    </row>
    <row r="46" spans="1:7" s="258" customFormat="1" ht="13.5" customHeight="1">
      <c r="A46" s="951" t="s">
        <v>791</v>
      </c>
      <c r="B46" s="292" t="s">
        <v>2415</v>
      </c>
      <c r="C46" s="293" t="e">
        <f ca="1">ROUND((C33+C39)*F27,0)</f>
        <v>#DIV/0!</v>
      </c>
      <c r="D46" s="307"/>
      <c r="E46" s="280"/>
      <c r="F46" s="290"/>
      <c r="G46" s="291"/>
    </row>
    <row r="47" spans="1:7" s="258" customFormat="1" ht="13.5" customHeight="1">
      <c r="A47" s="951" t="s">
        <v>792</v>
      </c>
      <c r="B47" s="292" t="s">
        <v>2416</v>
      </c>
      <c r="C47" s="282" t="e">
        <f ca="1">ROUND(C40*F27,4)</f>
        <v>#DIV/0!</v>
      </c>
      <c r="D47" s="307"/>
      <c r="E47" s="280"/>
      <c r="F47" s="290"/>
      <c r="G47" s="291"/>
    </row>
    <row r="48" spans="1:7" s="258" customFormat="1" ht="13.5" customHeight="1">
      <c r="A48" s="299" t="s">
        <v>2378</v>
      </c>
      <c r="B48" s="254" t="s">
        <v>2417</v>
      </c>
      <c r="C48" s="1728">
        <f>ROUND(F30/(1+'数据-取费表'!C42),4)</f>
        <v>0</v>
      </c>
      <c r="D48" s="280" t="s">
        <v>2405</v>
      </c>
      <c r="E48" s="276"/>
      <c r="F48" s="281"/>
      <c r="G48" s="278" t="s">
        <v>2418</v>
      </c>
    </row>
    <row r="49" spans="1:7" ht="16.5" customHeight="1">
      <c r="A49" s="299" t="s">
        <v>2384</v>
      </c>
      <c r="B49" s="254" t="s">
        <v>2419</v>
      </c>
      <c r="C49" s="276" t="e">
        <f ca="1">ROUND((C33+C39+C41+C45)/(1-C40-D41-D45-C48),0)</f>
        <v>#VALUE!</v>
      </c>
      <c r="D49" s="276"/>
      <c r="E49" s="276"/>
      <c r="F49" s="308"/>
      <c r="G49" s="278" t="s">
        <v>2420</v>
      </c>
    </row>
    <row r="50" spans="1:7" s="302" customFormat="1" ht="24">
      <c r="A50" s="299" t="s">
        <v>2421</v>
      </c>
      <c r="B50" s="254" t="s">
        <v>2422</v>
      </c>
      <c r="C50" s="276"/>
      <c r="D50" s="276"/>
      <c r="E50" s="276"/>
      <c r="F50" s="308" t="e">
        <f>IF('数据-取费表'!B24=0,'数据-取费表'!N16,1)</f>
        <v>#DIV/0!</v>
      </c>
      <c r="G50" s="291" t="s">
        <v>2423</v>
      </c>
    </row>
    <row r="51" spans="1:7" ht="16.5" customHeight="1">
      <c r="A51" s="299" t="s">
        <v>2424</v>
      </c>
      <c r="B51" s="254" t="s">
        <v>2425</v>
      </c>
      <c r="C51" s="276" t="e">
        <f ca="1">ROUND(C49*F50,0)</f>
        <v>#VALUE!</v>
      </c>
      <c r="D51" s="276"/>
      <c r="E51" s="276"/>
      <c r="F51" s="308"/>
      <c r="G51" s="278" t="s">
        <v>2426</v>
      </c>
    </row>
    <row r="52" spans="1:7" s="252" customFormat="1" ht="16.5" thickBot="1">
      <c r="A52" s="309" t="s">
        <v>2427</v>
      </c>
      <c r="B52" s="310"/>
      <c r="C52" s="311" t="e">
        <f ca="1">C31+C51</f>
        <v>#VALUE!</v>
      </c>
      <c r="D52" s="310"/>
      <c r="E52" s="310"/>
      <c r="F52" s="310"/>
      <c r="G52" s="312"/>
    </row>
    <row r="55" spans="1:7" ht="15">
      <c r="B55" s="314" t="s">
        <v>2428</v>
      </c>
      <c r="C55" s="315"/>
    </row>
    <row r="56" spans="1:7">
      <c r="B56" s="317" t="s">
        <v>1508</v>
      </c>
      <c r="C56" s="319" t="e">
        <f ca="1">1-C57</f>
        <v>#VALUE!</v>
      </c>
    </row>
    <row r="57" spans="1:7">
      <c r="B57" s="317" t="s">
        <v>1509</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出让国有建设用地使用权预评估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9">
        <f>MATCH(B1,'数据-取费表'!A6:A16,0)+5</f>
        <v>6</v>
      </c>
      <c r="H1" s="1282" t="str">
        <f>IF(ISERROR(FIND("住宅",B1)),"非住宅","住宅")</f>
        <v>非住宅</v>
      </c>
    </row>
    <row r="2" spans="1:8" s="244" customFormat="1" ht="18" customHeight="1">
      <c r="A2" s="245" t="s">
        <v>2328</v>
      </c>
      <c r="B2" s="246" t="e">
        <f ca="1">ROUND(IF(D2="——",C52/10000,C52/10000-E2),0)</f>
        <v>#VALUE!</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t="e">
        <f ca="1">ROUND(B2*10000/(IF(B1="",'数据-汇总表'!E3,INDIRECT("'数据-取费表'!k"&amp;$G$1))),0)</f>
        <v>#VALUE!</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0</v>
      </c>
      <c r="G7" s="263"/>
    </row>
    <row r="8" spans="1:8" s="267" customFormat="1">
      <c r="A8" s="949" t="s">
        <v>2342</v>
      </c>
      <c r="B8" s="259" t="s">
        <v>2343</v>
      </c>
      <c r="C8" s="264">
        <f ca="1">IF(G8="已包含在土地购买价格中",0,C9+C10)</f>
        <v>0</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916.22</v>
      </c>
      <c r="E10" s="269">
        <f>'数据-取费表'!B28</f>
        <v>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0</v>
      </c>
      <c r="D19" s="1036">
        <f ca="1">D9+D10</f>
        <v>916.22</v>
      </c>
      <c r="E19" s="255">
        <f>'数据-取费表'!B31</f>
        <v>0</v>
      </c>
      <c r="F19" s="275"/>
      <c r="G19" s="2553"/>
    </row>
    <row r="20" spans="1:7" s="258" customFormat="1" ht="13.5" customHeight="1">
      <c r="A20" s="299" t="s">
        <v>2440</v>
      </c>
      <c r="B20" s="254" t="s">
        <v>2441</v>
      </c>
      <c r="C20" s="276">
        <f ca="1">ROUND((C5+C19)*F20,0)</f>
        <v>0</v>
      </c>
      <c r="D20" s="276"/>
      <c r="E20" s="276"/>
      <c r="F20" s="277">
        <f>'数据-取费表'!B37</f>
        <v>0</v>
      </c>
      <c r="G20" s="278" t="s">
        <v>2442</v>
      </c>
    </row>
    <row r="21" spans="1:7" s="258" customFormat="1" ht="13.5" customHeight="1">
      <c r="A21" s="299" t="s">
        <v>2443</v>
      </c>
      <c r="B21" s="254" t="s">
        <v>2444</v>
      </c>
      <c r="C21" s="279">
        <f>F21</f>
        <v>0</v>
      </c>
      <c r="D21" s="280" t="s">
        <v>2445</v>
      </c>
      <c r="E21" s="276"/>
      <c r="F21" s="277">
        <f>'数据-取费表'!B38</f>
        <v>0</v>
      </c>
      <c r="G21" s="278" t="s">
        <v>2446</v>
      </c>
    </row>
    <row r="22" spans="1:7" s="258" customFormat="1" ht="13.5" customHeight="1">
      <c r="A22" s="299" t="s">
        <v>2447</v>
      </c>
      <c r="B22" s="254" t="s">
        <v>2448</v>
      </c>
      <c r="C22" s="1380" t="e">
        <f ca="1">ROUND(SUM(C23:C25),0)</f>
        <v>#VALUE!</v>
      </c>
      <c r="D22" s="279" t="e">
        <f ca="1">C26</f>
        <v>#VALUE!</v>
      </c>
      <c r="E22" s="280" t="s">
        <v>2445</v>
      </c>
      <c r="F22" s="281" t="e">
        <f ca="1">'数据-取费表'!B40</f>
        <v>#VALUE!</v>
      </c>
      <c r="G22" s="278" t="str">
        <f>IF('数据-取费表'!B22&lt;=1,"单利计息","复利计息")</f>
        <v>单利计息</v>
      </c>
    </row>
    <row r="23" spans="1:7" s="258" customFormat="1" ht="13.5" customHeight="1">
      <c r="A23" s="951" t="s">
        <v>2338</v>
      </c>
      <c r="B23" s="259" t="s">
        <v>2449</v>
      </c>
      <c r="C23" s="1381" t="e">
        <f ca="1">ROUND(IF('数据-取费表'!B22&lt;=1,C5*F22*'数据-取费表'!B22,C5*(POWER((1+F22),'数据-取费表'!B22)-1)),0)</f>
        <v>#VALUE!</v>
      </c>
      <c r="D23" s="282"/>
      <c r="E23" s="282"/>
      <c r="F23" s="283"/>
      <c r="G23" s="284" t="s">
        <v>2450</v>
      </c>
    </row>
    <row r="24" spans="1:7" s="258" customFormat="1" ht="13.5" customHeight="1">
      <c r="A24" s="951" t="s">
        <v>2340</v>
      </c>
      <c r="B24" s="259" t="s">
        <v>2451</v>
      </c>
      <c r="C24" s="1381" t="e">
        <f ca="1">ROUND(IF('数据-取费表'!B22&lt;=1,C19*F22*('数据-取费表'!B19/2+'数据-取费表'!B20),C19*(POWER((1+F22),('数据-取费表'!B19/2+'数据-取费表'!B20))-1)),0)</f>
        <v>#VALUE!</v>
      </c>
      <c r="D24" s="282"/>
      <c r="E24" s="282"/>
      <c r="F24" s="283"/>
      <c r="G24" s="284" t="s">
        <v>2452</v>
      </c>
    </row>
    <row r="25" spans="1:7" s="258" customFormat="1" ht="24">
      <c r="A25" s="951" t="s">
        <v>2342</v>
      </c>
      <c r="B25" s="259" t="s">
        <v>2453</v>
      </c>
      <c r="C25" s="1381" t="e">
        <f ca="1">ROUND(IF('数据-取费表'!B22&lt;=1,C20*F22*'数据-取费表'!B22/2,C20*(POWER((1+F22),'数据-取费表'!B22/2)-1)),0)</f>
        <v>#VALUE!</v>
      </c>
      <c r="D25" s="282"/>
      <c r="E25" s="285"/>
      <c r="F25" s="283"/>
      <c r="G25" s="286" t="s">
        <v>2454</v>
      </c>
    </row>
    <row r="26" spans="1:7" s="258" customFormat="1">
      <c r="A26" s="951" t="s">
        <v>795</v>
      </c>
      <c r="B26" s="259" t="s">
        <v>2377</v>
      </c>
      <c r="C26" s="282" t="e">
        <f ca="1">ROUND(IF('数据-取费表'!B22&lt;=1,F21*F22*'数据-取费表'!B22/2,F21*(POWER((1+F22),'数据-取费表'!B22/2)-1)),4)</f>
        <v>#VALUE!</v>
      </c>
      <c r="D26" s="282"/>
      <c r="E26" s="285"/>
      <c r="F26" s="283"/>
      <c r="G26" s="287"/>
    </row>
    <row r="27" spans="1:7" s="258" customFormat="1" ht="24.75">
      <c r="A27" s="299" t="s">
        <v>2378</v>
      </c>
      <c r="B27" s="288" t="s">
        <v>2379</v>
      </c>
      <c r="C27" s="289" t="e">
        <f ca="1">C28</f>
        <v>#DIV/0!</v>
      </c>
      <c r="D27" s="279" t="e">
        <f ca="1">C29</f>
        <v>#DIV/0!</v>
      </c>
      <c r="E27" s="280" t="s">
        <v>2380</v>
      </c>
      <c r="F27" s="290" t="e">
        <f ca="1">IF(B1="",'数据-取费表'!Q16,INDIRECT("'数据-取费表'!q"&amp;$G$1))</f>
        <v>#DIV/0!</v>
      </c>
      <c r="G27" s="291" t="s">
        <v>2381</v>
      </c>
    </row>
    <row r="28" spans="1:7" s="258" customFormat="1" ht="13.5" customHeight="1">
      <c r="A28" s="951" t="s">
        <v>791</v>
      </c>
      <c r="B28" s="292" t="s">
        <v>2382</v>
      </c>
      <c r="C28" s="293" t="e">
        <f ca="1">ROUND((C5+C19+C20)*F27,0)</f>
        <v>#DIV/0!</v>
      </c>
      <c r="D28" s="279"/>
      <c r="E28" s="280"/>
      <c r="F28" s="290"/>
      <c r="G28" s="291"/>
    </row>
    <row r="29" spans="1:7" s="258" customFormat="1" ht="13.5" customHeight="1">
      <c r="A29" s="951" t="s">
        <v>792</v>
      </c>
      <c r="B29" s="292" t="s">
        <v>2383</v>
      </c>
      <c r="C29" s="282" t="e">
        <f ca="1">ROUND(C21*F27,4)</f>
        <v>#DIV/0!</v>
      </c>
      <c r="D29" s="279"/>
      <c r="E29" s="280"/>
      <c r="F29" s="290"/>
      <c r="G29" s="291"/>
    </row>
    <row r="30" spans="1:7" s="258" customFormat="1" ht="13.5" customHeight="1">
      <c r="A30" s="299" t="s">
        <v>2384</v>
      </c>
      <c r="B30" s="254" t="s">
        <v>2385</v>
      </c>
      <c r="C30" s="279">
        <f>ROUND(F30/(1+'数据-取费表'!C42),4)</f>
        <v>0</v>
      </c>
      <c r="D30" s="280" t="s">
        <v>2380</v>
      </c>
      <c r="E30" s="285"/>
      <c r="F30" s="281">
        <f>'数据-取费表'!B41</f>
        <v>0</v>
      </c>
      <c r="G30" s="278" t="s">
        <v>2386</v>
      </c>
    </row>
    <row r="31" spans="1:7" ht="16.5" customHeight="1">
      <c r="A31" s="253">
        <v>1</v>
      </c>
      <c r="B31" s="254" t="s">
        <v>2387</v>
      </c>
      <c r="C31" s="255" t="e">
        <f ca="1">ROUND((C5+C19+C20+C22+C27)/(1-C21-D22-D27-C30),0)</f>
        <v>#VALUE!</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0</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2393</v>
      </c>
      <c r="C35" s="264">
        <f ca="1">ROUND(C34*F35,0)</f>
        <v>0</v>
      </c>
      <c r="D35" s="264"/>
      <c r="E35" s="264"/>
      <c r="F35" s="303">
        <f>'数据-取费表'!B33</f>
        <v>0</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0</v>
      </c>
      <c r="D37" s="261">
        <f ca="1">D19</f>
        <v>916.22</v>
      </c>
      <c r="E37" s="293">
        <f>'数据-取费表'!B35</f>
        <v>0</v>
      </c>
      <c r="F37" s="303"/>
      <c r="G37" s="305"/>
    </row>
    <row r="38" spans="1:7" ht="13.5" customHeight="1">
      <c r="A38" s="951" t="s">
        <v>799</v>
      </c>
      <c r="B38" s="259" t="s">
        <v>2399</v>
      </c>
      <c r="C38" s="264">
        <f ca="1">ROUND(C34*F38,0)</f>
        <v>0</v>
      </c>
      <c r="D38" s="264"/>
      <c r="E38" s="264"/>
      <c r="F38" s="303">
        <f>'数据-取费表'!B36</f>
        <v>0</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8">
        <f>F21</f>
        <v>0</v>
      </c>
      <c r="D40" s="280" t="s">
        <v>2405</v>
      </c>
      <c r="E40" s="276"/>
      <c r="F40" s="277"/>
      <c r="G40" s="278" t="s">
        <v>2406</v>
      </c>
    </row>
    <row r="41" spans="1:7" s="258" customFormat="1" ht="13.5" customHeight="1">
      <c r="A41" s="299" t="s">
        <v>2407</v>
      </c>
      <c r="B41" s="254" t="s">
        <v>2408</v>
      </c>
      <c r="C41" s="276" t="e">
        <f ca="1">ROUND(SUM(C42:C43),0)</f>
        <v>#VALUE!</v>
      </c>
      <c r="D41" s="279" t="e">
        <f ca="1">C44</f>
        <v>#VALUE!</v>
      </c>
      <c r="E41" s="280" t="s">
        <v>2405</v>
      </c>
      <c r="F41" s="281"/>
      <c r="G41" s="278" t="str">
        <f>IF('数据-取费表'!B22&lt;=1,"单利计息","复利计息")</f>
        <v>单利计息</v>
      </c>
    </row>
    <row r="42" spans="1:7" ht="13.5" customHeight="1">
      <c r="A42" s="951" t="s">
        <v>791</v>
      </c>
      <c r="B42" s="259" t="s">
        <v>2409</v>
      </c>
      <c r="C42" s="282" t="e">
        <f ca="1">ROUND(IF('数据-取费表'!B22&lt;=1,C33*F22*'数据-取费表'!B20/2,C33*(POWER((1+F22),'数据-取费表'!B20/2)-1)),0)</f>
        <v>#VALUE!</v>
      </c>
      <c r="D42" s="282"/>
      <c r="E42" s="282"/>
      <c r="F42" s="283"/>
      <c r="G42" s="3142" t="s">
        <v>2457</v>
      </c>
    </row>
    <row r="43" spans="1:7" ht="13.5" customHeight="1">
      <c r="A43" s="951" t="s">
        <v>792</v>
      </c>
      <c r="B43" s="259" t="s">
        <v>2411</v>
      </c>
      <c r="C43" s="282" t="e">
        <f ca="1">ROUND(IF('数据-取费表'!B22&lt;=1,C39*F22*'数据-取费表'!B20/2,C39*(POWER((1+F22),'数据-取费表'!B20/2)-1)),0)</f>
        <v>#VALUE!</v>
      </c>
      <c r="D43" s="282"/>
      <c r="E43" s="282"/>
      <c r="F43" s="283"/>
      <c r="G43" s="3143"/>
    </row>
    <row r="44" spans="1:7" ht="13.5" customHeight="1">
      <c r="A44" s="951" t="s">
        <v>793</v>
      </c>
      <c r="B44" s="259" t="s">
        <v>2412</v>
      </c>
      <c r="C44" s="282" t="e">
        <f ca="1">ROUND(IF('数据-取费表'!B22&lt;=1,C40*F22*'数据-取费表'!B20/2,C40*(POWER((1+F22),'数据-取费表'!B20/2)-1)),4)</f>
        <v>#VALUE!</v>
      </c>
      <c r="D44" s="282"/>
      <c r="E44" s="282"/>
      <c r="F44" s="283"/>
      <c r="G44" s="3144"/>
    </row>
    <row r="45" spans="1:7" s="258" customFormat="1" ht="13.5" customHeight="1">
      <c r="A45" s="299" t="s">
        <v>2413</v>
      </c>
      <c r="B45" s="288" t="s">
        <v>2379</v>
      </c>
      <c r="C45" s="289" t="e">
        <f ca="1">C46</f>
        <v>#DIV/0!</v>
      </c>
      <c r="D45" s="279" t="e">
        <f ca="1">C47</f>
        <v>#DIV/0!</v>
      </c>
      <c r="E45" s="280" t="s">
        <v>2405</v>
      </c>
      <c r="F45" s="290"/>
      <c r="G45" s="291" t="s">
        <v>2414</v>
      </c>
    </row>
    <row r="46" spans="1:7" s="258" customFormat="1" ht="13.5" customHeight="1">
      <c r="A46" s="951" t="s">
        <v>791</v>
      </c>
      <c r="B46" s="292" t="s">
        <v>2415</v>
      </c>
      <c r="C46" s="293" t="e">
        <f ca="1">ROUND((C33+C39)*F27,0)</f>
        <v>#DIV/0!</v>
      </c>
      <c r="D46" s="307"/>
      <c r="E46" s="280"/>
      <c r="F46" s="290"/>
      <c r="G46" s="291"/>
    </row>
    <row r="47" spans="1:7" s="258" customFormat="1" ht="13.5" customHeight="1">
      <c r="A47" s="951" t="s">
        <v>792</v>
      </c>
      <c r="B47" s="292" t="s">
        <v>2416</v>
      </c>
      <c r="C47" s="282" t="e">
        <f ca="1">ROUND(C40*F27,4)</f>
        <v>#DIV/0!</v>
      </c>
      <c r="D47" s="307"/>
      <c r="E47" s="280"/>
      <c r="F47" s="290"/>
      <c r="G47" s="291"/>
    </row>
    <row r="48" spans="1:7" s="258" customFormat="1" ht="13.5" customHeight="1">
      <c r="A48" s="299" t="s">
        <v>2378</v>
      </c>
      <c r="B48" s="254" t="s">
        <v>2417</v>
      </c>
      <c r="C48" s="306">
        <f>ROUND(F30/(1+'数据-取费表'!C42),4)</f>
        <v>0</v>
      </c>
      <c r="D48" s="280" t="s">
        <v>2405</v>
      </c>
      <c r="E48" s="276"/>
      <c r="F48" s="281"/>
      <c r="G48" s="278" t="s">
        <v>2418</v>
      </c>
    </row>
    <row r="49" spans="1:7" ht="16.5" customHeight="1">
      <c r="A49" s="299" t="s">
        <v>2384</v>
      </c>
      <c r="B49" s="254" t="s">
        <v>2458</v>
      </c>
      <c r="C49" s="276" t="e">
        <f ca="1">ROUND((C33+C39+C41+C45)/(1-C40-D41-D45-C48),0)</f>
        <v>#VALUE!</v>
      </c>
      <c r="D49" s="276"/>
      <c r="E49" s="276"/>
      <c r="F49" s="308"/>
      <c r="G49" s="278" t="s">
        <v>2420</v>
      </c>
    </row>
    <row r="50" spans="1:7" s="302" customFormat="1">
      <c r="A50" s="299" t="s">
        <v>2421</v>
      </c>
      <c r="B50" s="254" t="s">
        <v>2422</v>
      </c>
      <c r="C50" s="276"/>
      <c r="D50" s="276"/>
      <c r="E50" s="276"/>
      <c r="F50" s="308" t="e">
        <f>IF('数据-取费表'!B24=0,'数据-取费表'!N16,1)</f>
        <v>#DIV/0!</v>
      </c>
      <c r="G50" s="291"/>
    </row>
    <row r="51" spans="1:7" ht="16.5" customHeight="1">
      <c r="A51" s="299" t="s">
        <v>2424</v>
      </c>
      <c r="B51" s="254" t="s">
        <v>2459</v>
      </c>
      <c r="C51" s="276" t="e">
        <f ca="1">ROUND(C49*F50,0)</f>
        <v>#VALUE!</v>
      </c>
      <c r="D51" s="276"/>
      <c r="E51" s="276"/>
      <c r="F51" s="308"/>
      <c r="G51" s="278" t="s">
        <v>2426</v>
      </c>
    </row>
    <row r="52" spans="1:7" s="252" customFormat="1" ht="16.5" thickBot="1">
      <c r="A52" s="309" t="s">
        <v>2427</v>
      </c>
      <c r="B52" s="310"/>
      <c r="C52" s="311" t="e">
        <f ca="1">C31+C51</f>
        <v>#VALUE!</v>
      </c>
      <c r="D52" s="310"/>
      <c r="E52" s="310"/>
      <c r="F52" s="310"/>
      <c r="G52" s="312"/>
    </row>
    <row r="55" spans="1:7" ht="15">
      <c r="B55" s="314" t="s">
        <v>2428</v>
      </c>
      <c r="C55" s="315"/>
    </row>
    <row r="56" spans="1:7">
      <c r="B56" s="317" t="s">
        <v>1508</v>
      </c>
      <c r="C56" s="319" t="e">
        <f ca="1">1-C57</f>
        <v>#VALUE!</v>
      </c>
    </row>
    <row r="57" spans="1:7">
      <c r="B57" s="317" t="s">
        <v>1509</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6</v>
      </c>
    </row>
    <row r="2" spans="1:33" ht="18" customHeight="1">
      <c r="A2" s="245" t="s">
        <v>2328</v>
      </c>
      <c r="B2" s="248" t="e">
        <f ca="1">C32</f>
        <v>#VALUE!</v>
      </c>
      <c r="C2" s="320" t="s">
        <v>2461</v>
      </c>
      <c r="D2" s="320"/>
      <c r="E2" s="320"/>
      <c r="F2" s="320"/>
      <c r="G2" s="320"/>
      <c r="H2" s="320"/>
      <c r="I2" s="320"/>
      <c r="J2" s="320"/>
      <c r="K2" s="320"/>
    </row>
    <row r="3" spans="1:33" ht="18" customHeight="1" thickBot="1">
      <c r="A3" s="247" t="s">
        <v>2330</v>
      </c>
      <c r="B3" s="248" t="e">
        <f ca="1">ROUND(B2*10000/IF(C1="",'数据-汇总表'!E3,INDIRECT("'数据-取费表'!K"&amp;$K$1)),0)</f>
        <v>#VALUE!</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7" t="s">
        <v>2466</v>
      </c>
      <c r="D5" s="2557" t="s">
        <v>2467</v>
      </c>
      <c r="E5" s="2557" t="s">
        <v>2468</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916.22</v>
      </c>
      <c r="E14" s="24">
        <f>'数据-取费表'!B35</f>
        <v>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0</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916.22</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9"/>
      <c r="H18" s="1577"/>
      <c r="I18" s="2560"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916.22</v>
      </c>
      <c r="E20" s="24">
        <f>'数据-取费表'!B28</f>
        <v>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v>
      </c>
      <c r="G23" s="8" t="s">
        <v>2502</v>
      </c>
      <c r="H23" s="968"/>
      <c r="I23" s="968"/>
      <c r="J23" s="968"/>
      <c r="K23" s="969"/>
    </row>
    <row r="24" spans="1:33" s="975" customFormat="1" ht="13.5" customHeight="1">
      <c r="A24" s="961" t="s">
        <v>2503</v>
      </c>
      <c r="B24" s="985" t="s">
        <v>2504</v>
      </c>
      <c r="C24" s="324">
        <f>ROUND(F24/(1+'数据-取费表'!C42),4)</f>
        <v>0</v>
      </c>
      <c r="D24" s="325" t="s">
        <v>15</v>
      </c>
      <c r="E24" s="325"/>
      <c r="F24" s="988">
        <f>IF(项目基本情况!B8="出让",0,'数据-取费表'!B48+'数据-取费表'!B49)</f>
        <v>0</v>
      </c>
      <c r="G24" s="8" t="s">
        <v>2505</v>
      </c>
      <c r="H24" s="990"/>
      <c r="I24" s="990"/>
      <c r="J24" s="990"/>
      <c r="K24" s="991"/>
    </row>
    <row r="25" spans="1:33" s="975" customFormat="1" ht="13.5" customHeight="1">
      <c r="A25" s="961" t="s">
        <v>2506</v>
      </c>
      <c r="B25" s="987" t="s">
        <v>2507</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t="e">
        <f ca="1">ROUND(IF('数据-取费表'!B22&lt;=1,(1+C24)*F25*'数据-取费表'!B24,(1+C24)*(POWER((1+F25),'数据-取费表'!B24)-1)),4)</f>
        <v>#VALUE!</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t="e">
        <f ca="1">ROUND(IF('数据-取费表'!B22&lt;=1,(C21+C22+C23)*F25*'数据-取费表'!B24/2,(C21+C22+C23)*(POWER((1+F25),'数据-取费表'!B24/2)-1)),0)</f>
        <v>#VALUE!</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2510</v>
      </c>
      <c r="B28" s="2562" t="s">
        <v>2511</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2512</v>
      </c>
      <c r="C29" s="328" t="e">
        <f ca="1">ROUND((1+C24)*F28*'数据-取费表'!B24/'数据-取费表'!B20,4)</f>
        <v>#DIV/0!</v>
      </c>
      <c r="D29" s="328"/>
      <c r="E29" s="329"/>
      <c r="F29" s="334"/>
      <c r="G29" s="140" t="s">
        <v>2513</v>
      </c>
      <c r="H29" s="979"/>
      <c r="I29" s="979"/>
      <c r="J29" s="979"/>
      <c r="K29" s="980"/>
    </row>
    <row r="30" spans="1:33" s="335" customFormat="1" ht="13.5" customHeight="1">
      <c r="A30" s="971" t="s">
        <v>804</v>
      </c>
      <c r="B30" s="994" t="s">
        <v>2514</v>
      </c>
      <c r="C30" s="336" t="e">
        <f ca="1">ROUND((C21+C22+C23)*F28,0)</f>
        <v>#DIV/0!</v>
      </c>
      <c r="D30" s="328"/>
      <c r="E30" s="329"/>
      <c r="F30" s="334"/>
      <c r="G30" s="140"/>
      <c r="H30" s="979"/>
      <c r="I30" s="979"/>
      <c r="J30" s="979"/>
      <c r="K30" s="980"/>
    </row>
    <row r="31" spans="1:33" s="975" customFormat="1" ht="13.5" customHeight="1" thickBot="1">
      <c r="A31" s="2563" t="s">
        <v>2515</v>
      </c>
      <c r="B31" s="1005" t="s">
        <v>2516</v>
      </c>
      <c r="C31" s="1006">
        <f>ROUND(C4*F31/(1+'数据-取费表'!C42),0)</f>
        <v>0</v>
      </c>
      <c r="D31" s="1007"/>
      <c r="E31" s="1008"/>
      <c r="F31" s="1009">
        <f>'数据-取费表'!B41</f>
        <v>0</v>
      </c>
      <c r="G31" s="1010" t="s">
        <v>2517</v>
      </c>
      <c r="H31" s="1011"/>
      <c r="I31" s="1011"/>
      <c r="J31" s="1011"/>
      <c r="K31" s="1012"/>
    </row>
    <row r="32" spans="1:33" s="970" customFormat="1" ht="13.5" customHeight="1" thickBot="1">
      <c r="A32" s="1000" t="s">
        <v>2518</v>
      </c>
      <c r="B32" s="1001"/>
      <c r="C32" s="1002" t="e">
        <f ca="1">ROUND((C4-C21-C22-C23-C25-C28-C31)/(1+C24+D25+D28),0)</f>
        <v>#VALUE!</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#VALUE!</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7" t="s">
        <v>1398</v>
      </c>
      <c r="C6" s="1296">
        <f ca="1">ROUND(F6*F8*F7*(1-F9)/10000,0)</f>
        <v>0</v>
      </c>
      <c r="D6" s="164" t="s">
        <v>3031</v>
      </c>
      <c r="E6" s="347" t="s">
        <v>1400</v>
      </c>
      <c r="F6" s="348">
        <f ca="1">INDIRECT("'数据-取费表'!u"&amp;$G$1)</f>
        <v>0</v>
      </c>
      <c r="G6" s="1851"/>
      <c r="H6" s="1291" t="s">
        <v>1032</v>
      </c>
      <c r="I6" s="3147" t="s">
        <v>1398</v>
      </c>
      <c r="J6" s="346">
        <f ca="1">ROUND(M6*M8*M7*(1-M9)/10000,0)</f>
        <v>0</v>
      </c>
      <c r="K6" s="164" t="s">
        <v>3030</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#VALUE!</v>
      </c>
      <c r="D13" s="1331" t="s">
        <v>1410</v>
      </c>
      <c r="E13" s="1331" t="s">
        <v>1411</v>
      </c>
      <c r="F13" s="1332">
        <f ca="1">INDIRECT("'数据-取费表'!y"&amp;$G$1)</f>
        <v>0</v>
      </c>
      <c r="G13" s="1851"/>
      <c r="H13" s="1329">
        <v>2</v>
      </c>
      <c r="I13" s="1330" t="s">
        <v>1409</v>
      </c>
      <c r="J13" s="1290" t="e">
        <f ca="1">ROUND(J14*J15,0)</f>
        <v>#VALUE!</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t="e">
        <f ca="1">C29</f>
        <v>#VALUE!</v>
      </c>
      <c r="K14" s="15"/>
      <c r="L14" s="979"/>
      <c r="M14" s="980"/>
    </row>
    <row r="15" spans="1:37" s="1858" customFormat="1" ht="18" customHeight="1" thickBot="1">
      <c r="A15" s="1201" t="s">
        <v>1033</v>
      </c>
      <c r="B15" s="347" t="s">
        <v>1415</v>
      </c>
      <c r="C15" s="24">
        <f ca="1">ROUND(C14*F15,0)</f>
        <v>0</v>
      </c>
      <c r="D15" s="365" t="s">
        <v>1416</v>
      </c>
      <c r="E15" s="365" t="s">
        <v>1417</v>
      </c>
      <c r="F15" s="366">
        <f>'数据-取费表'!B33</f>
        <v>0</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t="e">
        <f ca="1">ROUND(J17+J22+J23+J24,0)</f>
        <v>#VALUE!</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0</v>
      </c>
      <c r="G17" s="1854"/>
      <c r="H17" s="1201" t="s">
        <v>1032</v>
      </c>
      <c r="I17" s="347" t="s">
        <v>1424</v>
      </c>
      <c r="J17" s="24" t="e">
        <f ca="1">ROUND(IF(项目基本情况!B11="自然人",J6*M17/(1+'数据-取费表'!C42),J18+J19+J20),1)</f>
        <v>#VALUE!</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0</v>
      </c>
      <c r="G18" s="1854"/>
      <c r="H18" s="1201" t="s">
        <v>1031</v>
      </c>
      <c r="I18" s="347" t="s">
        <v>1428</v>
      </c>
      <c r="J18" s="24">
        <f ca="1">ROUND(J6*M18/(1+'数据-取费表'!C42),2)</f>
        <v>0</v>
      </c>
      <c r="K18" s="1798" t="s">
        <v>1429</v>
      </c>
      <c r="L18" s="347" t="s">
        <v>1417</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t="e">
        <f ca="1">IF(K19="按租金收入计税",ROUND(J6*M19/(1+'数据-取费表'!C42),2),ROUND(C29*M19*0.7,2))</f>
        <v>#VALUE!</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t="e">
        <f ca="1">ROUND(J14*M22,1)</f>
        <v>#VALUE!</v>
      </c>
      <c r="K22" s="1798" t="s">
        <v>1445</v>
      </c>
      <c r="L22" s="347" t="s">
        <v>1417</v>
      </c>
      <c r="M22" s="374">
        <f ca="1">INDIRECT("'数据-取费表'!Ak"&amp;$G$1)</f>
        <v>0</v>
      </c>
    </row>
    <row r="23" spans="1:37" s="1858" customFormat="1" ht="18" customHeight="1">
      <c r="A23" s="1201" t="s">
        <v>1031</v>
      </c>
      <c r="B23" s="347" t="s">
        <v>1446</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1447</v>
      </c>
      <c r="F23" s="371">
        <f>'数据-取费表'!B20</f>
        <v>0</v>
      </c>
      <c r="G23" s="1854"/>
      <c r="H23" s="1201" t="s">
        <v>1072</v>
      </c>
      <c r="I23" s="347" t="s">
        <v>1448</v>
      </c>
      <c r="J23" s="24" t="e">
        <f ca="1">ROUND(J13*M23,1)</f>
        <v>#VALUE!</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t="e">
        <f ca="1">ROUND(IF('数据-取费表'!B22&lt;=1,F21*F24*F23/2,F21*(POWER((1+F24),F23/2)-1)),4)</f>
        <v>#VALUE!</v>
      </c>
      <c r="D24" s="375" t="str">
        <f>IF(F23&lt;=1,"销售费用×利率×(建设周期÷2)","销售费用×((1+利率)^(建设周期÷2)-1)")</f>
        <v>销售费用×利率×(建设周期÷2)</v>
      </c>
      <c r="E24" s="347" t="s">
        <v>1453</v>
      </c>
      <c r="F24" s="377" t="e">
        <f ca="1">'数据-取费表'!B40</f>
        <v>#VALUE!</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t="e">
        <f ca="1">J5-J16</f>
        <v>#VALUE!</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0</v>
      </c>
      <c r="D28" s="369" t="s">
        <v>1471</v>
      </c>
      <c r="E28" s="347" t="s">
        <v>1417</v>
      </c>
      <c r="F28" s="367">
        <f>'数据-取费表'!B41</f>
        <v>0</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#VALUE!</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#VALUE!</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ROUND(IF(项目基本情况!B11="自然人",C6*F31/(1+'数据-取费表'!C42),C32+C33+C34),1)</f>
        <v>#VALUE!</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0</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#VALUE!</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t="e">
        <f ca="1">ROUND(C29*F36,1)</f>
        <v>#VALUE!</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t="e">
        <f ca="1">ROUND(C13*F37,1)</f>
        <v>#VALUE!</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t="e">
        <f ca="1">C5-C30</f>
        <v>#VALUE!</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#VALUE!</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#VALUE!</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e">
        <f ca="1">IF(M47="住宅",0,IF(L48&gt;J51,L60,J60))</f>
        <v>#VALUE!</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t="e">
        <f ca="1">C40+J29</f>
        <v>#VALUE!</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29.8</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t="e">
        <f ca="1">C29</f>
        <v>#VALUE!</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t="e">
        <f ca="1">ROUND(-PV(INDIRECT("'数据-取费表'!h"&amp;$G$1),L48,(C39-C13*C76),0),0)</f>
        <v>#VALUE!</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53">
        <f ca="1">IF(M47="住宅",IF(D1="——",MAX(J51,L48),MAX(J51,L48-'数据-取费表'!B24)),IF(D1="——",MIN(J51,L48),MIN(J51,L48-'数据-取费表'!B24)))</f>
        <v>0</v>
      </c>
      <c r="K53" s="3145" t="s">
        <v>1543</v>
      </c>
      <c r="L53" s="3146"/>
      <c r="O53" s="1884" t="s">
        <v>1043</v>
      </c>
      <c r="P53" s="1885" t="s">
        <v>1544</v>
      </c>
      <c r="Q53" s="1886" t="e">
        <f ca="1">Q47+Q48</f>
        <v>#VALUE!</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t="e">
        <f ca="1">C13</f>
        <v>#VALUE!</v>
      </c>
      <c r="D56" s="1913"/>
      <c r="E56" s="1914"/>
      <c r="F56" s="1906"/>
      <c r="I56" s="1915" t="s">
        <v>1549</v>
      </c>
      <c r="J56" s="1916"/>
      <c r="K56" s="1887" t="s">
        <v>1550</v>
      </c>
      <c r="L56" s="1890">
        <f ca="1">IF(L48&lt;J51,"——",L48-J53)</f>
        <v>29.8</v>
      </c>
      <c r="O56" s="1884" t="s">
        <v>1037</v>
      </c>
      <c r="P56" s="1885" t="s">
        <v>1523</v>
      </c>
      <c r="Q56" s="1886" t="e">
        <f ca="1">C40+J29</f>
        <v>#VALUE!</v>
      </c>
      <c r="R56" s="1886" t="s">
        <v>1524</v>
      </c>
    </row>
    <row r="57" spans="1:18" s="1842" customFormat="1" ht="24.75" thickBot="1">
      <c r="A57" s="1917"/>
      <c r="B57" s="1169" t="s">
        <v>1473</v>
      </c>
      <c r="C57" s="282" t="e">
        <f ca="1">C29</f>
        <v>#VALUE!</v>
      </c>
      <c r="D57" s="1918"/>
      <c r="E57" s="1919"/>
      <c r="F57" s="1920"/>
      <c r="I57" s="1921" t="s">
        <v>1551</v>
      </c>
      <c r="J57" s="1922" t="str">
        <f ca="1">IF(OR(M47="住宅",J51&lt;L48,J56="是"),"——",J51-L48)</f>
        <v>——</v>
      </c>
      <c r="K57" s="1887" t="s">
        <v>1552</v>
      </c>
      <c r="L57" s="1890" t="e">
        <f ca="1">IF(L48&lt;J51,"——",IF(L55="比较法",L49,IF(L55="基准地价",L50,L51)))</f>
        <v>#VALUE!</v>
      </c>
      <c r="O57" s="1884" t="s">
        <v>1038</v>
      </c>
      <c r="P57" s="1885" t="s">
        <v>1553</v>
      </c>
      <c r="Q57" s="1886" t="e">
        <f ca="1">L60</f>
        <v>#VALUE!</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0</v>
      </c>
      <c r="I60" s="1924" t="s">
        <v>1560</v>
      </c>
      <c r="J60" s="1925" t="str">
        <f ca="1">IF(OR(M47="住宅",J51&lt;L48,J56="是"),"0",ROUND(J59/(1+J52)^J53,0))</f>
        <v>0</v>
      </c>
      <c r="K60" s="1926" t="s">
        <v>1561</v>
      </c>
      <c r="L60" s="1925" t="e">
        <f ca="1">IF(OR(M47="住宅",L48&lt;J51),0,ROUND(L57*(L58/L59-1),0))</f>
        <v>#VALUE!</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#VALUE!</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ROUND(C57*F64,1)</f>
        <v>#VALUE!</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ROUND(C56*F65,1)</f>
        <v>#VALUE!</v>
      </c>
      <c r="D65" s="1183" t="s">
        <v>1449</v>
      </c>
      <c r="E65" s="1169" t="s">
        <v>1450</v>
      </c>
      <c r="F65" s="376">
        <f t="shared" ca="1" si="0"/>
        <v>0</v>
      </c>
      <c r="I65" s="1928" t="s">
        <v>1574</v>
      </c>
      <c r="J65" s="1929">
        <v>40</v>
      </c>
      <c r="K65" s="1929">
        <v>30</v>
      </c>
      <c r="L65" s="1929">
        <v>50</v>
      </c>
      <c r="M65" s="1931">
        <v>0.02</v>
      </c>
      <c r="O65" s="1884" t="s">
        <v>1037</v>
      </c>
      <c r="P65" s="1885" t="s">
        <v>1575</v>
      </c>
      <c r="Q65" s="1886" t="e">
        <f ca="1">C40+J29</f>
        <v>#VALUE!</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#VALUE!</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t="e">
        <f ca="1">L51</f>
        <v>#VALUE!</v>
      </c>
      <c r="R67" s="1886" t="s">
        <v>1577</v>
      </c>
    </row>
    <row r="68" spans="1:18" s="1842" customFormat="1" ht="16.5" thickBot="1">
      <c r="A68" s="1166" t="s">
        <v>1029</v>
      </c>
      <c r="B68" s="1167" t="s">
        <v>1480</v>
      </c>
      <c r="C68" s="346" t="e">
        <f ca="1">ROUND(C67*(1-((1+F70)/(1+F68))^F69)/(F68-F70),0)</f>
        <v>#VALUE!</v>
      </c>
      <c r="D68" s="1184" t="s">
        <v>1464</v>
      </c>
      <c r="E68" s="1169" t="s">
        <v>1465</v>
      </c>
      <c r="F68" s="357">
        <f ca="1">F40</f>
        <v>0</v>
      </c>
      <c r="O68" s="1894" t="s">
        <v>1040</v>
      </c>
      <c r="P68" s="1933" t="s">
        <v>1578</v>
      </c>
      <c r="Q68" s="1886" t="e">
        <f ca="1">ROUND(Q69-Q70*Q71,0)</f>
        <v>#VALUE!</v>
      </c>
      <c r="R68" s="1886" t="s">
        <v>1048</v>
      </c>
    </row>
    <row r="69" spans="1:18" s="1842" customFormat="1" ht="13.5" thickBot="1">
      <c r="A69" s="1170"/>
      <c r="B69" s="1171"/>
      <c r="C69" s="351"/>
      <c r="D69" s="1189" t="s">
        <v>1468</v>
      </c>
      <c r="E69" s="1169" t="s">
        <v>1469</v>
      </c>
      <c r="F69" s="379">
        <f ca="1">F41</f>
        <v>0</v>
      </c>
      <c r="O69" s="1894" t="s">
        <v>1045</v>
      </c>
      <c r="P69" s="1933" t="s">
        <v>1579</v>
      </c>
      <c r="Q69" s="1886" t="e">
        <f ca="1">C39</f>
        <v>#VALUE!</v>
      </c>
      <c r="R69" s="1886" t="s">
        <v>1524</v>
      </c>
    </row>
    <row r="70" spans="1:18" s="1842" customFormat="1" ht="13.5" thickBot="1">
      <c r="A70" s="1173"/>
      <c r="B70" s="1174"/>
      <c r="C70" s="355"/>
      <c r="D70" s="1185"/>
      <c r="E70" s="1169" t="s">
        <v>1472</v>
      </c>
      <c r="F70" s="1275"/>
      <c r="O70" s="1894" t="s">
        <v>1046</v>
      </c>
      <c r="P70" s="1933" t="s">
        <v>1580</v>
      </c>
      <c r="Q70" s="1886" t="e">
        <f ca="1">C13</f>
        <v>#VALUE!</v>
      </c>
      <c r="R70" s="1886" t="s">
        <v>1524</v>
      </c>
    </row>
    <row r="71" spans="1:18" s="1842" customFormat="1" ht="13.5" thickBot="1">
      <c r="A71" s="1190" t="s">
        <v>1030</v>
      </c>
      <c r="B71" s="1191" t="s">
        <v>1482</v>
      </c>
      <c r="C71" s="382" t="e">
        <f ca="1">ROUND(C68*10000/F71,0)</f>
        <v>#VALUE!</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t="e">
        <f ca="1">ROUND(C13*C76,0)</f>
        <v>#VALUE!</v>
      </c>
      <c r="D75" s="1842"/>
      <c r="E75" s="1842"/>
      <c r="F75" s="1842"/>
      <c r="K75" s="1868"/>
      <c r="L75" s="1842"/>
      <c r="O75" s="1884" t="s">
        <v>1043</v>
      </c>
      <c r="P75" s="1885" t="s">
        <v>1544</v>
      </c>
      <c r="Q75" s="1886" t="e">
        <f ca="1">Q65+Q66</f>
        <v>#VALUE!</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#VALUE!</v>
      </c>
    </row>
    <row r="80" spans="1:18">
      <c r="B80" s="386" t="s">
        <v>1506</v>
      </c>
      <c r="C80" s="318" t="e">
        <f ca="1">ROUND(C75/C39,3)</f>
        <v>#VALUE!</v>
      </c>
    </row>
    <row r="81" spans="2:3">
      <c r="B81" s="314" t="s">
        <v>1507</v>
      </c>
      <c r="C81" s="282"/>
    </row>
    <row r="82" spans="2:3">
      <c r="B82" s="317" t="s">
        <v>1508</v>
      </c>
      <c r="C82" s="319" t="e">
        <f ca="1">1-C83</f>
        <v>#VALUE!</v>
      </c>
    </row>
    <row r="83" spans="2:3">
      <c r="B83" s="317" t="s">
        <v>1509</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#VALUE!</v>
      </c>
      <c r="C2" s="1845" t="s">
        <v>1586</v>
      </c>
      <c r="D2" s="1937" t="e">
        <f ca="1">C40+J29+L46</f>
        <v>#VALUE!</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7" t="s">
        <v>1398</v>
      </c>
      <c r="C6" s="1296">
        <f ca="1">ROUND(F6*F8*F7*(1-F9),0)</f>
        <v>0</v>
      </c>
      <c r="D6" s="164" t="s">
        <v>3028</v>
      </c>
      <c r="E6" s="347" t="s">
        <v>1400</v>
      </c>
      <c r="F6" s="348">
        <f ca="1">INDIRECT("'数据-取费表'!u"&amp;$G$1)</f>
        <v>0</v>
      </c>
      <c r="G6" s="1851"/>
      <c r="H6" s="1291" t="s">
        <v>1032</v>
      </c>
      <c r="I6" s="3147" t="s">
        <v>1398</v>
      </c>
      <c r="J6" s="346">
        <f ca="1">ROUND(M6*M8*M7*(1-M9),0)</f>
        <v>0</v>
      </c>
      <c r="K6" s="1834" t="s">
        <v>3029</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#VALUE!</v>
      </c>
      <c r="D13" s="1331" t="s">
        <v>1410</v>
      </c>
      <c r="E13" s="1331" t="s">
        <v>1411</v>
      </c>
      <c r="F13" s="1332">
        <f ca="1">INDIRECT("'数据-取费表'!y"&amp;$G$1)</f>
        <v>0</v>
      </c>
      <c r="G13" s="1851"/>
      <c r="H13" s="1329">
        <v>2</v>
      </c>
      <c r="I13" s="1330" t="s">
        <v>1409</v>
      </c>
      <c r="J13" s="1290" t="e">
        <f ca="1">ROUND(J14*J15,0)</f>
        <v>#VALUE!</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t="e">
        <f ca="1">C29</f>
        <v>#VALUE!</v>
      </c>
      <c r="K14" s="15"/>
      <c r="L14" s="979"/>
      <c r="M14" s="980"/>
    </row>
    <row r="15" spans="1:37" s="1858" customFormat="1" ht="18" customHeight="1" thickBot="1">
      <c r="A15" s="1201" t="s">
        <v>1033</v>
      </c>
      <c r="B15" s="347" t="s">
        <v>1415</v>
      </c>
      <c r="C15" s="24">
        <f ca="1">ROUND(C14*F15,0)</f>
        <v>0</v>
      </c>
      <c r="D15" s="365" t="s">
        <v>1416</v>
      </c>
      <c r="E15" s="365" t="s">
        <v>1417</v>
      </c>
      <c r="F15" s="366">
        <f>'数据-取费表'!B33</f>
        <v>0</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t="e">
        <f ca="1">ROUND(J17+J22+J23+J24,0)</f>
        <v>#VALUE!</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0</v>
      </c>
      <c r="G17" s="1854"/>
      <c r="H17" s="1201" t="s">
        <v>1032</v>
      </c>
      <c r="I17" s="347" t="s">
        <v>1424</v>
      </c>
      <c r="J17" s="24" t="e">
        <f ca="1">ROUND(IF(项目基本情况!B11="自然人",J6*M17/(1+'数据-取费表'!C42),J18+J19+J20),0)</f>
        <v>#VALUE!</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0</v>
      </c>
      <c r="G18" s="1854"/>
      <c r="H18" s="1201" t="s">
        <v>1031</v>
      </c>
      <c r="I18" s="347" t="s">
        <v>1428</v>
      </c>
      <c r="J18" s="24">
        <f ca="1">ROUND(J6*M18/(1+'数据-取费表'!C42),0)</f>
        <v>0</v>
      </c>
      <c r="K18" s="1798" t="s">
        <v>1429</v>
      </c>
      <c r="L18" s="347" t="s">
        <v>1417</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t="e">
        <f ca="1">IF(K19="按租金收入计税",ROUND(J6*M19/(1+'数据-取费表'!C42),0),ROUND(C29*M19*0.7,0))</f>
        <v>#VALUE!</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t="e">
        <f ca="1">ROUND(J14*M22,0)</f>
        <v>#VALUE!</v>
      </c>
      <c r="K22" s="1798" t="s">
        <v>1445</v>
      </c>
      <c r="L22" s="347" t="s">
        <v>1417</v>
      </c>
      <c r="M22" s="374">
        <f ca="1">INDIRECT("'数据-取费表'!Ak"&amp;$G$1)</f>
        <v>0</v>
      </c>
    </row>
    <row r="23" spans="1:37" s="1858" customFormat="1" ht="18" customHeight="1">
      <c r="A23" s="1201" t="s">
        <v>1031</v>
      </c>
      <c r="B23" s="347" t="s">
        <v>1446</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1447</v>
      </c>
      <c r="F23" s="371">
        <f>'数据-取费表'!B20</f>
        <v>0</v>
      </c>
      <c r="G23" s="1854"/>
      <c r="H23" s="1201" t="s">
        <v>1072</v>
      </c>
      <c r="I23" s="347" t="s">
        <v>1448</v>
      </c>
      <c r="J23" s="24" t="e">
        <f ca="1">ROUND(J13*M23,0)</f>
        <v>#VALUE!</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t="e">
        <f ca="1">ROUND(IF('数据-取费表'!B22&lt;=1,F21*F24*F23/2,F21*(POWER((1+F24),F23/2)-1)),4)</f>
        <v>#VALUE!</v>
      </c>
      <c r="D24" s="375" t="str">
        <f>IF(F23&lt;=1,"销售费用×利率×(建设周期÷2)","销售费用×((1+利率)^(建设周期÷2)-1)")</f>
        <v>销售费用×利率×(建设周期÷2)</v>
      </c>
      <c r="E24" s="347" t="s">
        <v>1453</v>
      </c>
      <c r="F24" s="377" t="e">
        <f ca="1">'数据-取费表'!B40</f>
        <v>#VALUE!</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t="e">
        <f ca="1">J5-J16</f>
        <v>#VALUE!</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0</v>
      </c>
      <c r="D28" s="369" t="s">
        <v>1471</v>
      </c>
      <c r="E28" s="347" t="s">
        <v>1417</v>
      </c>
      <c r="F28" s="367">
        <f>'数据-取费表'!B41</f>
        <v>0</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#VALUE!</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#VALUE!</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ROUND(IF(项目基本情况!B11="自然人",C6*F31/(1+'数据-取费表'!C42),C32+C33+C34),0)</f>
        <v>#VALUE!</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0</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IF(项目基本情况!B11="自然人","——",IF(D33="按租金收入计税",ROUND(C6*F33/(1+'数据-取费表'!C42),0),IF(D33="按房产原值计税",ROUND(C29*F33*0.7,0),INDIRECT("'数据-取费表'!Aj"&amp;$G$1))))</f>
        <v>#VALUE!</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t="e">
        <f ca="1">ROUND(C29*F36,0)</f>
        <v>#VALUE!</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t="e">
        <f ca="1">ROUND(C13*F37,0)</f>
        <v>#VALUE!</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t="e">
        <f ca="1">C5-C30</f>
        <v>#VALUE!</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#VALUE!</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#VALUE!</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1599</v>
      </c>
      <c r="E45" s="1866"/>
      <c r="F45" s="1866"/>
      <c r="O45" s="1869" t="s">
        <v>1514</v>
      </c>
      <c r="P45" s="1839"/>
      <c r="Q45" s="1839"/>
      <c r="R45" s="1839"/>
    </row>
    <row r="46" spans="1:18" s="1842" customFormat="1" ht="13.5" thickBot="1">
      <c r="A46" s="1870" t="s">
        <v>1515</v>
      </c>
      <c r="C46" s="1871" t="e">
        <f ca="1">ROUND(C45/10000,0)</f>
        <v>#VALUE!</v>
      </c>
      <c r="D46" s="1872" t="str">
        <f>C2</f>
        <v>万元</v>
      </c>
      <c r="I46" s="1873" t="s">
        <v>1516</v>
      </c>
      <c r="J46" s="1874"/>
      <c r="K46" s="1875"/>
      <c r="L46" s="1876" t="e">
        <f ca="1">IF(M47="住宅",0,IF(L48&gt;J51,L60,J60))</f>
        <v>#VALUE!</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t="e">
        <f ca="1">C40+J29</f>
        <v>#VALUE!</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29.8</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t="e">
        <f ca="1">C29</f>
        <v>#VALUE!</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t="e">
        <f ca="1">ROUND(-PV(INDIRECT("'数据-取费表'!h"&amp;$G$1),L48,(C39-C13*C76),0),0)</f>
        <v>#VALUE!</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53">
        <f ca="1">IF(M47="住宅",IF(D1="——",MAX(J51,L48),MAX(J51,L48-'数据-取费表'!B24)),IF(D1="——",MIN(J51,L48),MIN(J51,L48-'数据-取费表'!B24)))</f>
        <v>0</v>
      </c>
      <c r="K53" s="3145" t="s">
        <v>1543</v>
      </c>
      <c r="L53" s="3146"/>
      <c r="O53" s="1884" t="s">
        <v>1043</v>
      </c>
      <c r="P53" s="1885" t="s">
        <v>1544</v>
      </c>
      <c r="Q53" s="1886" t="e">
        <f ca="1">Q47+Q48</f>
        <v>#VALUE!</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t="e">
        <f ca="1">C13</f>
        <v>#VALUE!</v>
      </c>
      <c r="D56" s="1913"/>
      <c r="E56" s="1914"/>
      <c r="F56" s="1906"/>
      <c r="I56" s="1915" t="s">
        <v>1549</v>
      </c>
      <c r="J56" s="1916"/>
      <c r="K56" s="1887" t="s">
        <v>1550</v>
      </c>
      <c r="L56" s="1890">
        <f ca="1">IF(L48&lt;J51,"——",L48-J51)</f>
        <v>29.8</v>
      </c>
      <c r="O56" s="1884" t="s">
        <v>1037</v>
      </c>
      <c r="P56" s="1885" t="s">
        <v>1523</v>
      </c>
      <c r="Q56" s="1886" t="e">
        <f ca="1">C40+J29</f>
        <v>#VALUE!</v>
      </c>
      <c r="R56" s="1886" t="s">
        <v>1524</v>
      </c>
    </row>
    <row r="57" spans="1:18" s="1842" customFormat="1" ht="24.75" thickBot="1">
      <c r="A57" s="1917"/>
      <c r="B57" s="1169" t="s">
        <v>1473</v>
      </c>
      <c r="C57" s="282" t="e">
        <f ca="1">C29</f>
        <v>#VALUE!</v>
      </c>
      <c r="D57" s="1918"/>
      <c r="E57" s="1919"/>
      <c r="F57" s="1920"/>
      <c r="I57" s="1921" t="s">
        <v>1551</v>
      </c>
      <c r="J57" s="1922" t="str">
        <f ca="1">IF(OR(M47="住宅",J51&lt;L48,J56="是"),"——",J51-L48)</f>
        <v>——</v>
      </c>
      <c r="K57" s="1887" t="s">
        <v>1600</v>
      </c>
      <c r="L57" s="1890" t="e">
        <f ca="1">IF(L48&lt;J51,"——",IF(L55="比较法",L49,IF(L55="基准地价",L50,L51)))</f>
        <v>#VALUE!</v>
      </c>
      <c r="O57" s="1884" t="s">
        <v>1038</v>
      </c>
      <c r="P57" s="1885" t="s">
        <v>1601</v>
      </c>
      <c r="Q57" s="1886" t="e">
        <f ca="1">L60</f>
        <v>#VALUE!</v>
      </c>
      <c r="R57" s="1886" t="s">
        <v>1602</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ROUND(IF(项目基本情况!B11="自然人",C48*F59,C60+C61+C62),0)</f>
        <v>#VALUE!</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0</v>
      </c>
      <c r="I60" s="1924" t="s">
        <v>1560</v>
      </c>
      <c r="J60" s="1925" t="str">
        <f ca="1">IF(OR(M47="住宅",J51&lt;L48,J56="是"),"0",ROUND(J59/(1+J52)^J53,0))</f>
        <v>0</v>
      </c>
      <c r="K60" s="1926" t="s">
        <v>1561</v>
      </c>
      <c r="L60" s="1925" t="e">
        <f ca="1">IF(OR(M47="住宅",L48&lt;J51),0,ROUND(L57*(L58/L59-1),0))</f>
        <v>#VALUE!</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IF(项目基本情况!B11="自然人","——",IF(D61="按租金收入计税",ROUND(C48*F61,0),IF(D61="按房产原值计税",ROUND(C57*F61*0.7,0),INDIRECT("'数据-取费表'!Aj"&amp;$G$1))))</f>
        <v>#VALUE!</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#VALUE!</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ROUND(C57*F64,0)</f>
        <v>#VALUE!</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ROUND(C56*F65,0)</f>
        <v>#VALUE!</v>
      </c>
      <c r="D65" s="1183" t="s">
        <v>1449</v>
      </c>
      <c r="E65" s="1169" t="s">
        <v>1450</v>
      </c>
      <c r="F65" s="376">
        <f t="shared" ca="1" si="0"/>
        <v>0</v>
      </c>
      <c r="I65" s="1928" t="s">
        <v>1574</v>
      </c>
      <c r="J65" s="1929">
        <v>40</v>
      </c>
      <c r="K65" s="1929">
        <v>30</v>
      </c>
      <c r="L65" s="1929">
        <v>50</v>
      </c>
      <c r="M65" s="1931">
        <v>0.02</v>
      </c>
      <c r="O65" s="1884" t="s">
        <v>1037</v>
      </c>
      <c r="P65" s="1885" t="s">
        <v>1575</v>
      </c>
      <c r="Q65" s="1886" t="e">
        <f ca="1">C40+J29</f>
        <v>#VALUE!</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#VALUE!</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t="e">
        <f ca="1">L51</f>
        <v>#VALUE!</v>
      </c>
      <c r="R67" s="1886" t="s">
        <v>1577</v>
      </c>
    </row>
    <row r="68" spans="1:18" s="1842" customFormat="1" ht="16.5" thickBot="1">
      <c r="A68" s="1166" t="s">
        <v>1029</v>
      </c>
      <c r="B68" s="1167" t="s">
        <v>1480</v>
      </c>
      <c r="C68" s="346" t="e">
        <f ca="1">ROUND(C67*(1-((1+F70)/(1+F68))^F69)/(F68-F70),0)</f>
        <v>#VALUE!</v>
      </c>
      <c r="D68" s="1184" t="s">
        <v>1464</v>
      </c>
      <c r="E68" s="1169" t="s">
        <v>1465</v>
      </c>
      <c r="F68" s="357">
        <f ca="1">F40</f>
        <v>0</v>
      </c>
      <c r="O68" s="1894" t="s">
        <v>1040</v>
      </c>
      <c r="P68" s="1933" t="s">
        <v>1578</v>
      </c>
      <c r="Q68" s="1886" t="e">
        <f ca="1">ROUND(Q69-Q70*Q71,0)</f>
        <v>#VALUE!</v>
      </c>
      <c r="R68" s="1886" t="s">
        <v>1048</v>
      </c>
    </row>
    <row r="69" spans="1:18" s="1842" customFormat="1" ht="13.5" thickBot="1">
      <c r="A69" s="1170"/>
      <c r="B69" s="1171"/>
      <c r="C69" s="351"/>
      <c r="D69" s="1189" t="s">
        <v>1468</v>
      </c>
      <c r="E69" s="1169" t="s">
        <v>1469</v>
      </c>
      <c r="F69" s="379">
        <f ca="1">F41</f>
        <v>0</v>
      </c>
      <c r="O69" s="1894" t="s">
        <v>1045</v>
      </c>
      <c r="P69" s="1933" t="s">
        <v>1579</v>
      </c>
      <c r="Q69" s="1886" t="e">
        <f ca="1">C39</f>
        <v>#VALUE!</v>
      </c>
      <c r="R69" s="1886" t="s">
        <v>1524</v>
      </c>
    </row>
    <row r="70" spans="1:18" s="1842" customFormat="1" ht="13.5" thickBot="1">
      <c r="A70" s="1173"/>
      <c r="B70" s="1174"/>
      <c r="C70" s="355"/>
      <c r="D70" s="1185"/>
      <c r="E70" s="1169" t="s">
        <v>1472</v>
      </c>
      <c r="F70" s="1275">
        <f ca="1">F42</f>
        <v>0</v>
      </c>
      <c r="O70" s="1894" t="s">
        <v>1046</v>
      </c>
      <c r="P70" s="1933" t="s">
        <v>1580</v>
      </c>
      <c r="Q70" s="1886" t="e">
        <f ca="1">C13</f>
        <v>#VALUE!</v>
      </c>
      <c r="R70" s="1886" t="s">
        <v>1524</v>
      </c>
    </row>
    <row r="71" spans="1:18" s="1842" customFormat="1" ht="13.5" thickBot="1">
      <c r="A71" s="1190" t="s">
        <v>1030</v>
      </c>
      <c r="B71" s="1191" t="s">
        <v>1482</v>
      </c>
      <c r="C71" s="382" t="e">
        <f ca="1">ROUND(C68/F71,0)</f>
        <v>#VALUE!</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t="e">
        <f ca="1">ROUND(C13*C76,0)</f>
        <v>#VALUE!</v>
      </c>
      <c r="D75" s="1842"/>
      <c r="E75" s="1842"/>
      <c r="F75" s="1842"/>
      <c r="K75" s="1868"/>
      <c r="L75" s="1842"/>
      <c r="O75" s="1884" t="s">
        <v>1043</v>
      </c>
      <c r="P75" s="1885" t="s">
        <v>1544</v>
      </c>
      <c r="Q75" s="1886" t="e">
        <f ca="1">Q65+Q66</f>
        <v>#VALUE!</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#VALUE!</v>
      </c>
    </row>
    <row r="80" spans="1:18">
      <c r="B80" s="386" t="s">
        <v>1506</v>
      </c>
      <c r="C80" s="318" t="e">
        <f ca="1">ROUND(C75/C39,3)</f>
        <v>#VALUE!</v>
      </c>
    </row>
    <row r="81" spans="2:3">
      <c r="B81" s="314" t="s">
        <v>1507</v>
      </c>
      <c r="C81" s="282"/>
    </row>
    <row r="82" spans="2:3">
      <c r="B82" s="317" t="s">
        <v>1508</v>
      </c>
      <c r="C82" s="319" t="e">
        <f ca="1">1-C83</f>
        <v>#VALUE!</v>
      </c>
    </row>
    <row r="83" spans="2:3">
      <c r="B83" s="317" t="s">
        <v>1509</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2527</v>
      </c>
      <c r="B1" s="2565"/>
      <c r="C1" s="2565"/>
      <c r="D1" s="2565"/>
      <c r="E1" s="2566"/>
    </row>
    <row r="2" spans="1:6" ht="15.75">
      <c r="A2" s="2567" t="s">
        <v>2328</v>
      </c>
      <c r="B2" s="2568">
        <f ca="1">SUMIF(B6:B13,"&lt;&gt;#ref!",B6:B13)</f>
        <v>0</v>
      </c>
      <c r="C2" s="2569" t="s">
        <v>2520</v>
      </c>
      <c r="D2" s="2570" t="s">
        <v>2521</v>
      </c>
      <c r="E2" s="2571">
        <f>SUM(E6:E13)</f>
        <v>0</v>
      </c>
    </row>
    <row r="3" spans="1:6" ht="15.75">
      <c r="A3" s="2567" t="s">
        <v>1390</v>
      </c>
      <c r="B3" s="2568" t="e">
        <f ca="1">ROUND(B2*10000/E2,0)</f>
        <v>#DIV/0!</v>
      </c>
      <c r="C3" s="2569" t="s">
        <v>2528</v>
      </c>
      <c r="D3" s="2572"/>
      <c r="E3" s="2573"/>
    </row>
    <row r="4" spans="1:6" ht="15.75">
      <c r="A4" s="2574"/>
      <c r="B4" s="2572"/>
      <c r="C4" s="2572"/>
      <c r="D4" s="2572"/>
      <c r="E4" s="2573"/>
    </row>
    <row r="5" spans="1:6" ht="15">
      <c r="A5" s="2575" t="s">
        <v>2522</v>
      </c>
      <c r="B5" s="3150" t="s">
        <v>2523</v>
      </c>
      <c r="C5" s="3150"/>
      <c r="D5" s="2576"/>
      <c r="E5" s="2577" t="s">
        <v>2524</v>
      </c>
      <c r="F5" s="2578" t="s">
        <v>2525</v>
      </c>
    </row>
    <row r="6" spans="1:6">
      <c r="A6" s="2579">
        <f>'数据-取费表'!AN6</f>
        <v>0</v>
      </c>
      <c r="B6" s="2578" t="e">
        <f ca="1">IF(F6="是",'数据-取费表'!AO6,0)</f>
        <v>#REF!</v>
      </c>
      <c r="C6" s="2569" t="s">
        <v>2520</v>
      </c>
      <c r="D6" s="2572"/>
      <c r="E6" s="2580">
        <f>IF(OR(A6=0,F6="否"),0,'数据-取费表'!K6+'数据-取费表'!S6)</f>
        <v>0</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5">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2530</v>
      </c>
      <c r="C1" s="1634" t="s">
        <v>2531</v>
      </c>
      <c r="D1" s="1621"/>
      <c r="E1" s="2586"/>
      <c r="F1" s="2587" t="s">
        <v>2532</v>
      </c>
      <c r="G1" s="1631" t="s">
        <v>2533</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2534</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2535</v>
      </c>
      <c r="D3" s="399">
        <f>IF(D1="",'数据-汇总表'!E3,SUMIF('数据-汇总表'!$C19:$C33,D1,'数据-汇总表'!$E19:$E33))</f>
        <v>916.22</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2536</v>
      </c>
      <c r="B4" s="402"/>
      <c r="C4" s="3190" t="s">
        <v>2537</v>
      </c>
      <c r="D4" s="3191"/>
      <c r="E4" s="3192" t="s">
        <v>2538</v>
      </c>
      <c r="F4" s="3193"/>
      <c r="G4" s="3190" t="s">
        <v>2539</v>
      </c>
      <c r="H4" s="3191"/>
      <c r="I4" s="3190" t="s">
        <v>2540</v>
      </c>
      <c r="J4" s="3191"/>
      <c r="K4" s="2599" t="s">
        <v>2541</v>
      </c>
      <c r="L4" s="1130"/>
      <c r="M4" s="1131"/>
      <c r="N4" s="1131"/>
      <c r="O4" s="1131"/>
      <c r="P4" s="3194" t="s">
        <v>2542</v>
      </c>
      <c r="Q4" s="3195"/>
      <c r="R4" s="3177" t="s">
        <v>2538</v>
      </c>
      <c r="S4" s="3178"/>
      <c r="T4" s="3177" t="s">
        <v>2539</v>
      </c>
      <c r="U4" s="3178"/>
      <c r="V4" s="3202" t="s">
        <v>2540</v>
      </c>
      <c r="W4" s="3202"/>
      <c r="X4" s="1813"/>
      <c r="Y4" s="3177" t="s">
        <v>2542</v>
      </c>
      <c r="Z4" s="3178"/>
      <c r="AA4" s="3172" t="s">
        <v>2538</v>
      </c>
      <c r="AB4" s="3172" t="s">
        <v>2539</v>
      </c>
      <c r="AC4" s="3172" t="s">
        <v>2540</v>
      </c>
    </row>
    <row r="5" spans="1:29" ht="15">
      <c r="A5" s="404"/>
      <c r="B5" s="405"/>
      <c r="C5" s="3183" t="s">
        <v>2543</v>
      </c>
      <c r="D5" s="3184"/>
      <c r="E5" s="3181" t="s">
        <v>2544</v>
      </c>
      <c r="F5" s="3182"/>
      <c r="G5" s="3183" t="s">
        <v>2545</v>
      </c>
      <c r="H5" s="3184"/>
      <c r="I5" s="3183" t="s">
        <v>2546</v>
      </c>
      <c r="J5" s="3184"/>
      <c r="K5" s="260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260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75" t="s">
        <v>2550</v>
      </c>
      <c r="Q7" s="3203"/>
      <c r="R7" s="770" t="s">
        <v>23</v>
      </c>
      <c r="S7" s="771">
        <f t="shared" ref="S7:S15" si="0">F7</f>
        <v>0</v>
      </c>
      <c r="T7" s="770" t="s">
        <v>23</v>
      </c>
      <c r="U7" s="771">
        <f t="shared" ref="U7:U15" si="1">H7</f>
        <v>0</v>
      </c>
      <c r="V7" s="770" t="s">
        <v>23</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75" t="s">
        <v>2553</v>
      </c>
      <c r="Q8" s="3176"/>
      <c r="R8" s="770" t="s">
        <v>23</v>
      </c>
      <c r="S8" s="771">
        <f t="shared" si="0"/>
        <v>0</v>
      </c>
      <c r="T8" s="770" t="s">
        <v>23</v>
      </c>
      <c r="U8" s="771">
        <f t="shared" si="1"/>
        <v>0</v>
      </c>
      <c r="V8" s="770" t="s">
        <v>23</v>
      </c>
      <c r="W8" s="771">
        <f t="shared" si="2"/>
        <v>0</v>
      </c>
      <c r="X8" s="772"/>
      <c r="Y8" s="3175" t="s">
        <v>2553</v>
      </c>
      <c r="Z8" s="317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9"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2561</v>
      </c>
      <c r="Q15" s="1810" t="str">
        <f t="shared" si="6"/>
        <v>居住社区成熟度</v>
      </c>
      <c r="R15" s="774" t="s">
        <v>21</v>
      </c>
      <c r="S15" s="775">
        <f t="shared" si="0"/>
        <v>100</v>
      </c>
      <c r="T15" s="774" t="s">
        <v>21</v>
      </c>
      <c r="U15" s="775">
        <f t="shared" si="1"/>
        <v>100</v>
      </c>
      <c r="V15" s="774" t="s">
        <v>21</v>
      </c>
      <c r="W15" s="775">
        <f t="shared" si="2"/>
        <v>100</v>
      </c>
      <c r="X15" s="1813"/>
      <c r="Y15" s="3209" t="s">
        <v>2561</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1" t="s">
        <v>2566</v>
      </c>
      <c r="Q32" s="1810" t="str">
        <f t="shared" si="11"/>
        <v>建筑类型</v>
      </c>
      <c r="R32" s="774" t="s">
        <v>21</v>
      </c>
      <c r="S32" s="775">
        <f t="shared" si="12"/>
        <v>100</v>
      </c>
      <c r="T32" s="774" t="s">
        <v>21</v>
      </c>
      <c r="U32" s="775">
        <f t="shared" si="13"/>
        <v>100</v>
      </c>
      <c r="V32" s="774" t="s">
        <v>21</v>
      </c>
      <c r="W32" s="775">
        <f t="shared" si="14"/>
        <v>100</v>
      </c>
      <c r="X32" s="1813"/>
      <c r="Y32" s="321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2" t="s">
        <v>2566</v>
      </c>
      <c r="Q38" s="1810" t="str">
        <f t="shared" si="11"/>
        <v>物业管理</v>
      </c>
      <c r="R38" s="774" t="s">
        <v>21</v>
      </c>
      <c r="S38" s="775">
        <f t="shared" si="12"/>
        <v>100</v>
      </c>
      <c r="T38" s="774" t="s">
        <v>21</v>
      </c>
      <c r="U38" s="775">
        <f t="shared" si="13"/>
        <v>100</v>
      </c>
      <c r="V38" s="774" t="s">
        <v>21</v>
      </c>
      <c r="W38" s="775">
        <f t="shared" si="14"/>
        <v>100</v>
      </c>
      <c r="X38" s="1813"/>
      <c r="Y38" s="3214" t="s">
        <v>2566</v>
      </c>
      <c r="Z38" s="1814" t="str">
        <f t="shared" si="18"/>
        <v>物业管理</v>
      </c>
      <c r="AA38" s="1811">
        <f t="shared" si="15"/>
        <v>1</v>
      </c>
      <c r="AB38" s="1811">
        <f t="shared" si="16"/>
        <v>1</v>
      </c>
      <c r="AC38" s="1811">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4"/>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5"/>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6"/>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9"/>
      <c r="Q57" s="504"/>
    </row>
    <row r="58" spans="1:29" s="508" customFormat="1" ht="15">
      <c r="A58" s="505" t="s">
        <v>2585</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2612</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2564</v>
      </c>
      <c r="B100" s="528" t="s">
        <v>2613</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2616</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2617</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2620</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4">
        <v>6</v>
      </c>
      <c r="C139" s="1085">
        <v>96</v>
      </c>
      <c r="D139" s="2651" t="s">
        <v>2632</v>
      </c>
      <c r="E139" s="1086">
        <v>100</v>
      </c>
      <c r="F139" s="1087">
        <v>102.5</v>
      </c>
      <c r="G139" s="2651" t="s">
        <v>2632</v>
      </c>
      <c r="H139" s="1088">
        <v>105</v>
      </c>
      <c r="I139" s="2652" t="s">
        <v>2633</v>
      </c>
      <c r="J139" s="1085">
        <v>20</v>
      </c>
      <c r="K139" s="1089">
        <f>C145/(J139-2)</f>
        <v>4.0555555555555553E-3</v>
      </c>
    </row>
    <row r="140" spans="1:17" ht="15">
      <c r="B140" s="1090">
        <v>5</v>
      </c>
      <c r="C140" s="1091">
        <v>100</v>
      </c>
      <c r="D140" s="1091"/>
      <c r="E140" s="1092"/>
      <c r="F140" s="1093">
        <v>102</v>
      </c>
      <c r="G140" s="1091"/>
      <c r="H140" s="1094"/>
      <c r="I140" s="2653" t="s">
        <v>2634</v>
      </c>
      <c r="J140" s="315">
        <f>ROUNDUP((J139-1)/2,0)</f>
        <v>10</v>
      </c>
      <c r="K140" s="1095">
        <v>100</v>
      </c>
    </row>
    <row r="141" spans="1:17" ht="15">
      <c r="B141" s="1090">
        <v>4</v>
      </c>
      <c r="C141" s="1091">
        <v>102</v>
      </c>
      <c r="D141" s="1091"/>
      <c r="E141" s="1092"/>
      <c r="F141" s="1093">
        <v>101.5</v>
      </c>
      <c r="G141" s="1091"/>
      <c r="H141" s="1094"/>
      <c r="I141" s="2653" t="s">
        <v>2635</v>
      </c>
      <c r="J141" s="315">
        <v>1</v>
      </c>
      <c r="K141" s="1096">
        <f>ROUND(100+(J141-J140)*K139*100,1)</f>
        <v>96.4</v>
      </c>
    </row>
    <row r="142" spans="1:17" ht="15">
      <c r="B142" s="1090">
        <v>3</v>
      </c>
      <c r="C142" s="1091">
        <v>103</v>
      </c>
      <c r="D142" s="1091"/>
      <c r="E142" s="1092"/>
      <c r="F142" s="1093">
        <v>101</v>
      </c>
      <c r="G142" s="1091"/>
      <c r="H142" s="1094"/>
      <c r="I142" s="2653" t="s">
        <v>2636</v>
      </c>
      <c r="J142" s="315">
        <f>J139</f>
        <v>20</v>
      </c>
      <c r="K142" s="1097">
        <v>95</v>
      </c>
    </row>
    <row r="143" spans="1:17" ht="15">
      <c r="B143" s="1090">
        <v>2</v>
      </c>
      <c r="C143" s="1091">
        <v>100</v>
      </c>
      <c r="D143" s="1091"/>
      <c r="E143" s="1092"/>
      <c r="F143" s="1093">
        <v>100.5</v>
      </c>
      <c r="G143" s="1091"/>
      <c r="H143" s="1094"/>
      <c r="I143" s="2653" t="s">
        <v>2637</v>
      </c>
      <c r="J143" s="1091">
        <v>15</v>
      </c>
      <c r="K143" s="1096">
        <f>ROUND(100+(J143-J140)*K139*100,1)</f>
        <v>102</v>
      </c>
    </row>
    <row r="144" spans="1:17" ht="15">
      <c r="B144" s="1090">
        <v>1</v>
      </c>
      <c r="C144" s="1091">
        <v>98</v>
      </c>
      <c r="D144" s="2654" t="s">
        <v>2638</v>
      </c>
      <c r="E144" s="1092">
        <v>102</v>
      </c>
      <c r="F144" s="1098">
        <v>100</v>
      </c>
      <c r="G144" s="2654" t="s">
        <v>2638</v>
      </c>
      <c r="H144" s="1094">
        <v>105</v>
      </c>
      <c r="I144" s="2653" t="s">
        <v>2637</v>
      </c>
      <c r="J144" s="1091">
        <v>18</v>
      </c>
      <c r="K144" s="1096">
        <f>ROUND(100+(J144-J140)*K139*100,1)</f>
        <v>103.2</v>
      </c>
    </row>
    <row r="145" spans="2:11" ht="15.75" thickBot="1">
      <c r="B145" s="2655" t="s">
        <v>2639</v>
      </c>
      <c r="C145" s="1099">
        <f>ROUND(MAX(C139:C144)/MIN(C139:C144)-1,3)</f>
        <v>7.2999999999999995E-2</v>
      </c>
      <c r="D145" s="1100"/>
      <c r="E145" s="1100"/>
      <c r="F145" s="2656" t="s">
        <v>2640</v>
      </c>
      <c r="G145" s="2657"/>
      <c r="H145" s="2658"/>
      <c r="I145" s="2659" t="s">
        <v>2637</v>
      </c>
      <c r="J145" s="1101">
        <v>8</v>
      </c>
      <c r="K145" s="1102">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2643</v>
      </c>
      <c r="C1" s="1634" t="s">
        <v>2531</v>
      </c>
      <c r="D1" s="1621"/>
      <c r="E1" s="2660"/>
      <c r="F1" s="2587"/>
      <c r="G1" s="1631" t="s">
        <v>2644</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2645</v>
      </c>
      <c r="D3" s="399">
        <f>IF(D1="",'数据-汇总表'!E3,SUMIF('数据-汇总表'!$C19:$C33,D1,'数据-汇总表'!$E19:$E33))</f>
        <v>916.22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202"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2549</v>
      </c>
      <c r="B7" s="409"/>
      <c r="C7" s="410">
        <f>'数据-取费表'!B2</f>
        <v>43668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2561</v>
      </c>
      <c r="Q15" s="1810" t="str">
        <f t="shared" si="6"/>
        <v>商业繁华度</v>
      </c>
      <c r="R15" s="774" t="s">
        <v>17</v>
      </c>
      <c r="S15" s="775">
        <f t="shared" si="0"/>
        <v>100</v>
      </c>
      <c r="T15" s="774" t="s">
        <v>17</v>
      </c>
      <c r="U15" s="775">
        <f t="shared" si="1"/>
        <v>100</v>
      </c>
      <c r="V15" s="774" t="s">
        <v>17</v>
      </c>
      <c r="W15" s="775">
        <f t="shared" si="2"/>
        <v>100</v>
      </c>
      <c r="X15" s="1813"/>
      <c r="Y15" s="3209"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1" t="s">
        <v>2566</v>
      </c>
      <c r="Q32" s="1810" t="str">
        <f t="shared" si="11"/>
        <v>商业类型</v>
      </c>
      <c r="R32" s="774" t="s">
        <v>17</v>
      </c>
      <c r="S32" s="775">
        <f t="shared" si="12"/>
        <v>100</v>
      </c>
      <c r="T32" s="774" t="s">
        <v>17</v>
      </c>
      <c r="U32" s="775">
        <f t="shared" si="13"/>
        <v>100</v>
      </c>
      <c r="V32" s="774" t="s">
        <v>17</v>
      </c>
      <c r="W32" s="775">
        <f t="shared" si="14"/>
        <v>100</v>
      </c>
      <c r="X32" s="1813"/>
      <c r="Y32" s="3214"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2" t="s">
        <v>2566</v>
      </c>
      <c r="Q38" s="1810" t="str">
        <f t="shared" si="11"/>
        <v>业态</v>
      </c>
      <c r="R38" s="774" t="s">
        <v>17</v>
      </c>
      <c r="S38" s="775">
        <f t="shared" si="12"/>
        <v>100</v>
      </c>
      <c r="T38" s="774" t="s">
        <v>17</v>
      </c>
      <c r="U38" s="775">
        <f t="shared" si="13"/>
        <v>100</v>
      </c>
      <c r="V38" s="774" t="s">
        <v>17</v>
      </c>
      <c r="W38" s="775">
        <f t="shared" si="14"/>
        <v>100</v>
      </c>
      <c r="X38" s="1813"/>
      <c r="Y38" s="3214" t="s">
        <v>2566</v>
      </c>
      <c r="Z38" s="1814" t="str">
        <f t="shared" si="15"/>
        <v>业态</v>
      </c>
      <c r="AA38" s="1811">
        <f t="shared" si="3"/>
        <v>1</v>
      </c>
      <c r="AB38" s="1811">
        <f t="shared" si="4"/>
        <v>1</v>
      </c>
      <c r="AC38" s="1811">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2549</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2564</v>
      </c>
      <c r="B100" s="528" t="s">
        <v>2682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2617</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2685</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916.22</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224" t="s">
        <v>2652</v>
      </c>
      <c r="Q4" s="3225"/>
      <c r="R4" s="3219" t="s">
        <v>2648</v>
      </c>
      <c r="S4" s="3220"/>
      <c r="T4" s="3219" t="s">
        <v>2649</v>
      </c>
      <c r="U4" s="3220"/>
      <c r="V4" s="3228" t="s">
        <v>2650</v>
      </c>
      <c r="W4" s="3228"/>
      <c r="X4" s="2673"/>
      <c r="Y4" s="3219" t="s">
        <v>2652</v>
      </c>
      <c r="Z4" s="3220"/>
      <c r="AA4" s="3218" t="s">
        <v>2648</v>
      </c>
      <c r="AB4" s="3218" t="s">
        <v>2649</v>
      </c>
      <c r="AC4" s="3221" t="s">
        <v>2650</v>
      </c>
    </row>
    <row r="5" spans="1:29" ht="15">
      <c r="A5" s="404"/>
      <c r="B5" s="405"/>
      <c r="C5" s="3183" t="s">
        <v>2543</v>
      </c>
      <c r="D5" s="3184"/>
      <c r="E5" s="3181" t="s">
        <v>2544</v>
      </c>
      <c r="F5" s="3182"/>
      <c r="G5" s="3183" t="s">
        <v>2545</v>
      </c>
      <c r="H5" s="3184"/>
      <c r="I5" s="3183" t="s">
        <v>2546</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2549</v>
      </c>
      <c r="B7" s="409"/>
      <c r="C7" s="410">
        <f>'数据-取费表'!B2</f>
        <v>43668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2553</v>
      </c>
      <c r="Q8" s="3176"/>
      <c r="R8" s="770" t="s">
        <v>17</v>
      </c>
      <c r="S8" s="771">
        <f t="shared" si="0"/>
        <v>0</v>
      </c>
      <c r="T8" s="770" t="s">
        <v>17</v>
      </c>
      <c r="U8" s="771">
        <f t="shared" si="1"/>
        <v>0</v>
      </c>
      <c r="V8" s="770" t="s">
        <v>17</v>
      </c>
      <c r="W8" s="771">
        <f t="shared" si="2"/>
        <v>0</v>
      </c>
      <c r="X8" s="772"/>
      <c r="Y8" s="3175" t="s">
        <v>2553</v>
      </c>
      <c r="Z8" s="3176"/>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2561</v>
      </c>
      <c r="Q15" s="1810" t="str">
        <f t="shared" si="6"/>
        <v>办公集聚程度</v>
      </c>
      <c r="R15" s="774" t="s">
        <v>17</v>
      </c>
      <c r="S15" s="775">
        <f t="shared" si="0"/>
        <v>100</v>
      </c>
      <c r="T15" s="774" t="s">
        <v>17</v>
      </c>
      <c r="U15" s="775">
        <f t="shared" si="1"/>
        <v>100</v>
      </c>
      <c r="V15" s="774" t="s">
        <v>17</v>
      </c>
      <c r="W15" s="775">
        <f t="shared" si="2"/>
        <v>100</v>
      </c>
      <c r="X15" s="1813"/>
      <c r="Y15" s="3209" t="s">
        <v>2561</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7"/>
      <c r="Q22" s="1810"/>
      <c r="R22" s="774"/>
      <c r="S22" s="775"/>
      <c r="T22" s="774"/>
      <c r="U22" s="775"/>
      <c r="V22" s="774"/>
      <c r="W22" s="775"/>
      <c r="X22" s="1813"/>
      <c r="Y22" s="3210"/>
      <c r="Z22" s="1814"/>
      <c r="AA22" s="1811">
        <v>1</v>
      </c>
      <c r="AB22" s="181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1" t="s">
        <v>2566</v>
      </c>
      <c r="Q33" s="1810" t="str">
        <f t="shared" si="11"/>
        <v>建筑类型</v>
      </c>
      <c r="R33" s="774" t="s">
        <v>17</v>
      </c>
      <c r="S33" s="775">
        <f t="shared" si="12"/>
        <v>100</v>
      </c>
      <c r="T33" s="774" t="s">
        <v>17</v>
      </c>
      <c r="U33" s="775">
        <f t="shared" si="13"/>
        <v>100</v>
      </c>
      <c r="V33" s="774" t="s">
        <v>17</v>
      </c>
      <c r="W33" s="775">
        <f t="shared" si="14"/>
        <v>100</v>
      </c>
      <c r="X33" s="1813"/>
      <c r="Y33" s="3214" t="s">
        <v>2566</v>
      </c>
      <c r="Z33" s="1814" t="str">
        <f t="shared" si="15"/>
        <v>建筑类型</v>
      </c>
      <c r="AA33" s="1811">
        <f t="shared" si="3"/>
        <v>1</v>
      </c>
      <c r="AB33" s="1811">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2566</v>
      </c>
      <c r="Q39" s="1810" t="str">
        <f t="shared" si="11"/>
        <v>物业管理</v>
      </c>
      <c r="R39" s="774" t="s">
        <v>17</v>
      </c>
      <c r="S39" s="775">
        <f t="shared" si="12"/>
        <v>100</v>
      </c>
      <c r="T39" s="774" t="s">
        <v>17</v>
      </c>
      <c r="U39" s="775">
        <f t="shared" si="13"/>
        <v>100</v>
      </c>
      <c r="V39" s="774" t="s">
        <v>17</v>
      </c>
      <c r="W39" s="775">
        <f t="shared" si="14"/>
        <v>100</v>
      </c>
      <c r="X39" s="1813"/>
      <c r="Y39" s="3214" t="s">
        <v>2566</v>
      </c>
      <c r="Z39" s="1814" t="str">
        <f t="shared" si="15"/>
        <v>物业管理</v>
      </c>
      <c r="AA39" s="1811">
        <f t="shared" si="3"/>
        <v>1</v>
      </c>
      <c r="AB39" s="1811">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7">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7">
        <f t="shared" si="5"/>
        <v>1</v>
      </c>
    </row>
    <row r="48" spans="1:29" ht="15">
      <c r="A48" s="479" t="s">
        <v>2578</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4"/>
      <c r="Q58" s="504"/>
    </row>
    <row r="59" spans="1:29" s="508" customFormat="1" ht="15">
      <c r="A59" s="505" t="s">
        <v>2549</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2589</v>
      </c>
      <c r="B64" s="528" t="s">
        <v>2555</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2700</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2564</v>
      </c>
      <c r="B101" s="528" t="s">
        <v>2613</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2615</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2617</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2618</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2619</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2702</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2621</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2703</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916.22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2561</v>
      </c>
      <c r="Q15" s="1810" t="str">
        <f t="shared" si="6"/>
        <v>产业集聚程度</v>
      </c>
      <c r="R15" s="774" t="s">
        <v>17</v>
      </c>
      <c r="S15" s="775">
        <f t="shared" si="0"/>
        <v>100</v>
      </c>
      <c r="T15" s="774" t="s">
        <v>17</v>
      </c>
      <c r="U15" s="775">
        <f t="shared" si="1"/>
        <v>100</v>
      </c>
      <c r="V15" s="774" t="s">
        <v>17</v>
      </c>
      <c r="W15" s="775">
        <f t="shared" si="2"/>
        <v>100</v>
      </c>
      <c r="X15" s="1813"/>
      <c r="Y15" s="320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3" t="s">
        <v>2566</v>
      </c>
      <c r="Q29" s="1810" t="str">
        <f t="shared" si="11"/>
        <v>建筑类型</v>
      </c>
      <c r="R29" s="774" t="s">
        <v>17</v>
      </c>
      <c r="S29" s="775">
        <f t="shared" si="12"/>
        <v>100</v>
      </c>
      <c r="T29" s="774" t="s">
        <v>17</v>
      </c>
      <c r="U29" s="775">
        <f t="shared" si="13"/>
        <v>100</v>
      </c>
      <c r="V29" s="774" t="s">
        <v>17</v>
      </c>
      <c r="W29" s="775">
        <f t="shared" si="14"/>
        <v>100</v>
      </c>
      <c r="X29" s="1813"/>
      <c r="Y29" s="321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2566</v>
      </c>
      <c r="Q35" s="1810" t="str">
        <f t="shared" si="11"/>
        <v>市政基础设施</v>
      </c>
      <c r="R35" s="774" t="s">
        <v>17</v>
      </c>
      <c r="S35" s="775">
        <f t="shared" si="12"/>
        <v>100</v>
      </c>
      <c r="T35" s="774" t="s">
        <v>17</v>
      </c>
      <c r="U35" s="775">
        <f t="shared" si="13"/>
        <v>100</v>
      </c>
      <c r="V35" s="774" t="s">
        <v>17</v>
      </c>
      <c r="W35" s="775">
        <f t="shared" si="14"/>
        <v>100</v>
      </c>
      <c r="X35" s="1813"/>
      <c r="Y35" s="321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受贵公司委托，我公司对出让国有建设用地使用权抵押价值进行了预评估。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估价对象为出让国有建设用地使用权，为所有。根据《国有土地使用证》[]，估价对象（分摊）出让国有建设用地使用权面积为1308.9平方米，建筑面积为916.22平方米。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估价对象为出让国有建设用地使用权,属开发建设的，该项目尚在开发建设中。根据《国有土地使用证》[]，估价对象（分摊）出让国有建设用地使用权面积为1308.9平方米，规划建筑面积为916.22平方米。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2019年7月22日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本次评估采用的主估价方法为基准地价系数修正法和基准地价系数修正法。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7"/>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2550</v>
      </c>
      <c r="Q7" s="3203"/>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2556</v>
      </c>
      <c r="Q9" s="1795"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2561</v>
      </c>
      <c r="Q14" s="1810" t="str">
        <f t="shared" si="6"/>
        <v>交通便捷度</v>
      </c>
      <c r="R14" s="774" t="s">
        <v>17</v>
      </c>
      <c r="S14" s="775">
        <f t="shared" si="0"/>
        <v>100</v>
      </c>
      <c r="T14" s="774" t="s">
        <v>17</v>
      </c>
      <c r="U14" s="775">
        <f t="shared" si="1"/>
        <v>100</v>
      </c>
      <c r="V14" s="774" t="s">
        <v>17</v>
      </c>
      <c r="W14" s="775">
        <f t="shared" si="2"/>
        <v>100</v>
      </c>
      <c r="X14" s="1813"/>
      <c r="Y14" s="320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2566</v>
      </c>
      <c r="Q32" s="1810" t="str">
        <f t="shared" si="11"/>
        <v>车位类型</v>
      </c>
      <c r="R32" s="774" t="s">
        <v>17</v>
      </c>
      <c r="S32" s="775">
        <f t="shared" si="12"/>
        <v>100</v>
      </c>
      <c r="T32" s="774" t="s">
        <v>17</v>
      </c>
      <c r="U32" s="775">
        <f t="shared" si="13"/>
        <v>100</v>
      </c>
      <c r="V32" s="774" t="s">
        <v>17</v>
      </c>
      <c r="W32" s="775">
        <f t="shared" si="14"/>
        <v>100</v>
      </c>
      <c r="X32" s="1813"/>
      <c r="Y32" s="321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2721</v>
      </c>
      <c r="B37" s="2698" t="s">
        <v>2722</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75" t="s">
        <v>2550</v>
      </c>
      <c r="Q7" s="3203"/>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2556</v>
      </c>
      <c r="Q9" s="1795"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2561</v>
      </c>
      <c r="Q14" s="1810" t="str">
        <f t="shared" si="6"/>
        <v>交通便捷度</v>
      </c>
      <c r="R14" s="774" t="s">
        <v>17</v>
      </c>
      <c r="S14" s="775">
        <f t="shared" si="0"/>
        <v>100</v>
      </c>
      <c r="T14" s="774" t="s">
        <v>17</v>
      </c>
      <c r="U14" s="775">
        <f t="shared" si="1"/>
        <v>100</v>
      </c>
      <c r="V14" s="774" t="s">
        <v>17</v>
      </c>
      <c r="W14" s="775">
        <f t="shared" si="2"/>
        <v>100</v>
      </c>
      <c r="X14" s="1813"/>
      <c r="Y14" s="320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3"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2566</v>
      </c>
      <c r="Q32" s="1810">
        <f t="shared" si="11"/>
        <v>111</v>
      </c>
      <c r="R32" s="774" t="s">
        <v>17</v>
      </c>
      <c r="S32" s="775">
        <f t="shared" si="12"/>
        <v>100</v>
      </c>
      <c r="T32" s="774" t="s">
        <v>17</v>
      </c>
      <c r="U32" s="775">
        <f t="shared" si="13"/>
        <v>100</v>
      </c>
      <c r="V32" s="774" t="s">
        <v>17</v>
      </c>
      <c r="W32" s="775">
        <f t="shared" si="14"/>
        <v>100</v>
      </c>
      <c r="X32" s="1813"/>
      <c r="Y32" s="3214" t="s">
        <v>2566</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30"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2549</v>
      </c>
      <c r="B7" s="409"/>
      <c r="C7" s="410">
        <f>'数据-取费表'!B2</f>
        <v>43668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5" si="3">D8/F8</f>
        <v>#DIV/0!</v>
      </c>
      <c r="AB8" s="773" t="e">
        <f t="shared" ref="AB8:AB45" si="4">D8/H8</f>
        <v>#DIV/0!</v>
      </c>
      <c r="AC8" s="773" t="e">
        <f t="shared" ref="AC8:AC45" si="5">D8/J8</f>
        <v>#DIV/0!</v>
      </c>
    </row>
    <row r="9" spans="1:30" s="117" customFormat="1">
      <c r="A9" s="415" t="s">
        <v>2554</v>
      </c>
      <c r="B9" s="71" t="s">
        <v>2555</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7"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07"/>
      <c r="Q10" s="1795" t="str">
        <f t="shared" si="6"/>
        <v>土地使用年限（年）</v>
      </c>
      <c r="R10" s="770" t="s">
        <v>17</v>
      </c>
      <c r="S10" s="771" t="e">
        <f t="shared" si="0"/>
        <v>#DIV/0!</v>
      </c>
      <c r="T10" s="770" t="s">
        <v>17</v>
      </c>
      <c r="U10" s="771" t="e">
        <f t="shared" si="1"/>
        <v>#DIV/0!</v>
      </c>
      <c r="V10" s="770" t="s">
        <v>17</v>
      </c>
      <c r="W10" s="771" t="e">
        <f t="shared" si="2"/>
        <v>#DIV/0!</v>
      </c>
      <c r="X10" s="772"/>
      <c r="Y10" s="3022"/>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2561</v>
      </c>
      <c r="Q15" s="1810" t="str">
        <f t="shared" si="6"/>
        <v>居住社区成熟度</v>
      </c>
      <c r="R15" s="774" t="s">
        <v>17</v>
      </c>
      <c r="S15" s="775">
        <f t="shared" si="0"/>
        <v>100</v>
      </c>
      <c r="T15" s="774" t="s">
        <v>17</v>
      </c>
      <c r="U15" s="775">
        <f t="shared" si="1"/>
        <v>100</v>
      </c>
      <c r="V15" s="774" t="s">
        <v>17</v>
      </c>
      <c r="W15" s="775">
        <f t="shared" si="2"/>
        <v>100</v>
      </c>
      <c r="X15" s="1813"/>
      <c r="Y15" s="3209" t="s">
        <v>2561</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2566</v>
      </c>
      <c r="Q36" s="1810">
        <f t="shared" si="8"/>
        <v>111</v>
      </c>
      <c r="R36" s="774" t="s">
        <v>17</v>
      </c>
      <c r="S36" s="775">
        <f t="shared" si="10"/>
        <v>100</v>
      </c>
      <c r="T36" s="774" t="s">
        <v>17</v>
      </c>
      <c r="U36" s="775">
        <f t="shared" si="11"/>
        <v>100</v>
      </c>
      <c r="V36" s="774" t="s">
        <v>17</v>
      </c>
      <c r="W36" s="775">
        <f t="shared" si="12"/>
        <v>100</v>
      </c>
      <c r="X36" s="1813"/>
      <c r="Y36" s="3214"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4" t="s">
        <v>2566</v>
      </c>
      <c r="Q42" s="1810" t="str">
        <f t="shared" si="14"/>
        <v>工程地质条件</v>
      </c>
      <c r="R42" s="774" t="s">
        <v>17</v>
      </c>
      <c r="S42" s="775">
        <f t="shared" si="10"/>
        <v>100</v>
      </c>
      <c r="T42" s="774" t="s">
        <v>17</v>
      </c>
      <c r="U42" s="775">
        <f t="shared" si="11"/>
        <v>100</v>
      </c>
      <c r="V42" s="774" t="s">
        <v>17</v>
      </c>
      <c r="W42" s="775">
        <f t="shared" si="12"/>
        <v>100</v>
      </c>
      <c r="X42" s="1813"/>
      <c r="Y42" s="3214"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2721</v>
      </c>
      <c r="B46" s="2707" t="s">
        <v>2757</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8" t="s">
        <v>2761</v>
      </c>
      <c r="D55" s="2709" t="s">
        <v>2762</v>
      </c>
      <c r="E55" s="686" t="s">
        <v>2763</v>
      </c>
      <c r="F55" s="1107" t="s">
        <v>2764</v>
      </c>
      <c r="G55" s="3190" t="s">
        <v>2765</v>
      </c>
      <c r="H55" s="3236"/>
      <c r="I55" s="144" t="s">
        <v>2766</v>
      </c>
      <c r="J55" s="2710">
        <f>项目基本情况!F35</f>
        <v>0</v>
      </c>
      <c r="K55" s="2711" t="s">
        <v>2767</v>
      </c>
      <c r="L55" s="1106"/>
      <c r="M55" s="1144"/>
      <c r="N55" s="1144"/>
      <c r="O55" s="1144"/>
    </row>
    <row r="56" spans="1:15" s="692" customFormat="1">
      <c r="A56" s="688" t="s">
        <v>2768</v>
      </c>
      <c r="B56" s="689" t="e">
        <f>C48</f>
        <v>#DIV/0!</v>
      </c>
      <c r="C56" s="690">
        <v>1</v>
      </c>
      <c r="D56" s="1163">
        <v>1</v>
      </c>
      <c r="E56" s="690">
        <f>'数据-汇总表'!E8+'数据-汇总表'!E9</f>
        <v>916.22</v>
      </c>
      <c r="F56" s="1103" t="e">
        <f t="shared" ref="F56:F65" si="15">ROUND(B56*E56/10000,0)</f>
        <v>#DIV/0!</v>
      </c>
      <c r="G56" s="3189"/>
      <c r="H56" s="3207"/>
      <c r="I56" s="1108">
        <v>1</v>
      </c>
      <c r="J56" s="1111">
        <v>1</v>
      </c>
      <c r="K56" s="1145"/>
      <c r="L56" s="941"/>
      <c r="M56" s="941"/>
      <c r="N56" s="941"/>
      <c r="O56" s="941"/>
    </row>
    <row r="57" spans="1:15" s="692" customFormat="1">
      <c r="A57" s="693" t="s">
        <v>2769</v>
      </c>
      <c r="B57" s="262" t="e">
        <f>ROUND($C$48*C57*D57,0)</f>
        <v>#DIV/0!</v>
      </c>
      <c r="C57" s="200">
        <f t="shared" ref="C57:C65" si="16">IF($C$55="北京市系数",I57,J57)</f>
        <v>0.6</v>
      </c>
      <c r="D57" s="1164">
        <v>0.25</v>
      </c>
      <c r="E57" s="694"/>
      <c r="F57" s="1103" t="e">
        <f t="shared" si="15"/>
        <v>#DIV/0!</v>
      </c>
      <c r="G57" s="3237" t="s">
        <v>2770</v>
      </c>
      <c r="H57" s="1104" t="str">
        <f>项目基本情况!B37</f>
        <v>十级</v>
      </c>
      <c r="I57" s="1108">
        <f>SUMIF(修正!A45:A56,H57,修正!B45:B56)</f>
        <v>0.6</v>
      </c>
      <c r="J57" s="1112"/>
      <c r="K57" s="1144"/>
      <c r="L57" s="941"/>
      <c r="M57" s="941"/>
      <c r="N57" s="941"/>
      <c r="O57" s="941"/>
    </row>
    <row r="58" spans="1:15" s="692" customFormat="1">
      <c r="A58" s="693" t="s">
        <v>2771</v>
      </c>
      <c r="B58" s="262" t="e">
        <f t="shared" ref="B58:B65" si="17">ROUND($C$48*C58*D58,0)</f>
        <v>#DIV/0!</v>
      </c>
      <c r="C58" s="200">
        <f t="shared" si="16"/>
        <v>0.3</v>
      </c>
      <c r="D58" s="1164">
        <v>0.25</v>
      </c>
      <c r="E58" s="694"/>
      <c r="F58" s="1103" t="e">
        <f t="shared" si="15"/>
        <v>#DIV/0!</v>
      </c>
      <c r="G58" s="3237"/>
      <c r="H58" s="1104" t="str">
        <f>项目基本情况!B37</f>
        <v>十级</v>
      </c>
      <c r="I58" s="1108">
        <f>SUMIF(修正!A45:A56,H58,修正!C45:C56)</f>
        <v>0.3</v>
      </c>
      <c r="J58" s="1112"/>
      <c r="K58" s="1145"/>
      <c r="L58" s="941"/>
      <c r="M58" s="941"/>
      <c r="N58" s="941"/>
      <c r="O58" s="941"/>
    </row>
    <row r="59" spans="1:15" s="692" customFormat="1">
      <c r="A59" s="693" t="s">
        <v>2772</v>
      </c>
      <c r="B59" s="262" t="e">
        <f t="shared" si="17"/>
        <v>#DIV/0!</v>
      </c>
      <c r="C59" s="200">
        <f t="shared" si="16"/>
        <v>0.2</v>
      </c>
      <c r="D59" s="1164">
        <v>0.25</v>
      </c>
      <c r="E59" s="694"/>
      <c r="F59" s="1103" t="e">
        <f t="shared" si="15"/>
        <v>#DIV/0!</v>
      </c>
      <c r="G59" s="3237"/>
      <c r="H59" s="1104" t="str">
        <f>项目基本情况!B37</f>
        <v>十级</v>
      </c>
      <c r="I59" s="1108">
        <f>SUMIF(修正!A45:A56,H59,修正!D45:D56)</f>
        <v>0.2</v>
      </c>
      <c r="J59" s="1112"/>
      <c r="K59" s="1144"/>
      <c r="L59" s="941"/>
      <c r="M59" s="941"/>
      <c r="N59" s="941"/>
      <c r="O59" s="941"/>
    </row>
    <row r="60" spans="1:15" s="692" customFormat="1">
      <c r="A60" s="693" t="s">
        <v>2773</v>
      </c>
      <c r="B60" s="262" t="e">
        <f t="shared" si="17"/>
        <v>#DIV/0!</v>
      </c>
      <c r="C60" s="200">
        <f t="shared" si="16"/>
        <v>0.2</v>
      </c>
      <c r="D60" s="1164">
        <v>0.25</v>
      </c>
      <c r="E60" s="694"/>
      <c r="F60" s="1103" t="e">
        <f t="shared" si="15"/>
        <v>#DIV/0!</v>
      </c>
      <c r="G60" s="3237"/>
      <c r="H60" s="1104" t="str">
        <f>项目基本情况!B37</f>
        <v>十级</v>
      </c>
      <c r="I60" s="1108">
        <f>SUMIF(修正!A45:A56,H60,修正!E45:E56)</f>
        <v>0.2</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2"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0.15</v>
      </c>
      <c r="D64" s="1164">
        <v>0.25</v>
      </c>
      <c r="E64" s="261">
        <f>'数据-汇总表'!E14</f>
        <v>0</v>
      </c>
      <c r="F64" s="1103" t="e">
        <f t="shared" si="15"/>
        <v>#DIV/0!</v>
      </c>
      <c r="G64" s="2712" t="s">
        <v>2770</v>
      </c>
      <c r="H64" s="1104" t="str">
        <f>项目基本情况!B37</f>
        <v>十级</v>
      </c>
      <c r="I64" s="1108">
        <f>SUMIF(修正!A45:A56,H64,修正!H45:H56)</f>
        <v>0.15</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3"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916.22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4"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2798</v>
      </c>
      <c r="D6" s="3239"/>
      <c r="E6" s="3240" t="s">
        <v>2798</v>
      </c>
      <c r="F6" s="3241"/>
      <c r="G6" s="3238" t="s">
        <v>2798</v>
      </c>
      <c r="H6" s="3239"/>
      <c r="I6" s="3238" t="s">
        <v>2798</v>
      </c>
      <c r="J6" s="3239"/>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7"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07"/>
      <c r="Q10" s="1795" t="str">
        <f t="shared" si="6"/>
        <v>土地使用年限（年）</v>
      </c>
      <c r="R10" s="770" t="s">
        <v>17</v>
      </c>
      <c r="S10" s="771" t="e">
        <f t="shared" si="0"/>
        <v>#DIV/0!</v>
      </c>
      <c r="T10" s="770" t="s">
        <v>17</v>
      </c>
      <c r="U10" s="771" t="e">
        <f t="shared" si="1"/>
        <v>#DIV/0!</v>
      </c>
      <c r="V10" s="770" t="s">
        <v>17</v>
      </c>
      <c r="W10" s="771" t="e">
        <f t="shared" si="2"/>
        <v>#DIV/0!</v>
      </c>
      <c r="X10" s="772"/>
      <c r="Y10" s="3022"/>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2561</v>
      </c>
      <c r="Q15" s="1810" t="str">
        <f t="shared" si="6"/>
        <v>产业集聚程度</v>
      </c>
      <c r="R15" s="774" t="s">
        <v>17</v>
      </c>
      <c r="S15" s="775">
        <f t="shared" si="0"/>
        <v>100</v>
      </c>
      <c r="T15" s="774" t="s">
        <v>17</v>
      </c>
      <c r="U15" s="775">
        <f t="shared" si="1"/>
        <v>100</v>
      </c>
      <c r="V15" s="774" t="s">
        <v>17</v>
      </c>
      <c r="W15" s="775">
        <f t="shared" si="2"/>
        <v>100</v>
      </c>
      <c r="X15" s="1813"/>
      <c r="Y15" s="3209" t="s">
        <v>2561</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2566</v>
      </c>
      <c r="Q32" s="1810">
        <f t="shared" si="8"/>
        <v>111</v>
      </c>
      <c r="R32" s="774" t="s">
        <v>17</v>
      </c>
      <c r="S32" s="775">
        <f t="shared" si="10"/>
        <v>100</v>
      </c>
      <c r="T32" s="774" t="s">
        <v>17</v>
      </c>
      <c r="U32" s="775">
        <f t="shared" si="11"/>
        <v>100</v>
      </c>
      <c r="V32" s="774" t="s">
        <v>17</v>
      </c>
      <c r="W32" s="775">
        <f t="shared" si="12"/>
        <v>100</v>
      </c>
      <c r="X32" s="1813"/>
      <c r="Y32" s="3214" t="s">
        <v>2566</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4" t="s">
        <v>2566</v>
      </c>
      <c r="Q37" s="1810" t="str">
        <f t="shared" si="14"/>
        <v>工程地质条件</v>
      </c>
      <c r="R37" s="774" t="s">
        <v>17</v>
      </c>
      <c r="S37" s="775">
        <f t="shared" si="10"/>
        <v>100</v>
      </c>
      <c r="T37" s="774" t="s">
        <v>17</v>
      </c>
      <c r="U37" s="775">
        <f t="shared" si="11"/>
        <v>100</v>
      </c>
      <c r="V37" s="774" t="s">
        <v>17</v>
      </c>
      <c r="W37" s="775">
        <f t="shared" si="12"/>
        <v>100</v>
      </c>
      <c r="X37" s="1813"/>
      <c r="Y37" s="3214"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2721</v>
      </c>
      <c r="B41" s="2707" t="s">
        <v>2801</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8" t="s">
        <v>2761</v>
      </c>
      <c r="D50" s="2709" t="s">
        <v>2762</v>
      </c>
      <c r="E50" s="686" t="s">
        <v>2763</v>
      </c>
      <c r="F50" s="687" t="s">
        <v>2764</v>
      </c>
      <c r="G50" s="3190" t="s">
        <v>2765</v>
      </c>
      <c r="H50" s="3236"/>
      <c r="I50" s="1814" t="s">
        <v>2802</v>
      </c>
      <c r="J50" s="1814">
        <f>项目基本情况!F35</f>
        <v>0</v>
      </c>
      <c r="K50" s="2711" t="s">
        <v>2767</v>
      </c>
      <c r="L50" s="1106"/>
      <c r="M50" s="1144"/>
      <c r="N50" s="1144"/>
      <c r="O50" s="1144"/>
    </row>
    <row r="51" spans="1:17" s="692" customFormat="1">
      <c r="A51" s="688" t="s">
        <v>2768</v>
      </c>
      <c r="B51" s="689" t="e">
        <f>C43</f>
        <v>#DIV/0!</v>
      </c>
      <c r="C51" s="690">
        <v>1</v>
      </c>
      <c r="D51" s="1163">
        <v>1</v>
      </c>
      <c r="E51" s="690">
        <f>'数据-汇总表'!E8+'数据-汇总表'!E9</f>
        <v>916.22</v>
      </c>
      <c r="F51" s="691" t="e">
        <f t="shared" ref="F51:F60" si="15">ROUND(B51*E51/10000,0)</f>
        <v>#DIV/0!</v>
      </c>
      <c r="G51" s="3189"/>
      <c r="H51" s="3207"/>
      <c r="I51" s="942">
        <v>1</v>
      </c>
      <c r="J51" s="942">
        <v>1</v>
      </c>
      <c r="K51" s="1145"/>
      <c r="L51" s="941"/>
      <c r="M51" s="941"/>
      <c r="N51" s="941"/>
      <c r="O51" s="941"/>
    </row>
    <row r="52" spans="1:17" s="692" customFormat="1">
      <c r="A52" s="693" t="s">
        <v>2769</v>
      </c>
      <c r="B52" s="262" t="e">
        <f>ROUND($C$43*C52*D52,0)</f>
        <v>#DIV/0!</v>
      </c>
      <c r="C52" s="200">
        <f t="shared" ref="C52:C60" si="16">IF($C$50="北京市系数",I52,J52)</f>
        <v>0.6</v>
      </c>
      <c r="D52" s="1164">
        <v>0.25</v>
      </c>
      <c r="E52" s="694"/>
      <c r="F52" s="691" t="e">
        <f t="shared" si="15"/>
        <v>#DIV/0!</v>
      </c>
      <c r="G52" s="3237" t="s">
        <v>2770</v>
      </c>
      <c r="H52" s="1104" t="str">
        <f>项目基本情况!B37</f>
        <v>十级</v>
      </c>
      <c r="I52" s="942">
        <f>SUMIF(修正!A45:A56,H52,修正!B45:B56)</f>
        <v>0.6</v>
      </c>
      <c r="J52" s="943"/>
      <c r="K52" s="1144"/>
      <c r="L52" s="941"/>
      <c r="M52" s="941"/>
      <c r="N52" s="941"/>
      <c r="O52" s="941"/>
    </row>
    <row r="53" spans="1:17" s="692" customFormat="1">
      <c r="A53" s="693" t="s">
        <v>2771</v>
      </c>
      <c r="B53" s="262" t="e">
        <f t="shared" ref="B53:B60" si="17">ROUND($C$43*C53*D53,0)</f>
        <v>#DIV/0!</v>
      </c>
      <c r="C53" s="200">
        <f t="shared" si="16"/>
        <v>0.3</v>
      </c>
      <c r="D53" s="1164">
        <v>0.25</v>
      </c>
      <c r="E53" s="694"/>
      <c r="F53" s="691" t="e">
        <f t="shared" si="15"/>
        <v>#DIV/0!</v>
      </c>
      <c r="G53" s="3237"/>
      <c r="H53" s="1104" t="str">
        <f>项目基本情况!B37</f>
        <v>十级</v>
      </c>
      <c r="I53" s="942">
        <f>SUMIF(修正!A45:A56,H53,修正!C45:C56)</f>
        <v>0.3</v>
      </c>
      <c r="J53" s="943"/>
      <c r="K53" s="1145"/>
      <c r="L53" s="941"/>
      <c r="M53" s="941"/>
      <c r="N53" s="941"/>
      <c r="O53" s="941"/>
    </row>
    <row r="54" spans="1:17" s="692" customFormat="1">
      <c r="A54" s="693" t="s">
        <v>2772</v>
      </c>
      <c r="B54" s="262" t="e">
        <f t="shared" si="17"/>
        <v>#DIV/0!</v>
      </c>
      <c r="C54" s="200">
        <f t="shared" si="16"/>
        <v>0.2</v>
      </c>
      <c r="D54" s="1164">
        <v>0.25</v>
      </c>
      <c r="E54" s="694"/>
      <c r="F54" s="691" t="e">
        <f t="shared" si="15"/>
        <v>#DIV/0!</v>
      </c>
      <c r="G54" s="3237"/>
      <c r="H54" s="1104" t="str">
        <f>项目基本情况!B37</f>
        <v>十级</v>
      </c>
      <c r="I54" s="942">
        <f>SUMIF(修正!A45:A56,H54,修正!D45:D56)</f>
        <v>0.2</v>
      </c>
      <c r="J54" s="943"/>
      <c r="K54" s="1144"/>
      <c r="L54" s="941"/>
      <c r="M54" s="941"/>
      <c r="N54" s="941"/>
      <c r="O54" s="941"/>
    </row>
    <row r="55" spans="1:17" s="692" customFormat="1">
      <c r="A55" s="693" t="s">
        <v>2773</v>
      </c>
      <c r="B55" s="262" t="e">
        <f t="shared" si="17"/>
        <v>#DIV/0!</v>
      </c>
      <c r="C55" s="200">
        <f t="shared" si="16"/>
        <v>0.2</v>
      </c>
      <c r="D55" s="1164">
        <v>0.25</v>
      </c>
      <c r="E55" s="694"/>
      <c r="F55" s="691" t="e">
        <f t="shared" si="15"/>
        <v>#DIV/0!</v>
      </c>
      <c r="G55" s="3237"/>
      <c r="H55" s="1104" t="str">
        <f>项目基本情况!B37</f>
        <v>十级</v>
      </c>
      <c r="I55" s="942">
        <f>SUMIF(修正!A45:A56,H55,修正!E45:E56)</f>
        <v>0.2</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2"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0.15</v>
      </c>
      <c r="D59" s="1164">
        <v>0.25</v>
      </c>
      <c r="E59" s="261">
        <f>'数据-汇总表'!E14</f>
        <v>0</v>
      </c>
      <c r="F59" s="691" t="e">
        <f t="shared" si="15"/>
        <v>#DIV/0!</v>
      </c>
      <c r="G59" s="2712" t="s">
        <v>2770</v>
      </c>
      <c r="H59" s="1104" t="str">
        <f>项目基本情况!B37</f>
        <v>十级</v>
      </c>
      <c r="I59" s="942">
        <f>SUMIF(修正!A45:A56,H59,修正!H45:H56)</f>
        <v>0.15</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3"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1308.9000000000001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4"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N31" sqref="N31"/>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2805</v>
      </c>
      <c r="B1" s="241"/>
      <c r="C1" s="245" t="s">
        <v>2806</v>
      </c>
      <c r="D1" s="388">
        <f>SUM(D29:D30,D33:D39)</f>
        <v>916.22</v>
      </c>
      <c r="E1" s="2720"/>
      <c r="F1" s="2720"/>
      <c r="G1" s="2720"/>
      <c r="H1" s="2720"/>
      <c r="I1" s="2720"/>
      <c r="J1" s="2720"/>
      <c r="K1" s="1370"/>
      <c r="L1" s="2721" t="s">
        <v>2807</v>
      </c>
      <c r="M1" s="1080">
        <f>SUMPRODUCT((区片价!B5:B9=I2)*(区片价!C3:F3=E2)*(区片价!C5:F9))</f>
        <v>0</v>
      </c>
      <c r="N1" s="1083">
        <f>SUMPRODUCT((因素修正幅度!B5:B9=I2)*(因素修正幅度!C3:F3=E2)*(因素修正幅度!C5:F9))</f>
        <v>0</v>
      </c>
      <c r="O1" s="2722"/>
      <c r="P1" s="2722"/>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621</v>
      </c>
      <c r="C2" s="2724" t="s">
        <v>2814</v>
      </c>
      <c r="D2" s="2725" t="s">
        <v>2815</v>
      </c>
      <c r="E2" s="2726" t="s">
        <v>1373</v>
      </c>
      <c r="F2" s="2725" t="s">
        <v>2816</v>
      </c>
      <c r="G2" s="2727" t="str">
        <f>IF(E2="商业",项目基本情况!B37,IF(E2="办公",项目基本情况!C37,IF(E2="住宅",项目基本情况!D37,项目基本情况!E37)))</f>
        <v>十级</v>
      </c>
      <c r="H2" s="2725" t="s">
        <v>2817</v>
      </c>
      <c r="I2" s="2727" t="str">
        <f>IF(E2="商业",项目基本情况!B38,IF(E2="办公",项目基本情况!C38,IF(E2="住宅",项目基本情况!D38,项目基本情况!E38)))</f>
        <v>Ⅹ-怀3</v>
      </c>
      <c r="J2" s="2728"/>
      <c r="K2" s="1370"/>
      <c r="L2" s="2729"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2.7743000000000002</v>
      </c>
      <c r="T2" s="1602">
        <f ca="1">ROUND($C$5*$C$18*$C$19*$C$20*S2*$C$24,0)</f>
        <v>9334</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ROUND(B2/D1*10000,0)</f>
        <v>6778</v>
      </c>
      <c r="C3" s="2724" t="s">
        <v>2820</v>
      </c>
      <c r="D3" s="2725" t="s">
        <v>2821</v>
      </c>
      <c r="E3" s="2730" t="s">
        <v>3056</v>
      </c>
      <c r="F3" s="2731" t="s">
        <v>3057</v>
      </c>
      <c r="G3" s="916">
        <f>IF(F3="宗地容积率",'数据-汇总表'!I4,IF(F3="估价对象容积率",'数据-汇总表'!I6,'数据-汇总表'!I7))</f>
        <v>0.7</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1.8284</v>
      </c>
      <c r="T3" s="1602">
        <f t="shared" ref="T3:T16" ca="1" si="0">ROUND($C$5*$C$18*$C$19*$C$20*S3*$C$24,0)</f>
        <v>6152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1.4389000000000001</v>
      </c>
      <c r="T4" s="1602">
        <f t="shared" ca="1" si="0"/>
        <v>4841</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f>ROUND(IF(E2="商业",C6*C7+C16,(IF(E2="住宅",C6*C12+C16,C6+C16))),0)</f>
        <v>2690</v>
      </c>
      <c r="D5" s="1787">
        <f>ROUND(C6+C16,0)</f>
        <v>2690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1.075</v>
      </c>
      <c r="T5" s="1602">
        <f t="shared" ca="1" si="0"/>
        <v>3617</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2690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0.80840000000000001</v>
      </c>
      <c r="T6" s="1602">
        <f t="shared" ca="1" si="0"/>
        <v>2720</v>
      </c>
      <c r="U6" s="1603"/>
      <c r="V6" s="1602">
        <f t="shared" ca="1" si="1"/>
        <v>0</v>
      </c>
      <c r="W6" s="1606"/>
      <c r="X6" s="1606"/>
      <c r="Y6" s="1606"/>
      <c r="Z6" s="1606"/>
      <c r="AA6" s="1606"/>
      <c r="AB6" s="1606"/>
      <c r="AC6" s="2738"/>
      <c r="AD6" s="2739"/>
      <c r="AE6" s="2739"/>
      <c r="AF6" s="2739"/>
      <c r="AG6" s="2739"/>
      <c r="AH6" s="2739"/>
      <c r="AI6" s="2739"/>
      <c r="AJ6" s="2740"/>
    </row>
    <row r="7" spans="1:36" ht="24">
      <c r="A7" s="3242" t="str">
        <f>IF(E2="商业",IF(C8="不临58条商业街","",2),"")</f>
        <v/>
      </c>
      <c r="B7" s="2748" t="s">
        <v>2832</v>
      </c>
      <c r="C7" s="919">
        <f>IF(C8="不临58条商业街",1,ROUND(1+(1.6*E8+1.2*E9+0.8*E10+0.4*E11)*C9,4))</f>
        <v>1</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0.64639999999999997</v>
      </c>
      <c r="T7" s="1602">
        <f t="shared" ca="1" si="0"/>
        <v>2175</v>
      </c>
      <c r="U7" s="1603"/>
      <c r="V7" s="1602">
        <f t="shared" ca="1" si="1"/>
        <v>0</v>
      </c>
      <c r="W7" s="1816" t="s">
        <v>2835</v>
      </c>
      <c r="X7" s="1604" t="str">
        <f>G2</f>
        <v>十级</v>
      </c>
      <c r="Y7" s="1604" t="s">
        <v>2836</v>
      </c>
      <c r="Z7" s="1605">
        <f>G3</f>
        <v>0.7</v>
      </c>
      <c r="AA7" s="1606"/>
      <c r="AB7" s="1606"/>
      <c r="AC7" s="1607"/>
      <c r="AD7" s="1608"/>
      <c r="AE7" s="1608"/>
      <c r="AF7" s="1608"/>
      <c r="AG7" s="1608"/>
      <c r="AH7" s="1608"/>
      <c r="AI7" s="1608"/>
      <c r="AJ7" s="1609"/>
    </row>
    <row r="8" spans="1:36" ht="25.5">
      <c r="A8" s="3262"/>
      <c r="B8" s="198" t="s">
        <v>2837</v>
      </c>
      <c r="C8" s="2753" t="s">
        <v>3058</v>
      </c>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5" t="s">
        <v>2840</v>
      </c>
      <c r="X8" s="325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2"/>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2864</v>
      </c>
      <c r="X11" s="1614" t="s">
        <v>2865</v>
      </c>
      <c r="Y11" s="1615">
        <f>$G$3</f>
        <v>0.7</v>
      </c>
      <c r="Z11" s="1615">
        <f t="shared" ref="Z11:AJ11" si="3">$G$3</f>
        <v>0.7</v>
      </c>
      <c r="AA11" s="1615">
        <f t="shared" si="3"/>
        <v>0.7</v>
      </c>
      <c r="AB11" s="1615">
        <f t="shared" si="3"/>
        <v>0.7</v>
      </c>
      <c r="AC11" s="1615">
        <f t="shared" si="3"/>
        <v>0.7</v>
      </c>
      <c r="AD11" s="1615">
        <f t="shared" si="3"/>
        <v>0.7</v>
      </c>
      <c r="AE11" s="1615">
        <f t="shared" si="3"/>
        <v>0.7</v>
      </c>
      <c r="AF11" s="1615">
        <f t="shared" si="3"/>
        <v>0.7</v>
      </c>
      <c r="AG11" s="1615">
        <f t="shared" si="3"/>
        <v>0.7</v>
      </c>
      <c r="AH11" s="1615">
        <f t="shared" si="3"/>
        <v>0.7</v>
      </c>
      <c r="AI11" s="1615">
        <f t="shared" si="3"/>
        <v>0.7</v>
      </c>
      <c r="AJ11" s="1615">
        <f t="shared" si="3"/>
        <v>0.7</v>
      </c>
    </row>
    <row r="12" spans="1:36" ht="25.5" thickBot="1">
      <c r="A12" s="3242"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1.0881428571428573</v>
      </c>
      <c r="Z13" s="1613">
        <f t="shared" ref="Z13:AJ13" si="5">(-0.163*(Z12^2)-0.59*Z12+7617)*(10^(-4))/Z11</f>
        <v>1.0881428571428573</v>
      </c>
      <c r="AA13" s="1613">
        <f t="shared" si="5"/>
        <v>1.0881428571428573</v>
      </c>
      <c r="AB13" s="1613">
        <f t="shared" si="5"/>
        <v>1.0881428571428573</v>
      </c>
      <c r="AC13" s="1613">
        <f t="shared" si="5"/>
        <v>1.0881428571428573</v>
      </c>
      <c r="AD13" s="1613">
        <f t="shared" si="5"/>
        <v>1.0881428571428573</v>
      </c>
      <c r="AE13" s="1613">
        <f t="shared" si="5"/>
        <v>1.0881428571428573</v>
      </c>
      <c r="AF13" s="1613">
        <f t="shared" si="5"/>
        <v>1.0881428571428573</v>
      </c>
      <c r="AG13" s="1613">
        <f t="shared" si="5"/>
        <v>1.0881428571428573</v>
      </c>
      <c r="AH13" s="1613">
        <f t="shared" si="5"/>
        <v>1.0881428571428573</v>
      </c>
      <c r="AI13" s="1613">
        <f t="shared" si="5"/>
        <v>1.0881428571428573</v>
      </c>
      <c r="AJ13" s="1613">
        <f t="shared" si="5"/>
        <v>1.0881428571428573</v>
      </c>
    </row>
    <row r="14" spans="1:36" ht="15">
      <c r="A14" s="3263"/>
      <c r="B14" s="2771"/>
      <c r="C14" s="2772"/>
      <c r="D14" s="2773"/>
      <c r="E14" s="2773"/>
      <c r="F14" s="2774"/>
      <c r="G14" s="2775" t="s">
        <v>2877</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4"/>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2" t="s">
        <v>2883</v>
      </c>
      <c r="B16" s="2748" t="s">
        <v>2884</v>
      </c>
      <c r="C16" s="2935">
        <f>ROUND(IF(F17="与级别开发程度一致",0,(G17-E17)/C17),0)</f>
        <v>0</v>
      </c>
      <c r="D16" s="3253" t="s">
        <v>2888</v>
      </c>
      <c r="E16" s="3254"/>
      <c r="F16" s="3253" t="s">
        <v>2885</v>
      </c>
      <c r="G16" s="3254"/>
      <c r="H16" s="2782" t="s">
        <v>3071</v>
      </c>
      <c r="I16" s="2782" t="s">
        <v>3072</v>
      </c>
      <c r="J16" s="2939" t="s">
        <v>3074</v>
      </c>
      <c r="K16" s="2782" t="s">
        <v>3073</v>
      </c>
      <c r="L16" s="2782" t="s">
        <v>3075</v>
      </c>
      <c r="M16" s="2782" t="s">
        <v>3076</v>
      </c>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3"/>
      <c r="B17" s="2946" t="s">
        <v>2887</v>
      </c>
      <c r="C17" s="2947">
        <f>SUMPRODUCT((修正!A2:A5=E2)*(修正!B1:M1=G2)*(修正!B2:M5))</f>
        <v>2</v>
      </c>
      <c r="D17" s="229" t="str">
        <f>IF(OR(G2="八级",G2="九级",G2="十级",G2="十一级",G2="十二级"),"五通一平","七通一平")</f>
        <v>五通一平</v>
      </c>
      <c r="E17" s="2936">
        <f>SUMPRODUCT((修正!B1:M1=G2)*(修正!B15:M15))</f>
        <v>155</v>
      </c>
      <c r="F17" s="2937" t="s">
        <v>3059</v>
      </c>
      <c r="G17" s="2938">
        <f>SUM(H17:O17)</f>
        <v>155</v>
      </c>
      <c r="H17" s="2947">
        <f>SUMPRODUCT((七通一平=H16)*(修正!B1:M1=G2)*(修正!B6:M14))</f>
        <v>50</v>
      </c>
      <c r="I17" s="2947">
        <f>SUMPRODUCT((七通一平=I16)*(修正!B1:M1=G2)*(修正!B6:M14))</f>
        <v>40</v>
      </c>
      <c r="J17" s="2948">
        <f>SUMPRODUCT((七通一平=J16)*(修正!B1:M1=G2)*(修正!B6:M14))</f>
        <v>10</v>
      </c>
      <c r="K17" s="2947">
        <f>SUMPRODUCT((七通一平=K16)*(修正!B1:M1=G2)*(修正!B6:M14))</f>
        <v>20</v>
      </c>
      <c r="L17" s="2947">
        <f>SUMPRODUCT((七通一平=L16)*(修正!B1:M1=G2)*(修正!B6:M14))</f>
        <v>25</v>
      </c>
      <c r="M17" s="2947">
        <f>SUMPRODUCT((七通一平=M16)*(修正!B1:M1=G2)*(修正!B6:M14))</f>
        <v>10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2890</v>
      </c>
      <c r="C18" s="2942">
        <f>SUMIF(修正!C18:C39,E3,修正!E18:E39)</f>
        <v>1.1000000000000001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2891</v>
      </c>
      <c r="C19" s="924">
        <f>ROUND(IF(H19="按公示增长率计算",SUMPRODUCT((地价!A3:A27=YEAR(G19)&amp;"-"&amp;ROUNDUP(MONTH(G19)/3,0))*(地价!X2:AB2=E2)*(地价!X3:AB27)),IF(H19="地价指数",M20/M19,(1+I19)^O19)),4)</f>
        <v>1.3557999999999999</v>
      </c>
      <c r="D19" s="2792" t="s">
        <v>2892</v>
      </c>
      <c r="E19" s="925">
        <v>41640</v>
      </c>
      <c r="F19" s="2792" t="s">
        <v>2893</v>
      </c>
      <c r="G19" s="926">
        <f>'数据-取费表'!B2</f>
        <v>43668</v>
      </c>
      <c r="H19" s="2793" t="s">
        <v>3060</v>
      </c>
      <c r="I19" s="927" t="str">
        <f>IF(H19="季度增幅（自定义）",SUMIF(N21:N24,E2,O21:O24),"")</f>
        <v/>
      </c>
      <c r="J19" s="2790"/>
      <c r="K19" s="1377"/>
      <c r="L19" s="2794" t="s">
        <v>2894</v>
      </c>
      <c r="M19" s="1734">
        <f>ROUND(SUMIF(地价!B2:F2,E2,地价!B27:F27),0)</f>
        <v>258</v>
      </c>
      <c r="N19" s="2795"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2896</v>
      </c>
      <c r="C20" s="929">
        <f ca="1">ROUND(POWER(1+G20,J20-I20)*(POWER(1+G20,I20)-1)/(POWER(1+G20,J20)-1),4)</f>
        <v>0.90139999999999998</v>
      </c>
      <c r="D20" s="2801" t="s">
        <v>2897</v>
      </c>
      <c r="E20" s="1768">
        <f ca="1">存贷款利率!D4/100</f>
        <v>4.3499999999999997E-2</v>
      </c>
      <c r="F20" s="2801" t="s">
        <v>2889</v>
      </c>
      <c r="G20" s="934">
        <f ca="1">SUMIF(M26:P26,E2,M28:P28)</f>
        <v>5.3999999999999999E-2</v>
      </c>
      <c r="H20" s="2801" t="s">
        <v>2898</v>
      </c>
      <c r="I20" s="935">
        <f>SUMIF('数据-取费表'!C6:C15,E2,'数据-取费表'!F6:F15)/COUNTIF('数据-取费表'!C6:C15,E2)</f>
        <v>29.8</v>
      </c>
      <c r="J20" s="936">
        <f>IF(E2="住宅",70,IF(E2="商业",40,50))</f>
        <v>40</v>
      </c>
      <c r="K20" s="1377"/>
      <c r="L20" s="2802" t="s">
        <v>2899</v>
      </c>
      <c r="M20" s="1735">
        <f>ROUND(SUMPRODUCT((地价!A4:A27=YEAR(G19)&amp;"-"&amp;ROUNDUP(MONTH(G19)/3,0))*(地价!B2:F2=E2)*(地价!B4:F27)),0)</f>
        <v>350</v>
      </c>
      <c r="N20" s="2803" t="s">
        <v>2900</v>
      </c>
      <c r="O20" s="2804" t="s">
        <v>2901</v>
      </c>
      <c r="P20" s="2805" t="s">
        <v>2902</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3061</v>
      </c>
      <c r="C21" s="937">
        <f>IF(B21="容积率修正",IF(G3&lt;=10,D22,J22),C23)</f>
        <v>2.0139</v>
      </c>
      <c r="D21" s="2808"/>
      <c r="E21" s="2808"/>
      <c r="F21" s="2808"/>
      <c r="G21" s="2808"/>
      <c r="H21" s="2808"/>
      <c r="I21" s="2808"/>
      <c r="J21" s="2809"/>
      <c r="K21" s="1377"/>
      <c r="N21" s="2810"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f>IF(E22=G22,F22,IF(G3&lt;=10,ROUND(F22+(H22-F22)*(G3-E22)/(G22-E22),4),"——"))</f>
        <v>2.0139</v>
      </c>
      <c r="E22" s="916">
        <f>ROUNDDOWN(G3,1)</f>
        <v>0.7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2.0139</v>
      </c>
      <c r="I22" s="1810" t="s">
        <v>155</v>
      </c>
      <c r="J22" s="938" t="str">
        <f>IF(G3&gt;10,D113,"——")</f>
        <v>——</v>
      </c>
      <c r="K22" s="1377"/>
      <c r="N22" s="2810"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0.9304</v>
      </c>
      <c r="D24" s="2789"/>
      <c r="E24" s="2818"/>
      <c r="F24" s="2818"/>
      <c r="G24" s="2818"/>
      <c r="H24" s="2818"/>
      <c r="I24" s="2818"/>
      <c r="J24" s="2819"/>
      <c r="K24" s="1377"/>
      <c r="N24" s="2820"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2915</v>
      </c>
      <c r="C26" s="206">
        <f ca="1">E29+SUM(E33:E39)</f>
        <v>621</v>
      </c>
      <c r="D26" s="2825"/>
      <c r="E26" s="2776"/>
      <c r="F26" s="2826"/>
      <c r="G26" s="2776"/>
      <c r="H26" s="2776"/>
      <c r="I26" s="2776"/>
      <c r="J26" s="2827"/>
      <c r="K26" s="1370"/>
      <c r="L26" s="2780" t="s">
        <v>2815</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2916</v>
      </c>
      <c r="C27" s="931">
        <f ca="1">E30+SUM(I33:I39)</f>
        <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f ca="1">ROUND(C5*C18*C19*C20*C21*C24,0)</f>
        <v>6776</v>
      </c>
      <c r="D29" s="2840">
        <v>916.22</v>
      </c>
      <c r="E29" s="942">
        <f ca="1">ROUND(C29*D29/10000,0)</f>
        <v>621</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f ca="1">ROUND(IF(E2="工业",C29*M39,C29*M38),0)</f>
        <v>1694</v>
      </c>
      <c r="D30" s="2846"/>
      <c r="E30" s="942">
        <f ca="1">ROUND(C30*D30/10000,0)</f>
        <v>0</v>
      </c>
      <c r="F30" s="2847" t="s">
        <v>2924</v>
      </c>
      <c r="G30" s="2848"/>
      <c r="H30" s="2848"/>
      <c r="I30" s="2848"/>
      <c r="J30" s="2849"/>
      <c r="K30" s="1370"/>
      <c r="L30" s="1370">
        <f ca="1">ROUND(D29*C29,0)</f>
        <v>6208307</v>
      </c>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50" t="s">
        <v>2929</v>
      </c>
      <c r="B33" s="2856" t="s">
        <v>2930</v>
      </c>
      <c r="C33" s="206">
        <f ca="1">ROUND(D5*C19*C20*C24*F33,0)</f>
        <v>1835</v>
      </c>
      <c r="D33" s="2840"/>
      <c r="E33" s="200">
        <f ca="1">ROUND(C33*D33/10000,0)</f>
        <v>0</v>
      </c>
      <c r="F33" s="200">
        <f>SUMIF(修正!A45:A56,G2,修正!B45:B56)</f>
        <v>0.6</v>
      </c>
      <c r="G33" s="200">
        <f t="shared" ref="G33" ca="1" si="6">ROUND(IF(E2="工业",C33*$M$39,C33*$M$38),0)</f>
        <v>459</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8" t="s">
        <v>2931</v>
      </c>
      <c r="C34" s="206">
        <f ca="1">ROUND(D5*C19*C20*C24*F34,0)</f>
        <v>918</v>
      </c>
      <c r="D34" s="2840"/>
      <c r="E34" s="200">
        <f t="shared" ref="E34:E39" ca="1" si="7">ROUND(C34*D34/10000,0)</f>
        <v>0</v>
      </c>
      <c r="F34" s="200">
        <f>SUMIF(修正!A45:A56,G2,修正!C45:C56)</f>
        <v>0.3</v>
      </c>
      <c r="G34" s="200">
        <f ca="1">ROUND(IF(E2="工业",C34*$M$39,C34*$M$38),0)</f>
        <v>230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8" t="s">
        <v>2932</v>
      </c>
      <c r="C35" s="206">
        <f ca="1">ROUND(D5*C19*C20*C24*F35,0)</f>
        <v>612</v>
      </c>
      <c r="D35" s="2840"/>
      <c r="E35" s="200">
        <f t="shared" ca="1" si="7"/>
        <v>0</v>
      </c>
      <c r="F35" s="200">
        <f>SUMIF(修正!A45:A56,G2,修正!D45:D56)</f>
        <v>0.2</v>
      </c>
      <c r="G35" s="200">
        <f ca="1">ROUND(IF(E2="工业",C35*$M$39,C35*$M$38),0)</f>
        <v>153</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52"/>
      <c r="B36" s="2768" t="s">
        <v>2933</v>
      </c>
      <c r="C36" s="206">
        <f ca="1">ROUND(D5*C19*C20*C24*F36,0)</f>
        <v>612</v>
      </c>
      <c r="D36" s="2840"/>
      <c r="E36" s="200">
        <f t="shared" ca="1" si="7"/>
        <v>0</v>
      </c>
      <c r="F36" s="200">
        <f>SUMIF(修正!A45:A56,G2,修正!E45:E56)</f>
        <v>0.2</v>
      </c>
      <c r="G36" s="200">
        <f ca="1">ROUND(IF(E2="工业",C36*$M$39,C36*$M$38),0)</f>
        <v>153</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f ca="1">ROUND(D5*C19*C20*C24*F37,0)</f>
        <v>612</v>
      </c>
      <c r="D37" s="2840"/>
      <c r="E37" s="200">
        <f t="shared" ca="1" si="7"/>
        <v>0</v>
      </c>
      <c r="F37" s="206">
        <f>SUMIF(修正!A45:A56,G2,修正!F45:F56)</f>
        <v>0.2</v>
      </c>
      <c r="G37" s="200">
        <f ca="1">ROUND(IF(E2="工业",C37*$M$39,C37*$M$38),0)</f>
        <v>153</v>
      </c>
      <c r="H37" s="200">
        <f t="shared" si="8"/>
        <v>0</v>
      </c>
      <c r="I37" s="200">
        <f t="shared" ca="1" si="9"/>
        <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3049</v>
      </c>
      <c r="C41" s="388">
        <f ca="1">ROUND(POWER(1+E41,H41-G41)*(POWER(1+E41,G41)-1)/(POWER(1+E41,H41)-1),4)</f>
        <v>0</v>
      </c>
      <c r="D41" s="200" t="s">
        <v>2889</v>
      </c>
      <c r="E41" s="2932">
        <f ca="1">G20</f>
        <v>5.3999999999999999E-2</v>
      </c>
      <c r="F41" s="200" t="s">
        <v>2898</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0.9304</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t="s">
        <v>3064</v>
      </c>
      <c r="D48" s="1286">
        <f t="shared" ref="D48:D56" si="10">SUMIF($J$47:$N$47,C48,J48:N48)</f>
        <v>-4.9399999999999999E-2</v>
      </c>
      <c r="E48" s="821">
        <f>ROUND(SUM(D48:D56),4)</f>
        <v>-6.9599999999999995E-2</v>
      </c>
      <c r="F48" s="2504">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t="s">
        <v>3065</v>
      </c>
      <c r="D49" s="1286">
        <f t="shared" si="10"/>
        <v>-1.8700000000000001E-2</v>
      </c>
      <c r="E49" s="822"/>
      <c r="F49" s="2504"/>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t="s">
        <v>3066</v>
      </c>
      <c r="D50" s="1286">
        <f t="shared" si="10"/>
        <v>0</v>
      </c>
      <c r="E50" s="822"/>
      <c r="F50" s="2504"/>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73" t="s">
        <v>2952</v>
      </c>
      <c r="B51" s="2878" t="s">
        <v>2953</v>
      </c>
      <c r="C51" s="2773" t="s">
        <v>3066</v>
      </c>
      <c r="D51" s="1286">
        <f t="shared" si="10"/>
        <v>0</v>
      </c>
      <c r="E51" s="822"/>
      <c r="F51" s="2504"/>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t="s">
        <v>3065</v>
      </c>
      <c r="D52" s="1286">
        <f t="shared" si="10"/>
        <v>-6.0000000000000001E-3</v>
      </c>
      <c r="E52" s="822"/>
      <c r="F52" s="2504"/>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73" t="s">
        <v>2955</v>
      </c>
      <c r="B53" s="2879" t="s">
        <v>2956</v>
      </c>
      <c r="C53" s="2773" t="s">
        <v>3066</v>
      </c>
      <c r="D53" s="1286">
        <f t="shared" si="10"/>
        <v>0</v>
      </c>
      <c r="E53" s="822"/>
      <c r="F53" s="2504"/>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t="s">
        <v>3066</v>
      </c>
      <c r="D54" s="1286">
        <f t="shared" si="10"/>
        <v>0</v>
      </c>
      <c r="E54" s="822"/>
      <c r="F54" s="2504"/>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t="s">
        <v>3066</v>
      </c>
      <c r="D55" s="1286">
        <f t="shared" si="10"/>
        <v>0</v>
      </c>
      <c r="E55" s="822"/>
      <c r="F55" s="2504"/>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t="s">
        <v>3067</v>
      </c>
      <c r="D56" s="1286">
        <f t="shared" si="10"/>
        <v>4.4999999999999997E-3</v>
      </c>
      <c r="E56" s="825"/>
      <c r="F56" s="2504"/>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2966</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2598</v>
      </c>
      <c r="K80" s="603" t="s">
        <v>2599</v>
      </c>
      <c r="L80" s="603" t="s">
        <v>2600</v>
      </c>
      <c r="M80" s="603" t="s">
        <v>2601</v>
      </c>
      <c r="N80" s="603" t="s">
        <v>2602</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2951</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2965</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2957</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2958</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2955</v>
      </c>
      <c r="B87" s="2879" t="s">
        <v>2969</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44" t="s">
        <v>2971</v>
      </c>
      <c r="B90" s="3244"/>
      <c r="C90" s="3244"/>
      <c r="D90" s="3244"/>
      <c r="E90" s="3244"/>
      <c r="F90" s="3244"/>
      <c r="G90" s="3244"/>
      <c r="H90" s="3244"/>
      <c r="I90" s="3244"/>
      <c r="J90" s="3244"/>
      <c r="K90" s="2887"/>
      <c r="L90" s="2887"/>
      <c r="M90" s="2887"/>
      <c r="N90" s="2887"/>
    </row>
    <row r="91" spans="1:37">
      <c r="A91" s="3246" t="s">
        <v>2972</v>
      </c>
      <c r="B91" s="3246" t="s">
        <v>2973</v>
      </c>
      <c r="C91" s="2841" t="s">
        <v>2974</v>
      </c>
      <c r="D91" s="2842"/>
      <c r="E91" s="2842"/>
      <c r="F91" s="2842"/>
      <c r="G91" s="2842"/>
      <c r="H91" s="2842"/>
      <c r="I91" s="2842"/>
      <c r="J91" s="2888"/>
      <c r="K91" s="2889"/>
      <c r="L91" s="2889"/>
      <c r="M91" s="2889"/>
      <c r="N91" s="2889"/>
    </row>
    <row r="92" spans="1:37">
      <c r="A92" s="3246"/>
      <c r="B92" s="324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7"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8"/>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4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47" t="s">
        <v>2976</v>
      </c>
      <c r="B101" s="2894" t="s">
        <v>2977</v>
      </c>
      <c r="C101" s="2895">
        <f>$G$3</f>
        <v>0.7</v>
      </c>
      <c r="D101" s="2895">
        <f t="shared" ref="D101:N101" si="31">$G$3</f>
        <v>0.7</v>
      </c>
      <c r="E101" s="2895">
        <f t="shared" si="31"/>
        <v>0.7</v>
      </c>
      <c r="F101" s="2895">
        <f t="shared" si="31"/>
        <v>0.7</v>
      </c>
      <c r="G101" s="2895">
        <f t="shared" si="31"/>
        <v>0.7</v>
      </c>
      <c r="H101" s="2895">
        <f t="shared" si="31"/>
        <v>0.7</v>
      </c>
      <c r="I101" s="2895">
        <f t="shared" si="31"/>
        <v>0.7</v>
      </c>
      <c r="J101" s="2895">
        <f t="shared" si="31"/>
        <v>0.7</v>
      </c>
      <c r="K101" s="2895">
        <f t="shared" si="31"/>
        <v>0.7</v>
      </c>
      <c r="L101" s="2895">
        <f t="shared" si="31"/>
        <v>0.7</v>
      </c>
      <c r="M101" s="2895">
        <f t="shared" si="31"/>
        <v>0.7</v>
      </c>
      <c r="N101" s="2895">
        <f t="shared" si="31"/>
        <v>0.7</v>
      </c>
    </row>
    <row r="102" spans="1:14">
      <c r="A102" s="3248"/>
      <c r="B102" s="2890">
        <v>1</v>
      </c>
      <c r="C102" s="2891">
        <f>1.9362/C101</f>
        <v>2.766</v>
      </c>
      <c r="D102" s="2891">
        <f>1.9362/D101</f>
        <v>2.766</v>
      </c>
      <c r="E102" s="2891">
        <f>1.8629/E101</f>
        <v>2.6612857142857145</v>
      </c>
      <c r="F102" s="2891">
        <f>1.8629/F101</f>
        <v>2.6612857142857145</v>
      </c>
      <c r="G102" s="2891">
        <f>1.8629/G101</f>
        <v>2.6612857142857145</v>
      </c>
      <c r="H102" s="2891">
        <f>1.8629/H101</f>
        <v>2.6612857142857145</v>
      </c>
      <c r="I102" s="2891">
        <f>1.8629/I101</f>
        <v>2.6612857142857145</v>
      </c>
      <c r="J102" s="2891">
        <f>1.942/J101</f>
        <v>2.7742857142857145</v>
      </c>
      <c r="K102" s="2891">
        <f>1.942/K101</f>
        <v>2.7742857142857145</v>
      </c>
      <c r="L102" s="2891">
        <f>1.942/L101</f>
        <v>2.7742857142857145</v>
      </c>
      <c r="M102" s="2891">
        <f>1.942/M101</f>
        <v>2.7742857142857145</v>
      </c>
      <c r="N102" s="2891">
        <f>1.942/N101</f>
        <v>2.7742857142857145</v>
      </c>
    </row>
    <row r="103" spans="1:14">
      <c r="A103" s="3248"/>
      <c r="B103" s="2890">
        <v>2</v>
      </c>
      <c r="C103" s="2891">
        <f>1.4198/C101</f>
        <v>2.0282857142857145</v>
      </c>
      <c r="D103" s="2891">
        <f>1.4198/D101</f>
        <v>2.0282857142857145</v>
      </c>
      <c r="E103" s="2891">
        <f>1.3372/E101</f>
        <v>1.9102857142857144</v>
      </c>
      <c r="F103" s="2891">
        <f>1.3372/F101</f>
        <v>1.9102857142857144</v>
      </c>
      <c r="G103" s="2891">
        <f>1.3372/G101</f>
        <v>1.9102857142857144</v>
      </c>
      <c r="H103" s="2891">
        <f>1.3372/H101</f>
        <v>1.9102857142857144</v>
      </c>
      <c r="I103" s="2891">
        <f>1.3372/I101</f>
        <v>1.9102857142857144</v>
      </c>
      <c r="J103" s="2891">
        <f>1.2799/J101</f>
        <v>1.8284285714285715</v>
      </c>
      <c r="K103" s="2891">
        <f>1.2799/K101</f>
        <v>1.8284285714285715</v>
      </c>
      <c r="L103" s="2891">
        <f>1.2799/L101</f>
        <v>1.8284285714285715</v>
      </c>
      <c r="M103" s="2891">
        <f>1.2799/M101</f>
        <v>1.8284285714285715</v>
      </c>
      <c r="N103" s="2891">
        <f>1.2799/N101</f>
        <v>1.8284285714285715</v>
      </c>
    </row>
    <row r="104" spans="1:14">
      <c r="A104" s="3248"/>
      <c r="B104" s="2890">
        <v>3</v>
      </c>
      <c r="C104" s="2891">
        <f>1.1594/C101</f>
        <v>1.6562857142857144</v>
      </c>
      <c r="D104" s="2891">
        <f>1.1594/D101</f>
        <v>1.6562857142857144</v>
      </c>
      <c r="E104" s="2891">
        <f>1.0788/E101</f>
        <v>1.5411428571428571</v>
      </c>
      <c r="F104" s="2891">
        <f>1.0788/F101</f>
        <v>1.5411428571428571</v>
      </c>
      <c r="G104" s="2891">
        <f>1.0788/G101</f>
        <v>1.5411428571428571</v>
      </c>
      <c r="H104" s="2891">
        <f>1.0788/H101</f>
        <v>1.5411428571428571</v>
      </c>
      <c r="I104" s="2891">
        <f>1.0788/I101</f>
        <v>1.5411428571428571</v>
      </c>
      <c r="J104" s="2891">
        <f>1.0072/J101</f>
        <v>1.4388571428571431</v>
      </c>
      <c r="K104" s="2891">
        <f>1.0072/K101</f>
        <v>1.4388571428571431</v>
      </c>
      <c r="L104" s="2891">
        <f>1.0072/L101</f>
        <v>1.4388571428571431</v>
      </c>
      <c r="M104" s="2891">
        <f>1.0072/M101</f>
        <v>1.4388571428571431</v>
      </c>
      <c r="N104" s="2891">
        <f>1.0072/N101</f>
        <v>1.4388571428571431</v>
      </c>
    </row>
    <row r="105" spans="1:14">
      <c r="A105" s="3248"/>
      <c r="B105" s="2890">
        <v>4</v>
      </c>
      <c r="C105" s="2891">
        <f>0.9622/C101</f>
        <v>1.3745714285714288</v>
      </c>
      <c r="D105" s="2891">
        <f>0.9622/D101</f>
        <v>1.3745714285714288</v>
      </c>
      <c r="E105" s="2891">
        <f>0.8656/E101</f>
        <v>1.2365714285714287</v>
      </c>
      <c r="F105" s="2891">
        <f>0.8656/F101</f>
        <v>1.2365714285714287</v>
      </c>
      <c r="G105" s="2891">
        <f>0.8656/G101</f>
        <v>1.2365714285714287</v>
      </c>
      <c r="H105" s="2891">
        <f>0.8656/H101</f>
        <v>1.2365714285714287</v>
      </c>
      <c r="I105" s="2891">
        <f>0.8656/I101</f>
        <v>1.2365714285714287</v>
      </c>
      <c r="J105" s="2891">
        <f>0.7525/J101</f>
        <v>1.075</v>
      </c>
      <c r="K105" s="2891">
        <f>0.7525/K101</f>
        <v>1.075</v>
      </c>
      <c r="L105" s="2891">
        <f>0.7525/L101</f>
        <v>1.075</v>
      </c>
      <c r="M105" s="2891">
        <f>0.7525/M101</f>
        <v>1.075</v>
      </c>
      <c r="N105" s="2891">
        <f>0.7525/N101</f>
        <v>1.075</v>
      </c>
    </row>
    <row r="106" spans="1:14">
      <c r="A106" s="3248"/>
      <c r="B106" s="2890">
        <v>5</v>
      </c>
      <c r="C106" s="2891">
        <f>0.8417/C101</f>
        <v>1.2024285714285714</v>
      </c>
      <c r="D106" s="2891">
        <f>0.8417/D101</f>
        <v>1.2024285714285714</v>
      </c>
      <c r="E106" s="2891">
        <f>0.7371/E101</f>
        <v>1.0529999999999999</v>
      </c>
      <c r="F106" s="2891">
        <f>0.7371/F101</f>
        <v>1.0529999999999999</v>
      </c>
      <c r="G106" s="2891">
        <f>0.7371/G101</f>
        <v>1.0529999999999999</v>
      </c>
      <c r="H106" s="2891">
        <f>0.7371/H101</f>
        <v>1.0529999999999999</v>
      </c>
      <c r="I106" s="2891">
        <f>0.7371/I101</f>
        <v>1.0529999999999999</v>
      </c>
      <c r="J106" s="2891">
        <f>0.5659/J101</f>
        <v>0.80842857142857139</v>
      </c>
      <c r="K106" s="2891">
        <f>0.5659/K101</f>
        <v>0.80842857142857139</v>
      </c>
      <c r="L106" s="2891">
        <f>0.5659/L101</f>
        <v>0.80842857142857139</v>
      </c>
      <c r="M106" s="2891">
        <f>0.5659/M101</f>
        <v>0.80842857142857139</v>
      </c>
      <c r="N106" s="2891">
        <f>0.5659/N101</f>
        <v>0.80842857142857139</v>
      </c>
    </row>
    <row r="107" spans="1:14">
      <c r="A107" s="3248"/>
      <c r="B107" s="2890">
        <v>6</v>
      </c>
      <c r="C107" s="2891">
        <f>0.7608/C101</f>
        <v>1.086857142857143</v>
      </c>
      <c r="D107" s="2891">
        <f>0.7608/D101</f>
        <v>1.086857142857143</v>
      </c>
      <c r="E107" s="2891">
        <f>0.6482/E101</f>
        <v>0.92600000000000005</v>
      </c>
      <c r="F107" s="2891">
        <f>0.6482/F101</f>
        <v>0.92600000000000005</v>
      </c>
      <c r="G107" s="2891">
        <f>0.6482/G101</f>
        <v>0.92600000000000005</v>
      </c>
      <c r="H107" s="2891">
        <f>0.6482/H101</f>
        <v>0.92600000000000005</v>
      </c>
      <c r="I107" s="2891">
        <f>0.6482/I101</f>
        <v>0.92600000000000005</v>
      </c>
      <c r="J107" s="2891">
        <f>0.4525/J101</f>
        <v>0.64642857142857146</v>
      </c>
      <c r="K107" s="2891">
        <f>0.4525/K101</f>
        <v>0.64642857142857146</v>
      </c>
      <c r="L107" s="2891">
        <f>0.4525/L101</f>
        <v>0.64642857142857146</v>
      </c>
      <c r="M107" s="2891">
        <f>0.4525/M101</f>
        <v>0.64642857142857146</v>
      </c>
      <c r="N107" s="2891">
        <f>0.4525/N101</f>
        <v>0.64642857142857146</v>
      </c>
    </row>
    <row r="108" spans="1:14">
      <c r="A108" s="3248"/>
      <c r="B108" s="3076"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49"/>
      <c r="B109" s="3077"/>
      <c r="C109" s="2893">
        <f>(-0.163*(C108^2)-0.59*C108+7617)*(10^(-4))/C101</f>
        <v>1.0881428571428573</v>
      </c>
      <c r="D109" s="2893">
        <f>(-0.163*(D108^2)-0.59*D108+7617)*(10^(-4))/D101</f>
        <v>1.0881428571428573</v>
      </c>
      <c r="E109" s="2893">
        <f>(-0.161*(E108^2)-7.509*E108+6533)*(10^(-4))/E101</f>
        <v>0.93328571428571439</v>
      </c>
      <c r="F109" s="2893">
        <f>(-0.161*(F108^2)-7.509*F108+6533)*(10^(-4))/F101</f>
        <v>0.93328571428571439</v>
      </c>
      <c r="G109" s="2893">
        <f>(-0.161*(G108^2)-7.509*G108+6533)*(10^(-4))/G101</f>
        <v>0.93328571428571439</v>
      </c>
      <c r="H109" s="2893">
        <f>(-0.161*(H108^2)-7.509*H108+6533)*(10^(-4))/H101</f>
        <v>0.93328571428571439</v>
      </c>
      <c r="I109" s="2893">
        <f>(-0.161*(I108^2)-7.509*I108+6533)*(10^(-4))/I101</f>
        <v>0.93328571428571439</v>
      </c>
      <c r="J109" s="2893">
        <f>(-0.214*(J108^2)-21.991*J108+4665)*(10^(-4))/J101</f>
        <v>0.66642857142857148</v>
      </c>
      <c r="K109" s="2893">
        <f>(-0.214*(K108^2)-21.991*K108+4665)*(10^(-4))/K101</f>
        <v>0.66642857142857148</v>
      </c>
      <c r="L109" s="2893">
        <f>(-0.214*(L108^2)-21.991*L108+4665)*(10^(-4))/L101</f>
        <v>0.66642857142857148</v>
      </c>
      <c r="M109" s="2893">
        <f>(-0.214*(M108^2)-21.991*M108+4665)*(10^(-4))/M101</f>
        <v>0.66642857142857148</v>
      </c>
      <c r="N109" s="2893">
        <f>(-0.214*(N108^2)-21.991*N108+4665)*(10^(-4))/N101</f>
        <v>0.66642857142857148</v>
      </c>
    </row>
    <row r="110" spans="1:14">
      <c r="A110" s="3245" t="s">
        <v>2979</v>
      </c>
      <c r="B110" s="3245"/>
      <c r="C110" s="3245"/>
      <c r="D110" s="3245"/>
      <c r="E110" s="3245"/>
      <c r="F110" s="3245"/>
      <c r="G110" s="3245"/>
      <c r="H110" s="3245"/>
      <c r="I110" s="3245"/>
      <c r="J110" s="3245"/>
      <c r="K110" s="2896"/>
      <c r="L110" s="2896"/>
      <c r="M110" s="2896"/>
      <c r="N110" s="2896"/>
    </row>
    <row r="112" spans="1:14" ht="13.5" thickBot="1"/>
    <row r="113" spans="1:13" ht="25.5" thickBot="1">
      <c r="A113" s="903" t="s">
        <v>2980</v>
      </c>
      <c r="B113" s="1287">
        <f>G3</f>
        <v>0.7</v>
      </c>
      <c r="C113" s="904" t="s">
        <v>2981</v>
      </c>
      <c r="D113" s="905">
        <f>SUMPRODUCT((A115:A118=F113)*(B114:M114=H113)*B115:M118)</f>
        <v>0.67820000000000003</v>
      </c>
      <c r="E113" s="2727" t="s">
        <v>2815</v>
      </c>
      <c r="F113" s="2898" t="str">
        <f>E2</f>
        <v>商业</v>
      </c>
      <c r="G113" s="2727" t="s">
        <v>2816</v>
      </c>
      <c r="H113" s="2898" t="str">
        <f>G2</f>
        <v>十级</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2879</v>
      </c>
      <c r="B115" s="910">
        <f>ROUND(0.9335-0.0094*B113,4)</f>
        <v>0.92689999999999995</v>
      </c>
      <c r="C115" s="910">
        <f>B115</f>
        <v>0.92689999999999995</v>
      </c>
      <c r="D115" s="910">
        <f>ROUND(0.8331-0.0109*B113,4)</f>
        <v>0.82550000000000001</v>
      </c>
      <c r="E115" s="910">
        <f>D115</f>
        <v>0.82550000000000001</v>
      </c>
      <c r="F115" s="910">
        <f>E115</f>
        <v>0.82550000000000001</v>
      </c>
      <c r="G115" s="910">
        <f>F115</f>
        <v>0.82550000000000001</v>
      </c>
      <c r="H115" s="910">
        <f>G115</f>
        <v>0.82550000000000001</v>
      </c>
      <c r="I115" s="910">
        <f>ROUND(0.689-0.0155*B113,4)</f>
        <v>0.67820000000000003</v>
      </c>
      <c r="J115" s="910">
        <f t="shared" ref="J115:M118" si="33">I115</f>
        <v>0.67820000000000003</v>
      </c>
      <c r="K115" s="910">
        <f t="shared" si="33"/>
        <v>0.67820000000000003</v>
      </c>
      <c r="L115" s="910">
        <f t="shared" si="33"/>
        <v>0.67820000000000003</v>
      </c>
      <c r="M115" s="911">
        <f t="shared" si="33"/>
        <v>0.67820000000000003</v>
      </c>
    </row>
    <row r="116" spans="1:13">
      <c r="A116" s="909" t="s">
        <v>2880</v>
      </c>
      <c r="B116" s="910">
        <f>ROUND(0.949-0.012*B113,4)</f>
        <v>0.94059999999999999</v>
      </c>
      <c r="C116" s="910">
        <f>B116</f>
        <v>0.94059999999999999</v>
      </c>
      <c r="D116" s="910">
        <f>ROUND(0.8567-0.013*B113,4)</f>
        <v>0.84760000000000002</v>
      </c>
      <c r="E116" s="910">
        <f t="shared" ref="E116:H117" si="34">D116</f>
        <v>0.84760000000000002</v>
      </c>
      <c r="F116" s="910">
        <f t="shared" si="34"/>
        <v>0.84760000000000002</v>
      </c>
      <c r="G116" s="910">
        <f t="shared" si="34"/>
        <v>0.84760000000000002</v>
      </c>
      <c r="H116" s="910">
        <f t="shared" si="34"/>
        <v>0.84760000000000002</v>
      </c>
      <c r="I116" s="910">
        <f>ROUND(0.7694-0.014*B113,4)</f>
        <v>0.75960000000000005</v>
      </c>
      <c r="J116" s="910">
        <f t="shared" si="33"/>
        <v>0.75960000000000005</v>
      </c>
      <c r="K116" s="910">
        <f t="shared" si="33"/>
        <v>0.75960000000000005</v>
      </c>
      <c r="L116" s="910">
        <f t="shared" si="33"/>
        <v>0.75960000000000005</v>
      </c>
      <c r="M116" s="911">
        <f t="shared" si="33"/>
        <v>0.75960000000000005</v>
      </c>
    </row>
    <row r="117" spans="1:13">
      <c r="A117" s="909" t="s">
        <v>2881</v>
      </c>
      <c r="B117" s="910">
        <f>ROUND(0.8808-0.006*B113,4)</f>
        <v>0.87660000000000005</v>
      </c>
      <c r="C117" s="910">
        <f>B117</f>
        <v>0.87660000000000005</v>
      </c>
      <c r="D117" s="910">
        <f>ROUND(0.8748-0.008*B113,4)</f>
        <v>0.86919999999999997</v>
      </c>
      <c r="E117" s="910">
        <f t="shared" si="34"/>
        <v>0.86919999999999997</v>
      </c>
      <c r="F117" s="910">
        <f t="shared" si="34"/>
        <v>0.86919999999999997</v>
      </c>
      <c r="G117" s="910">
        <f t="shared" si="34"/>
        <v>0.86919999999999997</v>
      </c>
      <c r="H117" s="910">
        <f t="shared" si="34"/>
        <v>0.86919999999999997</v>
      </c>
      <c r="I117" s="910">
        <f>ROUND(0.7412-0.0095*B113,4)</f>
        <v>0.73460000000000003</v>
      </c>
      <c r="J117" s="910">
        <f t="shared" si="33"/>
        <v>0.73460000000000003</v>
      </c>
      <c r="K117" s="910">
        <f t="shared" si="33"/>
        <v>0.73460000000000003</v>
      </c>
      <c r="L117" s="910">
        <f t="shared" si="33"/>
        <v>0.73460000000000003</v>
      </c>
      <c r="M117" s="911">
        <f t="shared" si="33"/>
        <v>0.73460000000000003</v>
      </c>
    </row>
    <row r="118" spans="1:13" ht="13.5" thickBot="1">
      <c r="A118" s="714" t="s">
        <v>2882</v>
      </c>
      <c r="B118" s="912">
        <f>ROUND(0.7275-0.01*B113,4)</f>
        <v>0.72050000000000003</v>
      </c>
      <c r="C118" s="912">
        <f>B118</f>
        <v>0.72050000000000003</v>
      </c>
      <c r="D118" s="912">
        <f>ROUND(0.7043-0.012*B113,4)</f>
        <v>0.69589999999999996</v>
      </c>
      <c r="E118" s="912">
        <f>D118</f>
        <v>0.69589999999999996</v>
      </c>
      <c r="F118" s="912">
        <f>E118</f>
        <v>0.69589999999999996</v>
      </c>
      <c r="G118" s="912">
        <f>ROUND(0.6299-0.0122*B113,4)</f>
        <v>0.62139999999999995</v>
      </c>
      <c r="H118" s="912">
        <f>G118</f>
        <v>0.62139999999999995</v>
      </c>
      <c r="I118" s="912">
        <f>ROUND(0.5667-0.0136*B113,4)</f>
        <v>0.55720000000000003</v>
      </c>
      <c r="J118" s="912">
        <f t="shared" si="33"/>
        <v>0.55720000000000003</v>
      </c>
      <c r="K118" s="912">
        <f t="shared" si="33"/>
        <v>0.55720000000000003</v>
      </c>
      <c r="L118" s="912">
        <f t="shared" si="33"/>
        <v>0.55720000000000003</v>
      </c>
      <c r="M118" s="913">
        <f t="shared" si="33"/>
        <v>0.55720000000000003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1.7690999999999999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D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3002</v>
      </c>
    </row>
    <row r="2" spans="1:5" ht="15.75">
      <c r="A2" s="2905" t="s">
        <v>2994</v>
      </c>
      <c r="B2" s="2906">
        <f ca="1">SUMIF(B6:B13,"&lt;&gt;#ref!",B6:B13)</f>
        <v>621</v>
      </c>
      <c r="C2" s="2905" t="s">
        <v>2995</v>
      </c>
      <c r="D2" s="2905" t="s">
        <v>2996</v>
      </c>
      <c r="E2" s="2906">
        <f ca="1">SUMIF(E6:E13,"&lt;&gt;#ref!",E6:E13)</f>
        <v>916.22</v>
      </c>
    </row>
    <row r="3" spans="1:5" ht="15.75">
      <c r="A3" s="2905" t="s">
        <v>2997</v>
      </c>
      <c r="B3" s="2906">
        <f ca="1">ROUND(B2*10000/E2,0)</f>
        <v>6778</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f ca="1">SUMIF(INDIRECT("'"&amp;A6&amp;"'"&amp;"!A:A"),"总价",INDIRECT("'"&amp;A6&amp;"'"&amp;"!B:B"))</f>
        <v>621</v>
      </c>
      <c r="C6" s="2905" t="s">
        <v>2995</v>
      </c>
      <c r="D6" s="2907"/>
      <c r="E6" s="2578">
        <f ca="1">SUMIF(INDIRECT("'"&amp;A6&amp;"'"&amp;"!C:C"),"建筑面积",INDIRECT("'"&amp;A6&amp;"'"&amp;"!D:D"))</f>
        <v>916.22</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W33" sqref="W3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3037</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6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7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9">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9">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D6"/>
      <selection pane="bottomLeft" activeCell="B6" sqref="B6:D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8" t="s">
        <v>3005</v>
      </c>
      <c r="D1" s="3279"/>
      <c r="E1" s="3279"/>
      <c r="F1" s="3279"/>
      <c r="G1" s="3279"/>
      <c r="H1" s="3279"/>
      <c r="I1" s="3279"/>
      <c r="J1" s="3279"/>
      <c r="K1" s="3279"/>
      <c r="L1" s="3279"/>
      <c r="M1" s="3279"/>
      <c r="N1" s="3279"/>
      <c r="O1" s="3279"/>
      <c r="P1" s="3279"/>
      <c r="Q1" s="3279"/>
      <c r="R1" s="3279"/>
      <c r="S1" s="328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1625</v>
      </c>
      <c r="C4" s="2960"/>
      <c r="D4" s="2960"/>
      <c r="E4" s="1960"/>
    </row>
    <row r="5" spans="1:5" ht="16.5" thickTop="1">
      <c r="A5" s="1958"/>
      <c r="B5" s="2958" t="s">
        <v>1617</v>
      </c>
      <c r="C5" s="1961" t="s">
        <v>1618</v>
      </c>
      <c r="D5" s="1040">
        <f ca="1">结果表!H101</f>
        <v>621</v>
      </c>
      <c r="E5" s="1958"/>
    </row>
    <row r="6" spans="1:5" ht="15.75">
      <c r="A6" s="1958"/>
      <c r="B6" s="2958"/>
      <c r="C6" s="1961" t="s">
        <v>1619</v>
      </c>
      <c r="D6" s="1040" t="str">
        <f ca="1">NUMBERSTRING(INT(D5*10000),2)&amp;"元整"</f>
        <v>陆佰贰拾壹万元整</v>
      </c>
      <c r="E6" s="1958"/>
    </row>
    <row r="7" spans="1:5" ht="15.75">
      <c r="A7" s="1958"/>
      <c r="B7" s="2963"/>
      <c r="C7" s="1962" t="s">
        <v>1620</v>
      </c>
      <c r="D7" s="1041">
        <f ca="1">结果表!H102</f>
        <v>6778</v>
      </c>
      <c r="E7" s="1958"/>
    </row>
    <row r="8" spans="1:5" ht="15.75">
      <c r="A8" s="1958"/>
      <c r="B8" s="2964" t="str">
        <f>结果表!E103</f>
        <v>2.估价师知悉的法定优先受偿款</v>
      </c>
      <c r="C8" s="1963" t="s">
        <v>1621</v>
      </c>
      <c r="D8" s="1041">
        <f>结果表!H103</f>
        <v>0</v>
      </c>
      <c r="E8" s="1958"/>
    </row>
    <row r="9" spans="1:5" ht="15.75">
      <c r="A9" s="1958"/>
      <c r="B9" s="296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7" t="str">
        <f>结果表!E107</f>
        <v>3.房地产抵押价值</v>
      </c>
      <c r="C13" s="1966" t="s">
        <v>1618</v>
      </c>
      <c r="D13" s="1043">
        <f ca="1">结果表!H107</f>
        <v>621</v>
      </c>
      <c r="E13" s="1958"/>
    </row>
    <row r="14" spans="1:5" ht="15.75">
      <c r="A14" s="1958"/>
      <c r="B14" s="2958"/>
      <c r="C14" s="1961" t="s">
        <v>1619</v>
      </c>
      <c r="D14" s="1040" t="str">
        <f ca="1">NUMBERSTRING(INT(D13*10000),2)&amp;"元整"</f>
        <v>陆佰贰拾壹万元整</v>
      </c>
      <c r="E14" s="1958"/>
    </row>
    <row r="15" spans="1:5" ht="15">
      <c r="A15" s="1958"/>
      <c r="B15" s="2963"/>
      <c r="C15" s="1962" t="s">
        <v>1629</v>
      </c>
      <c r="D15" s="1052">
        <f ca="1">结果表!H108</f>
        <v>6778</v>
      </c>
      <c r="E15" s="1958"/>
    </row>
    <row r="16" spans="1:5" ht="15">
      <c r="A16" s="1958"/>
      <c r="B16" s="2964" t="str">
        <f>结果表!E109</f>
        <v>——</v>
      </c>
      <c r="C16" s="1966" t="s">
        <v>1630</v>
      </c>
      <c r="D16" s="1967" t="str">
        <f>结果表!H109</f>
        <v>——</v>
      </c>
      <c r="E16" s="1958"/>
    </row>
    <row r="17" spans="1:5" ht="15.75">
      <c r="A17" s="1958"/>
      <c r="B17" s="2965"/>
      <c r="C17" s="1961" t="s">
        <v>1631</v>
      </c>
      <c r="D17" s="1040" t="e">
        <f>NUMBERSTRING(INT(D16*10000),2)&amp;"元整"</f>
        <v>#VALUE!</v>
      </c>
      <c r="E17" s="1958"/>
    </row>
    <row r="18" spans="1:5" ht="15">
      <c r="A18" s="1958"/>
      <c r="B18" s="2966"/>
      <c r="C18" s="1962" t="s">
        <v>1620</v>
      </c>
      <c r="D18" s="1052" t="str">
        <f>结果表!H110</f>
        <v>——</v>
      </c>
      <c r="E18" s="1958"/>
    </row>
    <row r="19" spans="1:5" ht="15.75">
      <c r="A19" s="1958"/>
      <c r="B19" s="2957" t="str">
        <f>结果表!E111</f>
        <v>——</v>
      </c>
      <c r="C19" s="1966" t="s">
        <v>1618</v>
      </c>
      <c r="D19" s="1041" t="str">
        <f>结果表!H111</f>
        <v>——</v>
      </c>
      <c r="E19" s="1958"/>
    </row>
    <row r="20" spans="1:5" ht="15.75">
      <c r="A20" s="1958"/>
      <c r="B20" s="2958"/>
      <c r="C20" s="1961" t="s">
        <v>1631</v>
      </c>
      <c r="D20" s="1040" t="e">
        <f>NUMBERSTRING(INT(D19*10000),2)&amp;"元整"</f>
        <v>#VALUE!</v>
      </c>
      <c r="E20" s="1958"/>
    </row>
    <row r="21" spans="1:5" ht="15.75" thickBot="1">
      <c r="A21" s="1958"/>
      <c r="B21" s="295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916.22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916.22</v>
      </c>
      <c r="E19" s="255">
        <f>'数据-取费表'!B31</f>
        <v>0</v>
      </c>
      <c r="F19" s="275"/>
      <c r="G19" s="1" t="s">
        <v>1071</v>
      </c>
    </row>
    <row r="20" spans="1:7" s="258" customFormat="1" ht="13.5" customHeight="1">
      <c r="A20" s="948" t="s">
        <v>1054</v>
      </c>
      <c r="B20" s="254" t="s">
        <v>104</v>
      </c>
      <c r="C20" s="276">
        <f>ROUND((C5+C19)*F20,0)</f>
        <v>0</v>
      </c>
      <c r="D20" s="276"/>
      <c r="E20" s="276"/>
      <c r="F20" s="277">
        <f>'数据-取费表'!B37</f>
        <v>0</v>
      </c>
      <c r="G20" s="1289" t="s">
        <v>1065</v>
      </c>
    </row>
    <row r="21" spans="1:7" s="258" customFormat="1" ht="13.5" customHeight="1">
      <c r="A21" s="948" t="s">
        <v>1056</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1058</v>
      </c>
      <c r="C23" s="1355" t="e">
        <f ca="1">ROUND(IF('数据-取费表'!B22&lt;=1,C5*F22*'数据-取费表'!B23,C5*(POWER((1+F22),'数据-取费表'!B23)-1)),0)</f>
        <v>#VALUE!</v>
      </c>
      <c r="D23" s="282"/>
      <c r="E23" s="282"/>
      <c r="F23" s="283"/>
      <c r="G23" s="284" t="s">
        <v>108</v>
      </c>
    </row>
    <row r="24" spans="1:7" s="258" customFormat="1" ht="13.5" customHeight="1">
      <c r="A24" s="951" t="s">
        <v>792</v>
      </c>
      <c r="B24" s="259" t="s">
        <v>1053</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1055</v>
      </c>
      <c r="C25" s="1355" t="e">
        <f ca="1">ROUND(IF('数据-取费表'!B22&lt;=1,C20*F22*'数据-取费表'!B23/2,C20*(POWER((1+F22),'数据-取费表'!B23/2)-1)),0)</f>
        <v>#VALUE!</v>
      </c>
      <c r="D25" s="282"/>
      <c r="E25" s="285"/>
      <c r="F25" s="283"/>
      <c r="G25" s="286" t="s">
        <v>110</v>
      </c>
    </row>
    <row r="26" spans="1:7" s="258" customFormat="1">
      <c r="A26" s="951" t="s">
        <v>795</v>
      </c>
      <c r="B26" s="259" t="s">
        <v>1057</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1066</v>
      </c>
    </row>
    <row r="28" spans="1:7" s="258" customFormat="1" ht="13.5" customHeight="1">
      <c r="A28" s="951" t="s">
        <v>794</v>
      </c>
      <c r="B28" s="292" t="s">
        <v>1059</v>
      </c>
      <c r="C28" s="293" t="e">
        <f>ROUND((C5+C19+C20)*F27*'数据-取费表'!B21/'数据-取费表'!B20,0)</f>
        <v>#DIV/0!</v>
      </c>
      <c r="D28" s="279"/>
      <c r="E28" s="280"/>
      <c r="F28" s="290"/>
      <c r="G28" s="291"/>
    </row>
    <row r="29" spans="1:7" s="258" customFormat="1" ht="13.5" customHeight="1">
      <c r="A29" s="951" t="s">
        <v>792</v>
      </c>
      <c r="B29" s="292" t="s">
        <v>1060</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916.22</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1058</v>
      </c>
      <c r="C42" s="282" t="e">
        <f ca="1">ROUND(IF('数据-取费表'!B22&lt;=1,C33*F22*'数据-取费表'!B21/2,C33*(POWER((1+F22),'数据-取费表'!B21/2)-1)),0)</f>
        <v>#VALUE!</v>
      </c>
      <c r="D42" s="282"/>
      <c r="E42" s="282"/>
      <c r="F42" s="283"/>
      <c r="G42" s="3142" t="s">
        <v>121</v>
      </c>
    </row>
    <row r="43" spans="1:7" ht="13.5" customHeight="1">
      <c r="A43" s="951" t="s">
        <v>792</v>
      </c>
      <c r="B43" s="259" t="s">
        <v>1061</v>
      </c>
      <c r="C43" s="282" t="e">
        <f ca="1">ROUND(IF('数据-取费表'!B22&lt;=1,C39*F22*'数据-取费表'!B21/2,C39*(POWER((1+F22),'数据-取费表'!B21/2)-1)),0)</f>
        <v>#VALUE!</v>
      </c>
      <c r="D43" s="282"/>
      <c r="E43" s="282"/>
      <c r="F43" s="283"/>
      <c r="G43" s="3143"/>
    </row>
    <row r="44" spans="1:7" ht="13.5" customHeight="1">
      <c r="A44" s="951" t="s">
        <v>793</v>
      </c>
      <c r="B44" s="259" t="s">
        <v>1063</v>
      </c>
      <c r="C44" s="282" t="e">
        <f ca="1">ROUND(IF('数据-取费表'!B22&lt;=1,C40*F22*'数据-取费表'!B21/2,C40*(POWER((1+F22),'数据-取费表'!B21/2)-1)),4)</f>
        <v>#VALUE!</v>
      </c>
      <c r="D44" s="282"/>
      <c r="E44" s="282"/>
      <c r="F44" s="283"/>
      <c r="G44" s="3144"/>
    </row>
    <row r="45" spans="1:7" s="258" customFormat="1" ht="13.5" customHeight="1">
      <c r="A45" s="948" t="s">
        <v>786</v>
      </c>
      <c r="B45" s="288" t="s">
        <v>112</v>
      </c>
      <c r="C45" s="289" t="e">
        <f>C46</f>
        <v>#DIV/0!</v>
      </c>
      <c r="D45" s="279" t="e">
        <f>C47</f>
        <v>#DIV/0!</v>
      </c>
      <c r="E45" s="280" t="s">
        <v>129</v>
      </c>
      <c r="F45" s="290"/>
      <c r="G45" s="291" t="s">
        <v>1069</v>
      </c>
    </row>
    <row r="46" spans="1:7" s="258" customFormat="1" ht="13.5" customHeight="1">
      <c r="A46" s="951" t="s">
        <v>794</v>
      </c>
      <c r="B46" s="292" t="s">
        <v>1062</v>
      </c>
      <c r="C46" s="293" t="e">
        <f>ROUND((C33+C39)*F27,0)</f>
        <v>#DIV/0!</v>
      </c>
      <c r="D46" s="307"/>
      <c r="E46" s="280"/>
      <c r="F46" s="290"/>
      <c r="G46" s="291"/>
    </row>
    <row r="47" spans="1:7" s="258" customFormat="1" ht="13.5" customHeight="1">
      <c r="A47" s="951" t="s">
        <v>792</v>
      </c>
      <c r="B47" s="292" t="s">
        <v>1064</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1070</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43668</v>
      </c>
      <c r="D1" s="1700" t="s">
        <v>1297</v>
      </c>
      <c r="E1" s="1695">
        <f>'数据-取费表'!B22</f>
        <v>0</v>
      </c>
      <c r="F1" s="1700" t="s">
        <v>1298</v>
      </c>
      <c r="G1" s="1696" t="e">
        <f ca="1">INDIRECT("d"&amp;$K$1)/100</f>
        <v>#VALUE!</v>
      </c>
      <c r="H1" s="1700" t="s">
        <v>1328</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1633</v>
      </c>
      <c r="E3" s="1044" t="s">
        <v>1639</v>
      </c>
      <c r="F3" s="1044" t="s">
        <v>1633</v>
      </c>
      <c r="G3" s="1044" t="s">
        <v>1634</v>
      </c>
      <c r="H3" s="1044" t="s">
        <v>1633</v>
      </c>
      <c r="I3" s="1044" t="s">
        <v>1634</v>
      </c>
    </row>
    <row r="4" spans="1:9" ht="15">
      <c r="A4" s="1972" t="str">
        <f>项目基本情况!S2</f>
        <v>出让国有建设用地使用权</v>
      </c>
      <c r="B4" s="1044">
        <f>项目基本情况!C17</f>
        <v>916.22</v>
      </c>
      <c r="C4" s="1044">
        <f>项目基本情况!C18</f>
        <v>1308.9000000000001</v>
      </c>
      <c r="D4" s="1044" t="e">
        <f ca="1">结果表!D118</f>
        <v>#REF!</v>
      </c>
      <c r="E4" s="1044" t="e">
        <f ca="1">结果表!E118</f>
        <v>#REF!</v>
      </c>
      <c r="F4" s="1044" t="e">
        <f ca="1">结果表!F118</f>
        <v>#REF!</v>
      </c>
      <c r="G4" s="1044" t="e">
        <f ca="1">结果表!G118</f>
        <v>#REF!</v>
      </c>
      <c r="H4" s="1044">
        <f ca="1">结果表!H118</f>
        <v>621</v>
      </c>
      <c r="I4" s="1044">
        <f ca="1">结果表!I118</f>
        <v>6778</v>
      </c>
    </row>
    <row r="5" spans="1:9" ht="30" customHeight="1">
      <c r="A5" s="2969" t="s">
        <v>1635</v>
      </c>
      <c r="B5" s="2969"/>
      <c r="C5" s="2969"/>
      <c r="D5" s="2970" t="e">
        <f ca="1">结果表!D119</f>
        <v>#REF!</v>
      </c>
      <c r="E5" s="2970"/>
      <c r="F5" s="2970" t="e">
        <f ca="1">结果表!F119</f>
        <v>#REF!</v>
      </c>
      <c r="G5" s="2970"/>
      <c r="H5" s="2970" t="str">
        <f ca="1">结果表!H119</f>
        <v>陆佰贰拾壹万元整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房地产抵押价值</v>
      </c>
      <c r="B8" s="2971"/>
      <c r="C8" s="2971"/>
      <c r="D8" s="2971">
        <f ca="1">结果表!D122</f>
        <v>621</v>
      </c>
      <c r="E8" s="2971"/>
      <c r="F8" s="2971"/>
      <c r="G8" s="2971"/>
      <c r="H8" s="2971"/>
      <c r="I8" s="2971"/>
    </row>
    <row r="9" spans="1:9" ht="15">
      <c r="A9" s="2969" t="s">
        <v>1635</v>
      </c>
      <c r="B9" s="2969"/>
      <c r="C9" s="2969"/>
      <c r="D9" s="2970" t="str">
        <f ca="1">结果表!D123</f>
        <v>陆佰贰拾壹万元整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1635</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1657</v>
      </c>
      <c r="B1" s="2978"/>
      <c r="C1" s="2978"/>
      <c r="D1" s="2978"/>
    </row>
    <row r="2" spans="1:4" ht="18">
      <c r="A2" s="2979" t="s">
        <v>1641</v>
      </c>
      <c r="B2" s="2979"/>
      <c r="C2" s="2979"/>
      <c r="D2" s="2979"/>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79" t="s">
        <v>1647</v>
      </c>
      <c r="B6" s="2979"/>
      <c r="C6" s="2979"/>
      <c r="D6" s="29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81" t="str">
        <f>IF(项目基本情况!B8="抵押","3.抵押双方在办理抵押登记手续时，应使用本公司出具的正式《房地产评估报告》，特提醒报告使用者注意。","——")</f>
        <v>——</v>
      </c>
      <c r="B13" s="2982"/>
      <c r="C13" s="2982"/>
      <c r="D13" s="2982"/>
    </row>
    <row r="14" spans="1:4" ht="15.75" customHeight="1">
      <c r="A14" s="2981" t="str">
        <f>IF(项目基本情况!B8="抵押","4.本次评估估价师所知悉的法定优先受偿款情况说明如下：","——")</f>
        <v>——</v>
      </c>
      <c r="B14" s="2982"/>
      <c r="C14" s="2982"/>
      <c r="D14" s="2982"/>
    </row>
    <row r="15" spans="1:4" ht="42" customHeight="1">
      <c r="A15" s="2981" t="str">
        <f>IF(项目基本情况!B8="抵押","（1）"&amp;CONCATENATE(项目基本情况!L20,项目基本情况!L21,项目基本情况!L22),"——")</f>
        <v>——</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1653</v>
      </c>
      <c r="B22" s="2986"/>
      <c r="C22" s="2986"/>
      <c r="D22" s="298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2" t="s">
        <v>1664</v>
      </c>
      <c r="B15" s="2987" t="s">
        <v>136</v>
      </c>
      <c r="C15" s="2988"/>
    </row>
    <row r="16" spans="1:7" ht="13.5">
      <c r="A16" s="2993"/>
      <c r="B16" s="2987" t="s">
        <v>69</v>
      </c>
      <c r="C16" s="2988"/>
    </row>
    <row r="17" spans="1:3" ht="13.5">
      <c r="A17" s="2993"/>
      <c r="B17" s="2990" t="s">
        <v>1665</v>
      </c>
      <c r="C17" s="1999" t="s">
        <v>1664</v>
      </c>
    </row>
    <row r="18" spans="1:3" ht="13.5">
      <c r="A18" s="2993"/>
      <c r="B18" s="2990"/>
      <c r="C18" s="1999" t="s">
        <v>1666</v>
      </c>
    </row>
    <row r="19" spans="1:3" ht="13.5">
      <c r="A19" s="2993"/>
      <c r="B19" s="2990"/>
      <c r="C19" s="1999" t="s">
        <v>1667</v>
      </c>
    </row>
    <row r="20" spans="1:3" ht="13.5">
      <c r="A20" s="2994"/>
      <c r="B20" s="2989" t="s">
        <v>1668</v>
      </c>
      <c r="C20" s="2988"/>
    </row>
    <row r="21" spans="1:3" ht="13.5">
      <c r="A21" s="2000" t="s">
        <v>1669</v>
      </c>
      <c r="B21" s="2001"/>
      <c r="C21" s="2002"/>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9" t="s">
        <v>1675</v>
      </c>
    </row>
    <row r="26" spans="1:3" ht="13.5">
      <c r="A26" s="2991"/>
      <c r="B26" s="2990"/>
      <c r="C26" s="1999" t="s">
        <v>1676</v>
      </c>
    </row>
    <row r="27" spans="1:3" ht="13.5">
      <c r="A27" s="2991"/>
      <c r="B27" s="2990"/>
      <c r="C27" s="1999" t="s">
        <v>1677</v>
      </c>
    </row>
    <row r="28" spans="1:3" ht="13.5">
      <c r="A28" s="2991"/>
      <c r="B28" s="2990"/>
      <c r="C28" s="1999" t="s">
        <v>1678</v>
      </c>
    </row>
    <row r="29" spans="1:3" ht="13.5">
      <c r="A29" s="2991"/>
      <c r="B29" s="2990"/>
      <c r="C29" s="1999" t="s">
        <v>1679</v>
      </c>
    </row>
    <row r="30" spans="1:3" ht="13.5">
      <c r="A30" s="2991"/>
      <c r="B30" s="2990"/>
      <c r="C30" s="1999" t="s">
        <v>1680</v>
      </c>
    </row>
    <row r="31" spans="1:3" ht="13.5">
      <c r="A31" s="2991"/>
      <c r="B31" s="2990"/>
      <c r="C31" s="1999" t="s">
        <v>1681</v>
      </c>
    </row>
    <row r="32" spans="1:3" ht="13.5">
      <c r="A32" s="2991"/>
      <c r="B32" s="2990"/>
      <c r="C32" s="1999" t="s">
        <v>1682</v>
      </c>
    </row>
    <row r="33" spans="1:3" ht="13.5">
      <c r="A33" s="2991"/>
      <c r="B33" s="299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1">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2019-08-02T02:10:06Z</dcterms:modified>
</cp:coreProperties>
</file>