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G:\高鹏\项目\北京市丰台区东营里东大街2号院\测算\4-2-502\"/>
    </mc:Choice>
  </mc:AlternateContent>
  <xr:revisionPtr revIDLastSave="0" documentId="13_ncr:1_{9E03B513-4AB4-4CF1-ACEE-9EB21E9B8256}" xr6:coauthVersionLast="47" xr6:coauthVersionMax="47" xr10:uidLastSave="{00000000-0000-0000-0000-000000000000}"/>
  <bookViews>
    <workbookView xWindow="-120" yWindow="-120" windowWidth="19440" windowHeight="15000" tabRatio="787" firstSheet="4" activeTab="5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1" sheetId="69" state="hidden" r:id="rId20"/>
    <sheet name="地价（废）" sheetId="66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系统读取表!$A$1:$I$23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A70" i="66" l="1"/>
  <c r="AB67" i="66"/>
  <c r="AB66" i="66" s="1"/>
  <c r="W66" i="66" s="1"/>
  <c r="F66" i="66" s="1"/>
  <c r="P66" i="66" s="1"/>
  <c r="AA67" i="66"/>
  <c r="AA66" i="66" s="1"/>
  <c r="V66" i="66" s="1"/>
  <c r="E66" i="66" s="1"/>
  <c r="O66" i="66" s="1"/>
  <c r="Z67" i="66"/>
  <c r="Y67" i="66"/>
  <c r="Y66" i="66" s="1"/>
  <c r="Y65" i="66" s="1"/>
  <c r="T65" i="66" s="1"/>
  <c r="B65" i="66" s="1"/>
  <c r="W67" i="66"/>
  <c r="V67" i="66"/>
  <c r="U67" i="66"/>
  <c r="T67" i="66"/>
  <c r="F67" i="66"/>
  <c r="E67" i="66"/>
  <c r="C67" i="66"/>
  <c r="D67" i="66" s="1"/>
  <c r="B67" i="66"/>
  <c r="Z66" i="66"/>
  <c r="Z65" i="66" s="1"/>
  <c r="U65" i="66" s="1"/>
  <c r="AA65" i="66"/>
  <c r="V64" i="66" s="1"/>
  <c r="E64" i="66" s="1"/>
  <c r="C65" i="66"/>
  <c r="AB63" i="66"/>
  <c r="AB62" i="66" s="1"/>
  <c r="W62" i="66" s="1"/>
  <c r="F62" i="66" s="1"/>
  <c r="AA63" i="66"/>
  <c r="AA62" i="66" s="1"/>
  <c r="V62" i="66" s="1"/>
  <c r="E62" i="66" s="1"/>
  <c r="Z63" i="66"/>
  <c r="Y63" i="66"/>
  <c r="Y62" i="66" s="1"/>
  <c r="W63" i="66"/>
  <c r="V63" i="66"/>
  <c r="E63" i="66" s="1"/>
  <c r="U63" i="66"/>
  <c r="T63" i="66"/>
  <c r="B63" i="66" s="1"/>
  <c r="F63" i="66"/>
  <c r="C63" i="66"/>
  <c r="Z62" i="66"/>
  <c r="Z61" i="66" s="1"/>
  <c r="U61" i="66" s="1"/>
  <c r="C61" i="66" s="1"/>
  <c r="U62" i="66"/>
  <c r="C62" i="66" s="1"/>
  <c r="D62" i="66" s="1"/>
  <c r="AA61" i="66"/>
  <c r="U60" i="66"/>
  <c r="C60" i="66" s="1"/>
  <c r="D60" i="66" s="1"/>
  <c r="F59" i="66"/>
  <c r="E59" i="66"/>
  <c r="C59" i="66"/>
  <c r="B59" i="66"/>
  <c r="F58" i="66"/>
  <c r="E58" i="66"/>
  <c r="C58" i="66"/>
  <c r="D58" i="66" s="1"/>
  <c r="B58" i="66"/>
  <c r="F57" i="66"/>
  <c r="E57" i="66"/>
  <c r="C57" i="66"/>
  <c r="B57" i="66"/>
  <c r="F56" i="66"/>
  <c r="E56" i="66"/>
  <c r="D56" i="66"/>
  <c r="C56" i="66"/>
  <c r="B56" i="66"/>
  <c r="F55" i="66"/>
  <c r="E55" i="66"/>
  <c r="C55" i="66"/>
  <c r="B55" i="66"/>
  <c r="F54" i="66"/>
  <c r="E54" i="66"/>
  <c r="C54" i="66"/>
  <c r="D54" i="66" s="1"/>
  <c r="B54" i="66"/>
  <c r="F53" i="66"/>
  <c r="E53" i="66"/>
  <c r="C53" i="66"/>
  <c r="B53" i="66"/>
  <c r="F52" i="66"/>
  <c r="E52" i="66"/>
  <c r="D52" i="66"/>
  <c r="C52" i="66"/>
  <c r="B52" i="66"/>
  <c r="F51" i="66"/>
  <c r="E51" i="66"/>
  <c r="C51" i="66"/>
  <c r="B51" i="66"/>
  <c r="F50" i="66"/>
  <c r="E50" i="66"/>
  <c r="C50" i="66"/>
  <c r="D50" i="66" s="1"/>
  <c r="B50" i="66"/>
  <c r="F49" i="66"/>
  <c r="E49" i="66"/>
  <c r="C49" i="66"/>
  <c r="B49" i="66"/>
  <c r="F48" i="66"/>
  <c r="E48" i="66"/>
  <c r="D48" i="66"/>
  <c r="C48" i="66"/>
  <c r="B48" i="66"/>
  <c r="F47" i="66"/>
  <c r="E47" i="66"/>
  <c r="C47" i="66"/>
  <c r="B47" i="66"/>
  <c r="F46" i="66"/>
  <c r="E46" i="66"/>
  <c r="C46" i="66"/>
  <c r="D46" i="66" s="1"/>
  <c r="B46" i="66"/>
  <c r="F45" i="66"/>
  <c r="E45" i="66"/>
  <c r="C45" i="66"/>
  <c r="B45" i="66"/>
  <c r="F44" i="66"/>
  <c r="E44" i="66"/>
  <c r="D44" i="66"/>
  <c r="C44" i="66"/>
  <c r="B44" i="66"/>
  <c r="F43" i="66"/>
  <c r="E43" i="66"/>
  <c r="C43" i="66"/>
  <c r="B43" i="66"/>
  <c r="F42" i="66"/>
  <c r="E42" i="66"/>
  <c r="C42" i="66"/>
  <c r="D42" i="66" s="1"/>
  <c r="B42" i="66"/>
  <c r="F41" i="66"/>
  <c r="E41" i="66"/>
  <c r="C41" i="66"/>
  <c r="B41" i="66"/>
  <c r="F40" i="66"/>
  <c r="E40" i="66"/>
  <c r="D40" i="66"/>
  <c r="C40" i="66"/>
  <c r="B40" i="66"/>
  <c r="F39" i="66"/>
  <c r="E39" i="66"/>
  <c r="C39" i="66"/>
  <c r="B39" i="66"/>
  <c r="F38" i="66"/>
  <c r="E38" i="66"/>
  <c r="C38" i="66"/>
  <c r="D38" i="66" s="1"/>
  <c r="B38" i="66"/>
  <c r="F37" i="66"/>
  <c r="E37" i="66"/>
  <c r="C37" i="66"/>
  <c r="B37" i="66"/>
  <c r="F36" i="66"/>
  <c r="E36" i="66"/>
  <c r="D36" i="66"/>
  <c r="C36" i="66"/>
  <c r="B36" i="66"/>
  <c r="F35" i="66"/>
  <c r="E35" i="66"/>
  <c r="C35" i="66"/>
  <c r="B35" i="66"/>
  <c r="F34" i="66"/>
  <c r="E34" i="66"/>
  <c r="C34" i="66"/>
  <c r="D34" i="66" s="1"/>
  <c r="B34" i="66"/>
  <c r="F33" i="66"/>
  <c r="E33" i="66"/>
  <c r="C33" i="66"/>
  <c r="B33" i="66"/>
  <c r="F32" i="66"/>
  <c r="E32" i="66"/>
  <c r="D32" i="66"/>
  <c r="C32" i="66"/>
  <c r="B32" i="66"/>
  <c r="F31" i="66"/>
  <c r="E31" i="66"/>
  <c r="C31" i="66"/>
  <c r="B31" i="66"/>
  <c r="F30" i="66"/>
  <c r="E30" i="66"/>
  <c r="C30" i="66"/>
  <c r="B30" i="66"/>
  <c r="F29" i="66"/>
  <c r="E29" i="66"/>
  <c r="C29" i="66"/>
  <c r="B29" i="66"/>
  <c r="F28" i="66"/>
  <c r="E28" i="66"/>
  <c r="C28" i="66"/>
  <c r="D28" i="66" s="1"/>
  <c r="B28" i="66"/>
  <c r="F27" i="66"/>
  <c r="E27" i="66"/>
  <c r="C27" i="66"/>
  <c r="B27" i="66"/>
  <c r="F26" i="66"/>
  <c r="E26" i="66"/>
  <c r="D26" i="66"/>
  <c r="C26" i="66"/>
  <c r="B26" i="66"/>
  <c r="F25" i="66"/>
  <c r="E25" i="66"/>
  <c r="C25" i="66"/>
  <c r="B25" i="66"/>
  <c r="F24" i="66"/>
  <c r="E24" i="66"/>
  <c r="C24" i="66"/>
  <c r="B24" i="66"/>
  <c r="F23" i="66"/>
  <c r="E23" i="66"/>
  <c r="C23" i="66"/>
  <c r="B23" i="66"/>
  <c r="F22" i="66"/>
  <c r="E22" i="66"/>
  <c r="C22" i="66"/>
  <c r="D22" i="66" s="1"/>
  <c r="B22" i="66"/>
  <c r="F21" i="66"/>
  <c r="E21" i="66"/>
  <c r="C21" i="66"/>
  <c r="B21" i="66"/>
  <c r="F20" i="66"/>
  <c r="E20" i="66"/>
  <c r="D20" i="66"/>
  <c r="C20" i="66"/>
  <c r="B20" i="66"/>
  <c r="F19" i="66"/>
  <c r="E19" i="66"/>
  <c r="C19" i="66"/>
  <c r="B19" i="66"/>
  <c r="F18" i="66"/>
  <c r="K18" i="66" s="1"/>
  <c r="E18" i="66"/>
  <c r="C18" i="66"/>
  <c r="D18" i="66" s="1"/>
  <c r="I18" i="66" s="1"/>
  <c r="B18" i="66"/>
  <c r="G18" i="66" s="1"/>
  <c r="K17" i="66"/>
  <c r="G17" i="66"/>
  <c r="F17" i="66"/>
  <c r="E17" i="66"/>
  <c r="J17" i="66" s="1"/>
  <c r="C17" i="66"/>
  <c r="H17" i="66" s="1"/>
  <c r="B17" i="66"/>
  <c r="F16" i="66"/>
  <c r="E16" i="66"/>
  <c r="J16" i="66" s="1"/>
  <c r="C16" i="66"/>
  <c r="B16" i="66"/>
  <c r="F15" i="66"/>
  <c r="E15" i="66"/>
  <c r="D15" i="66"/>
  <c r="C15" i="66"/>
  <c r="H15" i="66" s="1"/>
  <c r="B15" i="66"/>
  <c r="F14" i="66"/>
  <c r="E14" i="66"/>
  <c r="J14" i="66" s="1"/>
  <c r="C14" i="66"/>
  <c r="H14" i="66" s="1"/>
  <c r="B14" i="66"/>
  <c r="F13" i="66"/>
  <c r="E13" i="66"/>
  <c r="J13" i="66" s="1"/>
  <c r="C13" i="66"/>
  <c r="D13" i="66" s="1"/>
  <c r="B13" i="66"/>
  <c r="F12" i="66"/>
  <c r="E12" i="66"/>
  <c r="J12" i="66" s="1"/>
  <c r="C12" i="66"/>
  <c r="B12" i="66"/>
  <c r="F11" i="66"/>
  <c r="E11" i="66"/>
  <c r="D11" i="66"/>
  <c r="C11" i="66"/>
  <c r="H11" i="66" s="1"/>
  <c r="B11" i="66"/>
  <c r="F10" i="66"/>
  <c r="E10" i="66"/>
  <c r="J10" i="66" s="1"/>
  <c r="C10" i="66"/>
  <c r="H10" i="66" s="1"/>
  <c r="B10" i="66"/>
  <c r="F9" i="66"/>
  <c r="E9" i="66"/>
  <c r="J9" i="66" s="1"/>
  <c r="C9" i="66"/>
  <c r="H5" i="66" s="1"/>
  <c r="B9" i="66"/>
  <c r="F8" i="66"/>
  <c r="E8" i="66"/>
  <c r="J7" i="66" s="1"/>
  <c r="C8" i="66"/>
  <c r="B8" i="66"/>
  <c r="G4" i="66" s="1"/>
  <c r="H6" i="66"/>
  <c r="O1" i="66"/>
  <c r="J1" i="66"/>
  <c r="H2" i="66" s="1"/>
  <c r="N21" i="43" s="1"/>
  <c r="D87" i="67"/>
  <c r="F86" i="67"/>
  <c r="E86" i="67"/>
  <c r="E85" i="67" s="1"/>
  <c r="C86" i="67"/>
  <c r="D86" i="67" s="1"/>
  <c r="B86" i="67"/>
  <c r="F85" i="67"/>
  <c r="F84" i="67" s="1"/>
  <c r="C85" i="67"/>
  <c r="D85" i="67" s="1"/>
  <c r="B85" i="67"/>
  <c r="B84" i="67" s="1"/>
  <c r="E84" i="67"/>
  <c r="C84" i="67"/>
  <c r="D84" i="67" s="1"/>
  <c r="D83" i="67"/>
  <c r="F82" i="67"/>
  <c r="F81" i="67" s="1"/>
  <c r="F80" i="67" s="1"/>
  <c r="E82" i="67"/>
  <c r="E81" i="67" s="1"/>
  <c r="C82" i="67"/>
  <c r="B82" i="67"/>
  <c r="B81" i="67" s="1"/>
  <c r="B80" i="67" s="1"/>
  <c r="E80" i="67"/>
  <c r="D79" i="67"/>
  <c r="Q78" i="67"/>
  <c r="P78" i="67"/>
  <c r="O78" i="67"/>
  <c r="N78" i="67"/>
  <c r="F78" i="67"/>
  <c r="V78" i="67" s="1"/>
  <c r="E78" i="67"/>
  <c r="U78" i="67" s="1"/>
  <c r="C78" i="67"/>
  <c r="B78" i="67"/>
  <c r="B77" i="67" s="1"/>
  <c r="B76" i="67" s="1"/>
  <c r="Q77" i="67"/>
  <c r="P77" i="67"/>
  <c r="O77" i="67"/>
  <c r="N77" i="67"/>
  <c r="Q76" i="67"/>
  <c r="P76" i="67"/>
  <c r="O76" i="67"/>
  <c r="N76" i="67"/>
  <c r="Q75" i="67"/>
  <c r="P75" i="67"/>
  <c r="O75" i="67"/>
  <c r="N75" i="67"/>
  <c r="D75" i="67"/>
  <c r="Q74" i="67"/>
  <c r="P74" i="67"/>
  <c r="O74" i="67"/>
  <c r="N74" i="67"/>
  <c r="F74" i="67"/>
  <c r="V74" i="67" s="1"/>
  <c r="E74" i="67"/>
  <c r="U74" i="67" s="1"/>
  <c r="C74" i="67"/>
  <c r="B74" i="67"/>
  <c r="B73" i="67" s="1"/>
  <c r="B72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D71" i="67"/>
  <c r="Q70" i="67"/>
  <c r="P70" i="67"/>
  <c r="O70" i="67"/>
  <c r="N70" i="67"/>
  <c r="F70" i="67"/>
  <c r="F69" i="67" s="1"/>
  <c r="F68" i="67" s="1"/>
  <c r="E70" i="67"/>
  <c r="U70" i="67" s="1"/>
  <c r="C70" i="67"/>
  <c r="B70" i="67"/>
  <c r="B69" i="67" s="1"/>
  <c r="B68" i="67" s="1"/>
  <c r="Q69" i="67"/>
  <c r="P69" i="67"/>
  <c r="O69" i="67"/>
  <c r="N69" i="67"/>
  <c r="C69" i="67"/>
  <c r="C68" i="67" s="1"/>
  <c r="D68" i="67" s="1"/>
  <c r="Q68" i="67"/>
  <c r="P68" i="67"/>
  <c r="O68" i="67"/>
  <c r="N68" i="67"/>
  <c r="Q67" i="67"/>
  <c r="P67" i="67"/>
  <c r="O67" i="67"/>
  <c r="N67" i="67"/>
  <c r="D67" i="67"/>
  <c r="F66" i="67"/>
  <c r="F65" i="67" s="1"/>
  <c r="E66" i="67"/>
  <c r="U66" i="67" s="1"/>
  <c r="C66" i="67"/>
  <c r="C65" i="67" s="1"/>
  <c r="B66" i="67"/>
  <c r="B65" i="67" s="1"/>
  <c r="B64" i="67" s="1"/>
  <c r="D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E60" i="67"/>
  <c r="Q59" i="67"/>
  <c r="F60" i="67" s="1"/>
  <c r="F61" i="67" s="1"/>
  <c r="F62" i="67" s="1"/>
  <c r="V62" i="67" s="1"/>
  <c r="P59" i="67"/>
  <c r="O59" i="67"/>
  <c r="C60" i="67" s="1"/>
  <c r="C61" i="67" s="1"/>
  <c r="N59" i="67"/>
  <c r="B60" i="67" s="1"/>
  <c r="B61" i="67" s="1"/>
  <c r="B62" i="67" s="1"/>
  <c r="S62" i="67" s="1"/>
  <c r="D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P55" i="67"/>
  <c r="E56" i="67" s="1"/>
  <c r="E57" i="67" s="1"/>
  <c r="E58" i="67" s="1"/>
  <c r="U58" i="67" s="1"/>
  <c r="O55" i="67"/>
  <c r="C56" i="67" s="1"/>
  <c r="N55" i="67"/>
  <c r="B56" i="67" s="1"/>
  <c r="B57" i="67" s="1"/>
  <c r="B58" i="67" s="1"/>
  <c r="S58" i="67" s="1"/>
  <c r="D55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E52" i="67"/>
  <c r="Q51" i="67"/>
  <c r="F52" i="67" s="1"/>
  <c r="F53" i="67" s="1"/>
  <c r="F54" i="67" s="1"/>
  <c r="V54" i="67" s="1"/>
  <c r="P51" i="67"/>
  <c r="O51" i="67"/>
  <c r="C52" i="67" s="1"/>
  <c r="C53" i="67" s="1"/>
  <c r="N51" i="67"/>
  <c r="B52" i="67" s="1"/>
  <c r="B53" i="67" s="1"/>
  <c r="B54" i="67" s="1"/>
  <c r="S54" i="67" s="1"/>
  <c r="D51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P47" i="67"/>
  <c r="E48" i="67" s="1"/>
  <c r="E49" i="67" s="1"/>
  <c r="E50" i="67" s="1"/>
  <c r="U50" i="67" s="1"/>
  <c r="O47" i="67"/>
  <c r="C48" i="67" s="1"/>
  <c r="N47" i="67"/>
  <c r="B48" i="67" s="1"/>
  <c r="B49" i="67" s="1"/>
  <c r="B50" i="67" s="1"/>
  <c r="S50" i="67" s="1"/>
  <c r="D47" i="67"/>
  <c r="T46" i="67"/>
  <c r="Q46" i="67"/>
  <c r="P46" i="67"/>
  <c r="O46" i="67"/>
  <c r="N46" i="67"/>
  <c r="D46" i="67"/>
  <c r="Q45" i="67"/>
  <c r="P45" i="67"/>
  <c r="O45" i="67"/>
  <c r="N45" i="67"/>
  <c r="Q44" i="67"/>
  <c r="P44" i="67"/>
  <c r="O44" i="67"/>
  <c r="N44" i="67"/>
  <c r="C44" i="67"/>
  <c r="D44" i="67" s="1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N43" i="67"/>
  <c r="B44" i="67" s="1"/>
  <c r="D43" i="67"/>
  <c r="Q42" i="67"/>
  <c r="P42" i="67"/>
  <c r="O42" i="67"/>
  <c r="N42" i="67"/>
  <c r="Q41" i="67"/>
  <c r="P41" i="67"/>
  <c r="O41" i="67"/>
  <c r="N41" i="67"/>
  <c r="Q40" i="67"/>
  <c r="P40" i="67"/>
  <c r="O40" i="67"/>
  <c r="N40" i="67"/>
  <c r="C40" i="67"/>
  <c r="D40" i="67" s="1"/>
  <c r="Q39" i="67"/>
  <c r="F40" i="67" s="1"/>
  <c r="F41" i="67" s="1"/>
  <c r="F42" i="67" s="1"/>
  <c r="V42" i="67" s="1"/>
  <c r="P39" i="67"/>
  <c r="E40" i="67" s="1"/>
  <c r="E41" i="67" s="1"/>
  <c r="E42" i="67" s="1"/>
  <c r="U42" i="67" s="1"/>
  <c r="O39" i="67"/>
  <c r="N39" i="67"/>
  <c r="B40" i="67" s="1"/>
  <c r="D39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C36" i="67"/>
  <c r="D36" i="67" s="1"/>
  <c r="Q35" i="67"/>
  <c r="F36" i="67" s="1"/>
  <c r="F37" i="67" s="1"/>
  <c r="F38" i="67" s="1"/>
  <c r="V38" i="67" s="1"/>
  <c r="P35" i="67"/>
  <c r="E36" i="67" s="1"/>
  <c r="E37" i="67" s="1"/>
  <c r="E38" i="67" s="1"/>
  <c r="U38" i="67" s="1"/>
  <c r="O35" i="67"/>
  <c r="N35" i="67"/>
  <c r="B36" i="67" s="1"/>
  <c r="D35" i="67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D31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D27" i="67"/>
  <c r="T26" i="67"/>
  <c r="Q26" i="67"/>
  <c r="P26" i="67"/>
  <c r="O26" i="67"/>
  <c r="C26" i="67" s="1"/>
  <c r="N26" i="67"/>
  <c r="F26" i="67"/>
  <c r="V26" i="67" s="1"/>
  <c r="E26" i="67"/>
  <c r="U26" i="67" s="1"/>
  <c r="D26" i="67"/>
  <c r="B26" i="67"/>
  <c r="S26" i="67" s="1"/>
  <c r="Q25" i="67"/>
  <c r="P25" i="67"/>
  <c r="O25" i="67"/>
  <c r="N25" i="67"/>
  <c r="F25" i="67"/>
  <c r="E25" i="67"/>
  <c r="C25" i="67"/>
  <c r="D25" i="67" s="1"/>
  <c r="B25" i="67"/>
  <c r="B24" i="67" s="1"/>
  <c r="Q24" i="67"/>
  <c r="P24" i="67"/>
  <c r="O24" i="67"/>
  <c r="N24" i="67"/>
  <c r="F24" i="67"/>
  <c r="C24" i="67"/>
  <c r="D24" i="67" s="1"/>
  <c r="Q23" i="67"/>
  <c r="P23" i="67"/>
  <c r="O23" i="67"/>
  <c r="N23" i="67"/>
  <c r="D23" i="67"/>
  <c r="T22" i="67"/>
  <c r="Q22" i="67"/>
  <c r="P22" i="67"/>
  <c r="O22" i="67"/>
  <c r="C22" i="67" s="1"/>
  <c r="N22" i="67"/>
  <c r="F22" i="67"/>
  <c r="V22" i="67" s="1"/>
  <c r="E22" i="67"/>
  <c r="U22" i="67" s="1"/>
  <c r="D22" i="67"/>
  <c r="B22" i="67"/>
  <c r="S22" i="67" s="1"/>
  <c r="Q21" i="67"/>
  <c r="P21" i="67"/>
  <c r="O21" i="67"/>
  <c r="N21" i="67"/>
  <c r="F21" i="67"/>
  <c r="E21" i="67"/>
  <c r="C21" i="67"/>
  <c r="D21" i="67" s="1"/>
  <c r="B21" i="67"/>
  <c r="B20" i="67" s="1"/>
  <c r="Q20" i="67"/>
  <c r="P20" i="67"/>
  <c r="O20" i="67"/>
  <c r="N20" i="67"/>
  <c r="F20" i="67"/>
  <c r="C20" i="67"/>
  <c r="D20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F14" i="65"/>
  <c r="E14" i="65"/>
  <c r="E2" i="65"/>
  <c r="I2" i="65" s="1"/>
  <c r="D2" i="65"/>
  <c r="E1" i="65"/>
  <c r="D1" i="65"/>
  <c r="C1" i="65"/>
  <c r="L1" i="65" s="1"/>
  <c r="E120" i="39"/>
  <c r="F120" i="39" s="1"/>
  <c r="G120" i="39" s="1"/>
  <c r="D120" i="39"/>
  <c r="A119" i="39"/>
  <c r="J45" i="39" s="1"/>
  <c r="AC45" i="39" s="1"/>
  <c r="B117" i="39"/>
  <c r="B115" i="39"/>
  <c r="J43" i="39" s="1"/>
  <c r="AC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M104" i="39"/>
  <c r="L104" i="39"/>
  <c r="K104" i="39"/>
  <c r="J104" i="39"/>
  <c r="I104" i="39"/>
  <c r="H104" i="39"/>
  <c r="G104" i="39"/>
  <c r="F104" i="39"/>
  <c r="E104" i="39"/>
  <c r="D104" i="39"/>
  <c r="C104" i="39"/>
  <c r="D103" i="39"/>
  <c r="E103" i="39" s="1"/>
  <c r="F103" i="39" s="1"/>
  <c r="G103" i="39" s="1"/>
  <c r="A102" i="39"/>
  <c r="B100" i="39"/>
  <c r="B98" i="39"/>
  <c r="E97" i="39"/>
  <c r="F97" i="39" s="1"/>
  <c r="G97" i="39" s="1"/>
  <c r="H97" i="39" s="1"/>
  <c r="I97" i="39" s="1"/>
  <c r="J97" i="39" s="1"/>
  <c r="K97" i="39" s="1"/>
  <c r="L97" i="39" s="1"/>
  <c r="M97" i="39" s="1"/>
  <c r="D97" i="39"/>
  <c r="E95" i="39"/>
  <c r="F95" i="39" s="1"/>
  <c r="G95" i="39" s="1"/>
  <c r="H95" i="39" s="1"/>
  <c r="I95" i="39" s="1"/>
  <c r="J95" i="39" s="1"/>
  <c r="K95" i="39" s="1"/>
  <c r="L95" i="39" s="1"/>
  <c r="M95" i="39" s="1"/>
  <c r="D95" i="39"/>
  <c r="E93" i="39"/>
  <c r="F93" i="39" s="1"/>
  <c r="G93" i="39" s="1"/>
  <c r="H93" i="39" s="1"/>
  <c r="I93" i="39" s="1"/>
  <c r="J93" i="39" s="1"/>
  <c r="K93" i="39" s="1"/>
  <c r="L93" i="39" s="1"/>
  <c r="M93" i="39" s="1"/>
  <c r="D93" i="39"/>
  <c r="B92" i="39"/>
  <c r="D91" i="39"/>
  <c r="E91" i="39" s="1"/>
  <c r="F91" i="39" s="1"/>
  <c r="G91" i="39" s="1"/>
  <c r="D89" i="39"/>
  <c r="E89" i="39" s="1"/>
  <c r="F89" i="39" s="1"/>
  <c r="G89" i="39" s="1"/>
  <c r="D87" i="39"/>
  <c r="E87" i="39" s="1"/>
  <c r="F87" i="39" s="1"/>
  <c r="G87" i="39" s="1"/>
  <c r="D85" i="39"/>
  <c r="E85" i="39" s="1"/>
  <c r="F85" i="39" s="1"/>
  <c r="G85" i="39" s="1"/>
  <c r="D83" i="39"/>
  <c r="E83" i="39" s="1"/>
  <c r="F83" i="39" s="1"/>
  <c r="G83" i="39" s="1"/>
  <c r="D81" i="39"/>
  <c r="E81" i="39" s="1"/>
  <c r="F81" i="39" s="1"/>
  <c r="G81" i="39" s="1"/>
  <c r="D79" i="39"/>
  <c r="E79" i="39" s="1"/>
  <c r="F79" i="39" s="1"/>
  <c r="G79" i="39" s="1"/>
  <c r="D77" i="39"/>
  <c r="E77" i="39" s="1"/>
  <c r="F77" i="39" s="1"/>
  <c r="G77" i="39" s="1"/>
  <c r="B74" i="39"/>
  <c r="B7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B7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M67" i="39"/>
  <c r="L67" i="39"/>
  <c r="K67" i="39"/>
  <c r="J67" i="39"/>
  <c r="I67" i="39"/>
  <c r="H67" i="39"/>
  <c r="G67" i="39"/>
  <c r="F67" i="39"/>
  <c r="E67" i="39"/>
  <c r="D67" i="39"/>
  <c r="C67" i="39"/>
  <c r="C63" i="39"/>
  <c r="I53" i="39"/>
  <c r="J53" i="39" s="1"/>
  <c r="G53" i="39"/>
  <c r="H53" i="39" s="1"/>
  <c r="E53" i="39"/>
  <c r="F53" i="39" s="1"/>
  <c r="A48" i="39"/>
  <c r="P48" i="39" s="1"/>
  <c r="P47" i="39"/>
  <c r="V46" i="39"/>
  <c r="T46" i="39"/>
  <c r="R46" i="39"/>
  <c r="P46" i="39"/>
  <c r="Q45" i="39"/>
  <c r="Z45" i="39" s="1"/>
  <c r="H45" i="39"/>
  <c r="AB45" i="39" s="1"/>
  <c r="Q44" i="39"/>
  <c r="Z44" i="39" s="1"/>
  <c r="J44" i="39"/>
  <c r="AC44" i="39" s="1"/>
  <c r="H44" i="39"/>
  <c r="AB44" i="39" s="1"/>
  <c r="F44" i="39"/>
  <c r="AA44" i="39" s="1"/>
  <c r="Q43" i="39"/>
  <c r="Z43" i="39" s="1"/>
  <c r="H43" i="39"/>
  <c r="AB43" i="39" s="1"/>
  <c r="Q42" i="39"/>
  <c r="Z42" i="39" s="1"/>
  <c r="J42" i="39"/>
  <c r="AC42" i="39" s="1"/>
  <c r="H42" i="39"/>
  <c r="AB42" i="39" s="1"/>
  <c r="F42" i="39"/>
  <c r="AA42" i="39" s="1"/>
  <c r="Q41" i="39"/>
  <c r="Z41" i="39" s="1"/>
  <c r="J41" i="39"/>
  <c r="AC41" i="39" s="1"/>
  <c r="H41" i="39"/>
  <c r="AB41" i="39" s="1"/>
  <c r="F41" i="39"/>
  <c r="AA41" i="39" s="1"/>
  <c r="Q40" i="39"/>
  <c r="Z40" i="39" s="1"/>
  <c r="J40" i="39"/>
  <c r="AC40" i="39" s="1"/>
  <c r="H40" i="39"/>
  <c r="AB40" i="39" s="1"/>
  <c r="F40" i="39"/>
  <c r="AA40" i="39" s="1"/>
  <c r="Q39" i="39"/>
  <c r="Z39" i="39" s="1"/>
  <c r="J39" i="39"/>
  <c r="AC39" i="39" s="1"/>
  <c r="H39" i="39"/>
  <c r="AB39" i="39" s="1"/>
  <c r="F39" i="39"/>
  <c r="AA39" i="39" s="1"/>
  <c r="W38" i="39"/>
  <c r="Q38" i="39"/>
  <c r="Z38" i="39" s="1"/>
  <c r="J38" i="39"/>
  <c r="AC38" i="39" s="1"/>
  <c r="H38" i="39"/>
  <c r="AB38" i="39" s="1"/>
  <c r="F38" i="39"/>
  <c r="AA38" i="39" s="1"/>
  <c r="Q37" i="39"/>
  <c r="Z37" i="39" s="1"/>
  <c r="J37" i="39"/>
  <c r="W37" i="39" s="1"/>
  <c r="H37" i="39"/>
  <c r="U37" i="39" s="1"/>
  <c r="F37" i="39"/>
  <c r="S37" i="39" s="1"/>
  <c r="Q36" i="39"/>
  <c r="Z36" i="39" s="1"/>
  <c r="J36" i="39"/>
  <c r="H36" i="39"/>
  <c r="U36" i="39" s="1"/>
  <c r="F36" i="39"/>
  <c r="S36" i="39" s="1"/>
  <c r="Q35" i="39"/>
  <c r="Z35" i="39" s="1"/>
  <c r="J35" i="39"/>
  <c r="AC35" i="39" s="1"/>
  <c r="H35" i="39"/>
  <c r="AB35" i="39" s="1"/>
  <c r="F35" i="39"/>
  <c r="AA35" i="39" s="1"/>
  <c r="Q34" i="39"/>
  <c r="Z34" i="39" s="1"/>
  <c r="J34" i="39"/>
  <c r="AC34" i="39" s="1"/>
  <c r="H34" i="39"/>
  <c r="AB34" i="39" s="1"/>
  <c r="F34" i="39"/>
  <c r="AA34" i="39" s="1"/>
  <c r="Q32" i="39"/>
  <c r="Z32" i="39" s="1"/>
  <c r="J32" i="39"/>
  <c r="AC32" i="39" s="1"/>
  <c r="H32" i="39"/>
  <c r="AB32" i="39" s="1"/>
  <c r="F32" i="39"/>
  <c r="AA32" i="39" s="1"/>
  <c r="Q31" i="39"/>
  <c r="Z31" i="39" s="1"/>
  <c r="J31" i="39"/>
  <c r="AC31" i="39" s="1"/>
  <c r="H31" i="39"/>
  <c r="AB31" i="39" s="1"/>
  <c r="F31" i="39"/>
  <c r="AA31" i="39" s="1"/>
  <c r="Q29" i="39"/>
  <c r="Z29" i="39" s="1"/>
  <c r="J29" i="39"/>
  <c r="AC29" i="39" s="1"/>
  <c r="H29" i="39"/>
  <c r="AB29" i="39" s="1"/>
  <c r="F29" i="39"/>
  <c r="AA29" i="39" s="1"/>
  <c r="C29" i="39"/>
  <c r="Q27" i="39"/>
  <c r="Z27" i="39" s="1"/>
  <c r="J27" i="39"/>
  <c r="AC27" i="39" s="1"/>
  <c r="H27" i="39"/>
  <c r="AB27" i="39" s="1"/>
  <c r="F27" i="39"/>
  <c r="AA27" i="39" s="1"/>
  <c r="C27" i="39"/>
  <c r="Q25" i="39"/>
  <c r="Z25" i="39" s="1"/>
  <c r="J25" i="39"/>
  <c r="AC25" i="39" s="1"/>
  <c r="H25" i="39"/>
  <c r="AB25" i="39" s="1"/>
  <c r="F25" i="39"/>
  <c r="AA25" i="39" s="1"/>
  <c r="C25" i="39"/>
  <c r="Q23" i="39"/>
  <c r="Z23" i="39" s="1"/>
  <c r="J23" i="39"/>
  <c r="AC23" i="39" s="1"/>
  <c r="H23" i="39"/>
  <c r="AB23" i="39" s="1"/>
  <c r="F23" i="39"/>
  <c r="AA23" i="39" s="1"/>
  <c r="C23" i="39"/>
  <c r="Q21" i="39"/>
  <c r="Z21" i="39" s="1"/>
  <c r="J21" i="39"/>
  <c r="AC21" i="39" s="1"/>
  <c r="H21" i="39"/>
  <c r="AB21" i="39" s="1"/>
  <c r="F21" i="39"/>
  <c r="AA21" i="39" s="1"/>
  <c r="C21" i="39"/>
  <c r="Q19" i="39"/>
  <c r="Z19" i="39" s="1"/>
  <c r="J19" i="39"/>
  <c r="AC19" i="39" s="1"/>
  <c r="H19" i="39"/>
  <c r="AB19" i="39" s="1"/>
  <c r="F19" i="39"/>
  <c r="AA19" i="39" s="1"/>
  <c r="C19" i="39"/>
  <c r="Q17" i="39"/>
  <c r="Z17" i="39" s="1"/>
  <c r="J17" i="39"/>
  <c r="AC17" i="39" s="1"/>
  <c r="H17" i="39"/>
  <c r="AB17" i="39" s="1"/>
  <c r="F17" i="39"/>
  <c r="AA17" i="39" s="1"/>
  <c r="C17" i="39"/>
  <c r="Q15" i="39"/>
  <c r="Z15" i="39" s="1"/>
  <c r="J15" i="39"/>
  <c r="AC15" i="39" s="1"/>
  <c r="H15" i="39"/>
  <c r="AB15" i="39" s="1"/>
  <c r="F15" i="39"/>
  <c r="AA15" i="39" s="1"/>
  <c r="C15" i="39"/>
  <c r="Q14" i="39"/>
  <c r="Z14" i="39" s="1"/>
  <c r="J14" i="39"/>
  <c r="AC14" i="39" s="1"/>
  <c r="H14" i="39"/>
  <c r="AB14" i="39" s="1"/>
  <c r="F14" i="39"/>
  <c r="AA14" i="39" s="1"/>
  <c r="Q13" i="39"/>
  <c r="Z13" i="39" s="1"/>
  <c r="J13" i="39"/>
  <c r="AC13" i="39" s="1"/>
  <c r="H13" i="39"/>
  <c r="AB13" i="39" s="1"/>
  <c r="F13" i="39"/>
  <c r="AA13" i="39" s="1"/>
  <c r="Q12" i="39"/>
  <c r="Z12" i="39" s="1"/>
  <c r="C12" i="39"/>
  <c r="Q11" i="39"/>
  <c r="Z11" i="39" s="1"/>
  <c r="AC10" i="39"/>
  <c r="AB10" i="39"/>
  <c r="AA10" i="39"/>
  <c r="W10" i="39"/>
  <c r="U10" i="39"/>
  <c r="S10" i="39"/>
  <c r="Q10" i="39"/>
  <c r="Z10" i="39" s="1"/>
  <c r="Q9" i="39"/>
  <c r="Z9" i="39" s="1"/>
  <c r="J9" i="39"/>
  <c r="AC9" i="39" s="1"/>
  <c r="C9" i="39"/>
  <c r="J8" i="39"/>
  <c r="W8" i="39" s="1"/>
  <c r="H8" i="39"/>
  <c r="AB8" i="39" s="1"/>
  <c r="F8" i="39"/>
  <c r="S8" i="39" s="1"/>
  <c r="B2" i="39"/>
  <c r="C18" i="64"/>
  <c r="B10" i="64"/>
  <c r="D30" i="64" s="1"/>
  <c r="B9" i="64"/>
  <c r="D29" i="64" s="1"/>
  <c r="B7" i="64"/>
  <c r="B5" i="64"/>
  <c r="C25" i="64" s="1"/>
  <c r="B2" i="64"/>
  <c r="K94" i="62"/>
  <c r="J94" i="62"/>
  <c r="F94" i="62"/>
  <c r="B94" i="62"/>
  <c r="K93" i="62"/>
  <c r="J93" i="62"/>
  <c r="F93" i="62"/>
  <c r="C93" i="62"/>
  <c r="K92" i="62"/>
  <c r="J92" i="62"/>
  <c r="F92" i="62"/>
  <c r="D92" i="62"/>
  <c r="K91" i="62"/>
  <c r="J91" i="62"/>
  <c r="H91" i="62"/>
  <c r="F91" i="62"/>
  <c r="K90" i="62"/>
  <c r="J90" i="62"/>
  <c r="I90" i="62"/>
  <c r="F90" i="62"/>
  <c r="D90" i="62"/>
  <c r="K89" i="62"/>
  <c r="J89" i="62"/>
  <c r="H89" i="62"/>
  <c r="F89" i="62"/>
  <c r="K88" i="62"/>
  <c r="J88" i="62"/>
  <c r="F88" i="62"/>
  <c r="B88" i="62"/>
  <c r="J87" i="62"/>
  <c r="H87" i="62"/>
  <c r="E87" i="62"/>
  <c r="D87" i="62"/>
  <c r="B87" i="62"/>
  <c r="J86" i="62"/>
  <c r="I86" i="62"/>
  <c r="H86" i="62"/>
  <c r="F86" i="62"/>
  <c r="E86" i="62"/>
  <c r="D86" i="62"/>
  <c r="J85" i="62"/>
  <c r="H85" i="62"/>
  <c r="F85" i="62"/>
  <c r="E85" i="62"/>
  <c r="D85" i="62"/>
  <c r="J84" i="62"/>
  <c r="H84" i="62"/>
  <c r="E84" i="62"/>
  <c r="D84" i="62"/>
  <c r="B84" i="62"/>
  <c r="J83" i="62"/>
  <c r="H83" i="62"/>
  <c r="E83" i="62"/>
  <c r="D83" i="62"/>
  <c r="B83" i="62"/>
  <c r="J82" i="62"/>
  <c r="I82" i="62"/>
  <c r="H82" i="62"/>
  <c r="F82" i="62"/>
  <c r="E82" i="62"/>
  <c r="D82" i="62"/>
  <c r="J81" i="62"/>
  <c r="H81" i="62"/>
  <c r="F81" i="62"/>
  <c r="E81" i="62"/>
  <c r="D81" i="62"/>
  <c r="J80" i="62"/>
  <c r="H80" i="62"/>
  <c r="E80" i="62"/>
  <c r="D80" i="62"/>
  <c r="B80" i="62"/>
  <c r="J79" i="62"/>
  <c r="I79" i="62"/>
  <c r="G79" i="62"/>
  <c r="F79" i="62"/>
  <c r="D79" i="62"/>
  <c r="J78" i="62"/>
  <c r="I78" i="62"/>
  <c r="H78" i="62"/>
  <c r="G78" i="62"/>
  <c r="F78" i="62"/>
  <c r="B78" i="62"/>
  <c r="J77" i="62"/>
  <c r="I77" i="62"/>
  <c r="G77" i="62"/>
  <c r="F77" i="62"/>
  <c r="D77" i="62"/>
  <c r="J76" i="62"/>
  <c r="I76" i="62"/>
  <c r="H76" i="62"/>
  <c r="G76" i="62"/>
  <c r="F76" i="62"/>
  <c r="B76" i="62"/>
  <c r="J75" i="62"/>
  <c r="I75" i="62"/>
  <c r="G75" i="62"/>
  <c r="F75" i="62"/>
  <c r="D75" i="62"/>
  <c r="J74" i="62"/>
  <c r="I74" i="62"/>
  <c r="H74" i="62"/>
  <c r="G74" i="62"/>
  <c r="F74" i="62"/>
  <c r="B74" i="62"/>
  <c r="J73" i="62"/>
  <c r="I73" i="62"/>
  <c r="G73" i="62"/>
  <c r="F73" i="62"/>
  <c r="D73" i="62"/>
  <c r="J72" i="62"/>
  <c r="I72" i="62"/>
  <c r="H72" i="62"/>
  <c r="G72" i="62"/>
  <c r="J71" i="62"/>
  <c r="I71" i="62"/>
  <c r="G71" i="62"/>
  <c r="F71" i="62"/>
  <c r="B71" i="62"/>
  <c r="J70" i="62"/>
  <c r="I70" i="62"/>
  <c r="G70" i="62"/>
  <c r="E70" i="62"/>
  <c r="K69" i="62"/>
  <c r="J69" i="62"/>
  <c r="I69" i="62"/>
  <c r="G69" i="62"/>
  <c r="F69" i="62"/>
  <c r="B69" i="62"/>
  <c r="J68" i="62"/>
  <c r="I68" i="62"/>
  <c r="G68" i="62"/>
  <c r="J67" i="62"/>
  <c r="I67" i="62"/>
  <c r="G67" i="62"/>
  <c r="D67" i="62"/>
  <c r="J66" i="62"/>
  <c r="I66" i="62"/>
  <c r="H66" i="62"/>
  <c r="G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I94" i="62" s="1"/>
  <c r="N31" i="62"/>
  <c r="H94" i="62" s="1"/>
  <c r="L31" i="62"/>
  <c r="G94" i="62" s="1"/>
  <c r="H31" i="62"/>
  <c r="E94" i="62" s="1"/>
  <c r="F31" i="62"/>
  <c r="D94" i="62" s="1"/>
  <c r="D31" i="62"/>
  <c r="C94" i="62" s="1"/>
  <c r="B31" i="62"/>
  <c r="P30" i="62"/>
  <c r="I93" i="62" s="1"/>
  <c r="N30" i="62"/>
  <c r="H93" i="62" s="1"/>
  <c r="L30" i="62"/>
  <c r="G93" i="62" s="1"/>
  <c r="H30" i="62"/>
  <c r="E93" i="62" s="1"/>
  <c r="F30" i="62"/>
  <c r="D93" i="62" s="1"/>
  <c r="D30" i="62"/>
  <c r="B30" i="62"/>
  <c r="B93" i="62" s="1"/>
  <c r="P29" i="62"/>
  <c r="I92" i="62" s="1"/>
  <c r="N29" i="62"/>
  <c r="H92" i="62" s="1"/>
  <c r="L29" i="62"/>
  <c r="G92" i="62" s="1"/>
  <c r="H29" i="62"/>
  <c r="E92" i="62" s="1"/>
  <c r="F29" i="62"/>
  <c r="D29" i="62"/>
  <c r="C92" i="62" s="1"/>
  <c r="B29" i="62"/>
  <c r="B92" i="62" s="1"/>
  <c r="P28" i="62"/>
  <c r="I91" i="62" s="1"/>
  <c r="N28" i="62"/>
  <c r="L28" i="62"/>
  <c r="G91" i="62" s="1"/>
  <c r="H28" i="62"/>
  <c r="E91" i="62" s="1"/>
  <c r="F28" i="62"/>
  <c r="D91" i="62" s="1"/>
  <c r="D28" i="62"/>
  <c r="C91" i="62" s="1"/>
  <c r="B28" i="62"/>
  <c r="B91" i="62" s="1"/>
  <c r="P27" i="62"/>
  <c r="N27" i="62"/>
  <c r="H90" i="62" s="1"/>
  <c r="L27" i="62"/>
  <c r="G90" i="62" s="1"/>
  <c r="H27" i="62"/>
  <c r="E90" i="62" s="1"/>
  <c r="F27" i="62"/>
  <c r="D27" i="62"/>
  <c r="C90" i="62" s="1"/>
  <c r="B27" i="62"/>
  <c r="B90" i="62" s="1"/>
  <c r="P26" i="62"/>
  <c r="I89" i="62" s="1"/>
  <c r="N26" i="62"/>
  <c r="L26" i="62"/>
  <c r="G89" i="62" s="1"/>
  <c r="H26" i="62"/>
  <c r="E89" i="62" s="1"/>
  <c r="F26" i="62"/>
  <c r="D89" i="62" s="1"/>
  <c r="D26" i="62"/>
  <c r="C89" i="62" s="1"/>
  <c r="B26" i="62"/>
  <c r="B89" i="62" s="1"/>
  <c r="P25" i="62"/>
  <c r="I88" i="62" s="1"/>
  <c r="N25" i="62"/>
  <c r="H88" i="62" s="1"/>
  <c r="L25" i="62"/>
  <c r="G88" i="62" s="1"/>
  <c r="H25" i="62"/>
  <c r="E88" i="62" s="1"/>
  <c r="F25" i="62"/>
  <c r="D88" i="62" s="1"/>
  <c r="D25" i="62"/>
  <c r="C88" i="62" s="1"/>
  <c r="B25" i="62"/>
  <c r="T24" i="62"/>
  <c r="K87" i="62" s="1"/>
  <c r="P24" i="62"/>
  <c r="I87" i="62" s="1"/>
  <c r="L24" i="62"/>
  <c r="G87" i="62" s="1"/>
  <c r="J24" i="62"/>
  <c r="F87" i="62" s="1"/>
  <c r="D24" i="62"/>
  <c r="C87" i="62" s="1"/>
  <c r="B24" i="62"/>
  <c r="T23" i="62"/>
  <c r="K86" i="62" s="1"/>
  <c r="P23" i="62"/>
  <c r="L23" i="62"/>
  <c r="G86" i="62" s="1"/>
  <c r="J23" i="62"/>
  <c r="D23" i="62"/>
  <c r="C86" i="62" s="1"/>
  <c r="B23" i="62"/>
  <c r="B86" i="62" s="1"/>
  <c r="T22" i="62"/>
  <c r="K85" i="62" s="1"/>
  <c r="P22" i="62"/>
  <c r="I85" i="62" s="1"/>
  <c r="L22" i="62"/>
  <c r="G85" i="62" s="1"/>
  <c r="J22" i="62"/>
  <c r="D22" i="62"/>
  <c r="C85" i="62" s="1"/>
  <c r="B22" i="62"/>
  <c r="B85" i="62" s="1"/>
  <c r="T21" i="62"/>
  <c r="K84" i="62" s="1"/>
  <c r="P21" i="62"/>
  <c r="I84" i="62" s="1"/>
  <c r="L21" i="62"/>
  <c r="G84" i="62" s="1"/>
  <c r="J21" i="62"/>
  <c r="F84" i="62" s="1"/>
  <c r="D21" i="62"/>
  <c r="C84" i="62" s="1"/>
  <c r="B21" i="62"/>
  <c r="T20" i="62"/>
  <c r="K83" i="62" s="1"/>
  <c r="P20" i="62"/>
  <c r="I83" i="62" s="1"/>
  <c r="L20" i="62"/>
  <c r="G83" i="62" s="1"/>
  <c r="J20" i="62"/>
  <c r="F83" i="62" s="1"/>
  <c r="D20" i="62"/>
  <c r="C83" i="62" s="1"/>
  <c r="B20" i="62"/>
  <c r="T19" i="62"/>
  <c r="K82" i="62" s="1"/>
  <c r="P19" i="62"/>
  <c r="L19" i="62"/>
  <c r="G82" i="62" s="1"/>
  <c r="J19" i="62"/>
  <c r="D19" i="62"/>
  <c r="C82" i="62" s="1"/>
  <c r="B19" i="62"/>
  <c r="B82" i="62" s="1"/>
  <c r="T18" i="62"/>
  <c r="K81" i="62" s="1"/>
  <c r="P18" i="62"/>
  <c r="I81" i="62" s="1"/>
  <c r="L18" i="62"/>
  <c r="G81" i="62" s="1"/>
  <c r="J18" i="62"/>
  <c r="D18" i="62"/>
  <c r="C81" i="62" s="1"/>
  <c r="B18" i="62"/>
  <c r="B81" i="62" s="1"/>
  <c r="T17" i="62"/>
  <c r="K80" i="62" s="1"/>
  <c r="P17" i="62"/>
  <c r="I80" i="62" s="1"/>
  <c r="L17" i="62"/>
  <c r="G80" i="62" s="1"/>
  <c r="J17" i="62"/>
  <c r="F80" i="62" s="1"/>
  <c r="D17" i="62"/>
  <c r="C80" i="62" s="1"/>
  <c r="B17" i="62"/>
  <c r="T16" i="62"/>
  <c r="K79" i="62" s="1"/>
  <c r="N16" i="62"/>
  <c r="H79" i="62" s="1"/>
  <c r="H16" i="62"/>
  <c r="E79" i="62" s="1"/>
  <c r="F16" i="62"/>
  <c r="D16" i="62"/>
  <c r="C79" i="62" s="1"/>
  <c r="B16" i="62"/>
  <c r="B79" i="62" s="1"/>
  <c r="T15" i="62"/>
  <c r="K78" i="62" s="1"/>
  <c r="N15" i="62"/>
  <c r="H15" i="62"/>
  <c r="E78" i="62" s="1"/>
  <c r="F15" i="62"/>
  <c r="D78" i="62" s="1"/>
  <c r="D15" i="62"/>
  <c r="C78" i="62" s="1"/>
  <c r="B15" i="62"/>
  <c r="T14" i="62"/>
  <c r="K77" i="62" s="1"/>
  <c r="N14" i="62"/>
  <c r="H77" i="62" s="1"/>
  <c r="H14" i="62"/>
  <c r="E77" i="62" s="1"/>
  <c r="F14" i="62"/>
  <c r="D14" i="62"/>
  <c r="C77" i="62" s="1"/>
  <c r="B14" i="62"/>
  <c r="B77" i="62" s="1"/>
  <c r="T13" i="62"/>
  <c r="K76" i="62" s="1"/>
  <c r="N13" i="62"/>
  <c r="H13" i="62"/>
  <c r="E76" i="62" s="1"/>
  <c r="F13" i="62"/>
  <c r="D76" i="62" s="1"/>
  <c r="D13" i="62"/>
  <c r="C76" i="62" s="1"/>
  <c r="B13" i="62"/>
  <c r="T12" i="62"/>
  <c r="K75" i="62" s="1"/>
  <c r="N12" i="62"/>
  <c r="H75" i="62" s="1"/>
  <c r="H12" i="62"/>
  <c r="E75" i="62" s="1"/>
  <c r="F12" i="62"/>
  <c r="D12" i="62"/>
  <c r="C75" i="62" s="1"/>
  <c r="B12" i="62"/>
  <c r="B75" i="62" s="1"/>
  <c r="T11" i="62"/>
  <c r="K74" i="62" s="1"/>
  <c r="N11" i="62"/>
  <c r="H11" i="62"/>
  <c r="E74" i="62" s="1"/>
  <c r="F11" i="62"/>
  <c r="D74" i="62" s="1"/>
  <c r="D11" i="62"/>
  <c r="C74" i="62" s="1"/>
  <c r="B11" i="62"/>
  <c r="T10" i="62"/>
  <c r="K73" i="62" s="1"/>
  <c r="N10" i="62"/>
  <c r="H73" i="62" s="1"/>
  <c r="H10" i="62"/>
  <c r="E73" i="62" s="1"/>
  <c r="F10" i="62"/>
  <c r="D10" i="62"/>
  <c r="C73" i="62" s="1"/>
  <c r="B10" i="62"/>
  <c r="B73" i="62" s="1"/>
  <c r="T9" i="62"/>
  <c r="K72" i="62" s="1"/>
  <c r="N9" i="62"/>
  <c r="J9" i="62"/>
  <c r="F72" i="62" s="1"/>
  <c r="H9" i="62"/>
  <c r="E72" i="62" s="1"/>
  <c r="F9" i="62"/>
  <c r="D72" i="62" s="1"/>
  <c r="D9" i="62"/>
  <c r="C72" i="62" s="1"/>
  <c r="B9" i="62"/>
  <c r="B72" i="62" s="1"/>
  <c r="T8" i="62"/>
  <c r="K71" i="62" s="1"/>
  <c r="N8" i="62"/>
  <c r="H71" i="62" s="1"/>
  <c r="J8" i="62"/>
  <c r="H8" i="62"/>
  <c r="E71" i="62" s="1"/>
  <c r="F8" i="62"/>
  <c r="D71" i="62" s="1"/>
  <c r="D8" i="62"/>
  <c r="C71" i="62" s="1"/>
  <c r="B8" i="62"/>
  <c r="T7" i="62"/>
  <c r="K70" i="62" s="1"/>
  <c r="N7" i="62"/>
  <c r="H70" i="62" s="1"/>
  <c r="J7" i="62"/>
  <c r="F70" i="62" s="1"/>
  <c r="H7" i="62"/>
  <c r="F7" i="62"/>
  <c r="D70" i="62" s="1"/>
  <c r="D7" i="62"/>
  <c r="C70" i="62" s="1"/>
  <c r="B7" i="62"/>
  <c r="B70" i="62" s="1"/>
  <c r="T6" i="62"/>
  <c r="N6" i="62"/>
  <c r="H69" i="62" s="1"/>
  <c r="J6" i="62"/>
  <c r="H6" i="62"/>
  <c r="E69" i="62" s="1"/>
  <c r="F6" i="62"/>
  <c r="D69" i="62" s="1"/>
  <c r="D6" i="62"/>
  <c r="C69" i="62" s="1"/>
  <c r="B6" i="62"/>
  <c r="T5" i="62"/>
  <c r="K68" i="62" s="1"/>
  <c r="N5" i="62"/>
  <c r="H68" i="62" s="1"/>
  <c r="J5" i="62"/>
  <c r="F68" i="62" s="1"/>
  <c r="H5" i="62"/>
  <c r="E68" i="62" s="1"/>
  <c r="F5" i="62"/>
  <c r="D68" i="62" s="1"/>
  <c r="D5" i="62"/>
  <c r="C68" i="62" s="1"/>
  <c r="B5" i="62"/>
  <c r="B68" i="62" s="1"/>
  <c r="T4" i="62"/>
  <c r="K67" i="62" s="1"/>
  <c r="N4" i="62"/>
  <c r="H67" i="62" s="1"/>
  <c r="J4" i="62"/>
  <c r="F67" i="62" s="1"/>
  <c r="H4" i="62"/>
  <c r="E67" i="62" s="1"/>
  <c r="F4" i="62"/>
  <c r="D4" i="62"/>
  <c r="C67" i="62" s="1"/>
  <c r="B4" i="62"/>
  <c r="B67" i="62" s="1"/>
  <c r="T3" i="62"/>
  <c r="K66" i="62" s="1"/>
  <c r="N3" i="62"/>
  <c r="J3" i="62"/>
  <c r="F66" i="62" s="1"/>
  <c r="H3" i="62"/>
  <c r="E66" i="62" s="1"/>
  <c r="F3" i="62"/>
  <c r="D66" i="62" s="1"/>
  <c r="D3" i="62"/>
  <c r="C66" i="62" s="1"/>
  <c r="B3" i="62"/>
  <c r="B66" i="62" s="1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D76" i="63"/>
  <c r="B76" i="63"/>
  <c r="D75" i="63"/>
  <c r="B75" i="63"/>
  <c r="D74" i="63"/>
  <c r="D73" i="63"/>
  <c r="B73" i="63"/>
  <c r="D72" i="63"/>
  <c r="B72" i="63"/>
  <c r="D71" i="63"/>
  <c r="B71" i="63"/>
  <c r="D70" i="63"/>
  <c r="B70" i="63"/>
  <c r="D66" i="63"/>
  <c r="B66" i="63"/>
  <c r="B65" i="63"/>
  <c r="B63" i="63"/>
  <c r="B62" i="63"/>
  <c r="D61" i="63"/>
  <c r="B61" i="63"/>
  <c r="B60" i="63"/>
  <c r="D57" i="63"/>
  <c r="B57" i="63"/>
  <c r="D56" i="63"/>
  <c r="D55" i="63"/>
  <c r="B55" i="63"/>
  <c r="D54" i="63"/>
  <c r="D53" i="63"/>
  <c r="B53" i="63"/>
  <c r="D52" i="63"/>
  <c r="B52" i="63"/>
  <c r="D51" i="63"/>
  <c r="B51" i="63"/>
  <c r="D48" i="63"/>
  <c r="B48" i="63"/>
  <c r="D47" i="63"/>
  <c r="D46" i="63"/>
  <c r="B46" i="63"/>
  <c r="D45" i="63"/>
  <c r="D44" i="63"/>
  <c r="B44" i="63"/>
  <c r="D43" i="63"/>
  <c r="B43" i="63"/>
  <c r="D42" i="63"/>
  <c r="B42" i="63"/>
  <c r="G10" i="63"/>
  <c r="G3" i="63"/>
  <c r="E12" i="63" s="1"/>
  <c r="G2" i="63"/>
  <c r="E2" i="63"/>
  <c r="F9" i="63" s="1"/>
  <c r="J1" i="63"/>
  <c r="D21" i="63" s="1"/>
  <c r="H1" i="63"/>
  <c r="M15" i="45"/>
  <c r="L15" i="45"/>
  <c r="K15" i="45"/>
  <c r="J15" i="45"/>
  <c r="I15" i="45"/>
  <c r="H15" i="45"/>
  <c r="G15" i="45"/>
  <c r="F15" i="45"/>
  <c r="E15" i="45"/>
  <c r="D15" i="45"/>
  <c r="C15" i="45"/>
  <c r="B15" i="45"/>
  <c r="N109" i="43"/>
  <c r="L101" i="43"/>
  <c r="N100" i="43"/>
  <c r="N101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1" i="43" s="1"/>
  <c r="G100" i="43"/>
  <c r="G109" i="43" s="1"/>
  <c r="F100" i="43"/>
  <c r="F101" i="43" s="1"/>
  <c r="E100" i="43"/>
  <c r="E109" i="43" s="1"/>
  <c r="D100" i="43"/>
  <c r="D101" i="43" s="1"/>
  <c r="C100" i="43"/>
  <c r="C109" i="43" s="1"/>
  <c r="M88" i="43"/>
  <c r="N88" i="43" s="1"/>
  <c r="K88" i="43"/>
  <c r="J88" i="43" s="1"/>
  <c r="D88" i="43"/>
  <c r="B88" i="43"/>
  <c r="M87" i="43"/>
  <c r="N87" i="43" s="1"/>
  <c r="K87" i="43"/>
  <c r="J87" i="43"/>
  <c r="D87" i="43"/>
  <c r="M86" i="43"/>
  <c r="N86" i="43" s="1"/>
  <c r="K86" i="43"/>
  <c r="J86" i="43" s="1"/>
  <c r="D86" i="43"/>
  <c r="B86" i="43"/>
  <c r="M85" i="43"/>
  <c r="N85" i="43" s="1"/>
  <c r="K85" i="43"/>
  <c r="J85" i="43" s="1"/>
  <c r="D85" i="43"/>
  <c r="B85" i="43"/>
  <c r="N84" i="43"/>
  <c r="M84" i="43"/>
  <c r="K84" i="43"/>
  <c r="J84" i="43" s="1"/>
  <c r="D84" i="43"/>
  <c r="B84" i="43"/>
  <c r="N83" i="43"/>
  <c r="M83" i="43"/>
  <c r="K83" i="43"/>
  <c r="J83" i="43" s="1"/>
  <c r="D83" i="43"/>
  <c r="B83" i="43"/>
  <c r="M82" i="43"/>
  <c r="N82" i="43" s="1"/>
  <c r="K82" i="43"/>
  <c r="J82" i="43" s="1"/>
  <c r="D82" i="43"/>
  <c r="B82" i="43"/>
  <c r="M81" i="43"/>
  <c r="N81" i="43" s="1"/>
  <c r="K81" i="43"/>
  <c r="J81" i="43" s="1"/>
  <c r="D81" i="43"/>
  <c r="B81" i="43"/>
  <c r="N78" i="43"/>
  <c r="M78" i="43"/>
  <c r="K78" i="43"/>
  <c r="J78" i="43" s="1"/>
  <c r="D78" i="43"/>
  <c r="M77" i="43"/>
  <c r="N77" i="43" s="1"/>
  <c r="K77" i="43"/>
  <c r="J77" i="43" s="1"/>
  <c r="D77" i="43"/>
  <c r="B77" i="43"/>
  <c r="M76" i="43"/>
  <c r="N76" i="43" s="1"/>
  <c r="K76" i="43"/>
  <c r="J76" i="43"/>
  <c r="D76" i="43"/>
  <c r="M75" i="43"/>
  <c r="N75" i="43" s="1"/>
  <c r="K75" i="43"/>
  <c r="J75" i="43" s="1"/>
  <c r="D75" i="43"/>
  <c r="B75" i="43"/>
  <c r="M74" i="43"/>
  <c r="N74" i="43" s="1"/>
  <c r="K74" i="43"/>
  <c r="J74" i="43" s="1"/>
  <c r="D74" i="43"/>
  <c r="B74" i="43"/>
  <c r="N73" i="43"/>
  <c r="M73" i="43"/>
  <c r="K73" i="43"/>
  <c r="J73" i="43" s="1"/>
  <c r="D73" i="43"/>
  <c r="B73" i="43"/>
  <c r="N72" i="43"/>
  <c r="M72" i="43"/>
  <c r="K72" i="43"/>
  <c r="J72" i="43" s="1"/>
  <c r="D72" i="43"/>
  <c r="B72" i="43"/>
  <c r="M71" i="43"/>
  <c r="N71" i="43" s="1"/>
  <c r="K71" i="43"/>
  <c r="J71" i="43" s="1"/>
  <c r="D71" i="43"/>
  <c r="B71" i="43"/>
  <c r="M70" i="43"/>
  <c r="N70" i="43" s="1"/>
  <c r="K70" i="43"/>
  <c r="J70" i="43" s="1"/>
  <c r="D70" i="43"/>
  <c r="B70" i="43"/>
  <c r="N67" i="43"/>
  <c r="M67" i="43"/>
  <c r="K67" i="43"/>
  <c r="J67" i="43" s="1"/>
  <c r="D67" i="43"/>
  <c r="B67" i="43"/>
  <c r="M66" i="43"/>
  <c r="N66" i="43" s="1"/>
  <c r="K66" i="43"/>
  <c r="J66" i="43" s="1"/>
  <c r="D66" i="43"/>
  <c r="B66" i="43"/>
  <c r="M65" i="43"/>
  <c r="N65" i="43" s="1"/>
  <c r="K65" i="43"/>
  <c r="J65" i="43" s="1"/>
  <c r="D65" i="43"/>
  <c r="B65" i="43"/>
  <c r="M64" i="43"/>
  <c r="N64" i="43" s="1"/>
  <c r="K64" i="43"/>
  <c r="J64" i="43"/>
  <c r="D64" i="43"/>
  <c r="M63" i="43"/>
  <c r="N63" i="43" s="1"/>
  <c r="K63" i="43"/>
  <c r="J63" i="43" s="1"/>
  <c r="D63" i="43"/>
  <c r="B63" i="43"/>
  <c r="M62" i="43"/>
  <c r="N62" i="43" s="1"/>
  <c r="K62" i="43"/>
  <c r="J62" i="43" s="1"/>
  <c r="D62" i="43"/>
  <c r="M61" i="43"/>
  <c r="N61" i="43" s="1"/>
  <c r="K61" i="43"/>
  <c r="J61" i="43"/>
  <c r="D61" i="43"/>
  <c r="B61" i="43"/>
  <c r="M60" i="43"/>
  <c r="N60" i="43" s="1"/>
  <c r="K60" i="43"/>
  <c r="J60" i="43" s="1"/>
  <c r="D60" i="43"/>
  <c r="B60" i="43"/>
  <c r="M59" i="43"/>
  <c r="N59" i="43" s="1"/>
  <c r="K59" i="43"/>
  <c r="J59" i="43" s="1"/>
  <c r="D59" i="43"/>
  <c r="B59" i="43"/>
  <c r="M56" i="43"/>
  <c r="N56" i="43" s="1"/>
  <c r="K56" i="43"/>
  <c r="J56" i="43"/>
  <c r="D56" i="43"/>
  <c r="B56" i="43"/>
  <c r="M55" i="43"/>
  <c r="N55" i="43" s="1"/>
  <c r="K55" i="43"/>
  <c r="J55" i="43" s="1"/>
  <c r="D55" i="43"/>
  <c r="B55" i="43"/>
  <c r="M54" i="43"/>
  <c r="N54" i="43" s="1"/>
  <c r="K54" i="43"/>
  <c r="J54" i="43" s="1"/>
  <c r="D54" i="43"/>
  <c r="B54" i="43"/>
  <c r="M53" i="43"/>
  <c r="N53" i="43" s="1"/>
  <c r="K53" i="43"/>
  <c r="J53" i="43"/>
  <c r="D53" i="43"/>
  <c r="M52" i="43"/>
  <c r="N52" i="43" s="1"/>
  <c r="K52" i="43"/>
  <c r="J52" i="43" s="1"/>
  <c r="D52" i="43"/>
  <c r="B52" i="43"/>
  <c r="M51" i="43"/>
  <c r="N51" i="43" s="1"/>
  <c r="K51" i="43"/>
  <c r="J51" i="43" s="1"/>
  <c r="D51" i="43"/>
  <c r="M50" i="43"/>
  <c r="N50" i="43" s="1"/>
  <c r="K50" i="43"/>
  <c r="J50" i="43"/>
  <c r="D50" i="43"/>
  <c r="B50" i="43"/>
  <c r="M49" i="43"/>
  <c r="N49" i="43" s="1"/>
  <c r="K49" i="43"/>
  <c r="J49" i="43" s="1"/>
  <c r="D49" i="43"/>
  <c r="B49" i="43"/>
  <c r="M48" i="43"/>
  <c r="N48" i="43" s="1"/>
  <c r="K48" i="43"/>
  <c r="J48" i="43" s="1"/>
  <c r="D48" i="43"/>
  <c r="B48" i="43"/>
  <c r="H39" i="43"/>
  <c r="H38" i="43"/>
  <c r="H37" i="43"/>
  <c r="H36" i="43"/>
  <c r="H35" i="43"/>
  <c r="F35" i="43"/>
  <c r="H34" i="43"/>
  <c r="H33" i="43"/>
  <c r="C18" i="43"/>
  <c r="J17" i="43"/>
  <c r="E17" i="43"/>
  <c r="F15" i="43"/>
  <c r="E15" i="43"/>
  <c r="D15" i="43"/>
  <c r="C15" i="43"/>
  <c r="C10" i="43"/>
  <c r="C11" i="43" s="1"/>
  <c r="C9" i="43"/>
  <c r="B4" i="43"/>
  <c r="B3" i="43"/>
  <c r="I2" i="43"/>
  <c r="G2" i="43"/>
  <c r="L17" i="43" s="1"/>
  <c r="E2" i="43"/>
  <c r="F114" i="43" s="1"/>
  <c r="D1" i="43"/>
  <c r="R33" i="59"/>
  <c r="Q33" i="59"/>
  <c r="P33" i="59"/>
  <c r="O33" i="59"/>
  <c r="G32" i="59"/>
  <c r="G31" i="59"/>
  <c r="F31" i="59"/>
  <c r="F32" i="59" s="1"/>
  <c r="G30" i="59"/>
  <c r="G29" i="59"/>
  <c r="I22" i="59"/>
  <c r="H21" i="59"/>
  <c r="F16" i="59"/>
  <c r="F8" i="9" s="1"/>
  <c r="F13" i="59"/>
  <c r="F19" i="59" s="1"/>
  <c r="F10" i="9" s="1"/>
  <c r="H9" i="59"/>
  <c r="B8" i="59"/>
  <c r="G3" i="43" s="1"/>
  <c r="N102" i="43" s="1"/>
  <c r="O4" i="59"/>
  <c r="B4" i="59"/>
  <c r="H19" i="43" s="1"/>
  <c r="O3" i="59"/>
  <c r="O2" i="59"/>
  <c r="G13" i="9"/>
  <c r="C13" i="9"/>
  <c r="G11" i="9"/>
  <c r="C11" i="9"/>
  <c r="G10" i="9"/>
  <c r="G9" i="9"/>
  <c r="G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C14" i="68"/>
  <c r="F14" i="68" s="1"/>
  <c r="B14" i="68"/>
  <c r="B1" i="68" s="1"/>
  <c r="B8" i="68"/>
  <c r="B7" i="68"/>
  <c r="B6" i="68"/>
  <c r="B5" i="68"/>
  <c r="B3" i="68"/>
  <c r="G7" i="65"/>
  <c r="F39" i="43" l="1"/>
  <c r="A12" i="43"/>
  <c r="L1" i="60"/>
  <c r="J53" i="63"/>
  <c r="I53" i="63" s="1"/>
  <c r="F46" i="63"/>
  <c r="G46" i="63" s="1"/>
  <c r="J43" i="63"/>
  <c r="I43" i="63" s="1"/>
  <c r="D8" i="63"/>
  <c r="D19" i="63"/>
  <c r="J44" i="63"/>
  <c r="I44" i="63" s="1"/>
  <c r="F45" i="63"/>
  <c r="G45" i="63" s="1"/>
  <c r="U8" i="39"/>
  <c r="H12" i="39"/>
  <c r="U12" i="39" s="1"/>
  <c r="F12" i="39"/>
  <c r="AA12" i="39" s="1"/>
  <c r="C64" i="67"/>
  <c r="O65" i="67"/>
  <c r="H6" i="59"/>
  <c r="H16" i="44"/>
  <c r="E5" i="43"/>
  <c r="N6" i="43"/>
  <c r="E81" i="43"/>
  <c r="B79" i="43" s="1"/>
  <c r="B2" i="68"/>
  <c r="D6" i="68" s="1"/>
  <c r="F18" i="59"/>
  <c r="F9" i="9" s="1"/>
  <c r="N1" i="43"/>
  <c r="M2" i="43"/>
  <c r="M3" i="43"/>
  <c r="N4" i="43"/>
  <c r="M5" i="43"/>
  <c r="N7" i="43"/>
  <c r="C12" i="43"/>
  <c r="A16" i="43"/>
  <c r="I17" i="43"/>
  <c r="N17" i="43"/>
  <c r="J20" i="43"/>
  <c r="F37" i="43"/>
  <c r="E48" i="43"/>
  <c r="B46" i="43" s="1"/>
  <c r="E59" i="43"/>
  <c r="B57" i="43" s="1"/>
  <c r="E70" i="43"/>
  <c r="B68" i="43" s="1"/>
  <c r="F109" i="43"/>
  <c r="G12" i="63"/>
  <c r="H12" i="63" s="1"/>
  <c r="J42" i="63"/>
  <c r="I42" i="63" s="1"/>
  <c r="D19" i="64"/>
  <c r="E20" i="64"/>
  <c r="E17" i="64"/>
  <c r="D28" i="64"/>
  <c r="H9" i="39"/>
  <c r="F9" i="39"/>
  <c r="AA9" i="39" s="1"/>
  <c r="J12" i="39"/>
  <c r="AC12" i="39" s="1"/>
  <c r="AA8" i="39"/>
  <c r="AB36" i="39"/>
  <c r="U38" i="39"/>
  <c r="E20" i="67"/>
  <c r="E19" i="67" s="1"/>
  <c r="E18" i="67" s="1"/>
  <c r="E24" i="67"/>
  <c r="B37" i="67"/>
  <c r="B38" i="67" s="1"/>
  <c r="S38" i="67" s="1"/>
  <c r="B41" i="67"/>
  <c r="B42" i="67" s="1"/>
  <c r="S42" i="67" s="1"/>
  <c r="B45" i="67"/>
  <c r="B46" i="67" s="1"/>
  <c r="S46" i="67" s="1"/>
  <c r="S74" i="67"/>
  <c r="S78" i="67"/>
  <c r="J8" i="66"/>
  <c r="H9" i="66"/>
  <c r="H13" i="66"/>
  <c r="K4" i="66"/>
  <c r="H18" i="66"/>
  <c r="AA36" i="39"/>
  <c r="AA37" i="39"/>
  <c r="F43" i="39"/>
  <c r="AA43" i="39" s="1"/>
  <c r="F45" i="39"/>
  <c r="AA45" i="39" s="1"/>
  <c r="J1" i="65"/>
  <c r="C19" i="67"/>
  <c r="F19" i="67"/>
  <c r="F18" i="67" s="1"/>
  <c r="B29" i="67"/>
  <c r="B30" i="67" s="1"/>
  <c r="S30" i="67" s="1"/>
  <c r="E29" i="67"/>
  <c r="E30" i="67" s="1"/>
  <c r="U30" i="67" s="1"/>
  <c r="B33" i="67"/>
  <c r="B34" i="67" s="1"/>
  <c r="S34" i="67" s="1"/>
  <c r="E33" i="67"/>
  <c r="E34" i="67" s="1"/>
  <c r="U34" i="67" s="1"/>
  <c r="C49" i="67"/>
  <c r="F49" i="67"/>
  <c r="F50" i="67" s="1"/>
  <c r="V50" i="67" s="1"/>
  <c r="D52" i="67"/>
  <c r="C57" i="67"/>
  <c r="F57" i="67"/>
  <c r="F58" i="67" s="1"/>
  <c r="V58" i="67" s="1"/>
  <c r="D60" i="67"/>
  <c r="J5" i="66"/>
  <c r="H7" i="66"/>
  <c r="H8" i="66"/>
  <c r="D9" i="66"/>
  <c r="J11" i="66"/>
  <c r="H12" i="66"/>
  <c r="J15" i="66"/>
  <c r="H16" i="66"/>
  <c r="D17" i="66"/>
  <c r="V65" i="66"/>
  <c r="E65" i="66" s="1"/>
  <c r="O65" i="66" s="1"/>
  <c r="AB65" i="66"/>
  <c r="W64" i="66" s="1"/>
  <c r="F64" i="66" s="1"/>
  <c r="F29" i="59"/>
  <c r="F28" i="59"/>
  <c r="F33" i="59" s="1"/>
  <c r="B17" i="9" s="1"/>
  <c r="C6" i="68"/>
  <c r="E42" i="63"/>
  <c r="B40" i="63" s="1"/>
  <c r="J52" i="63"/>
  <c r="I52" i="63" s="1"/>
  <c r="F55" i="63"/>
  <c r="G55" i="63" s="1"/>
  <c r="F65" i="63"/>
  <c r="G65" i="63" s="1"/>
  <c r="J48" i="63"/>
  <c r="I48" i="63" s="1"/>
  <c r="E14" i="64"/>
  <c r="D17" i="43"/>
  <c r="M17" i="43"/>
  <c r="F33" i="43"/>
  <c r="H114" i="43"/>
  <c r="J51" i="63"/>
  <c r="I51" i="63" s="1"/>
  <c r="F54" i="63"/>
  <c r="G54" i="63" s="1"/>
  <c r="E51" i="63"/>
  <c r="B49" i="63" s="1"/>
  <c r="J63" i="63"/>
  <c r="I63" i="63" s="1"/>
  <c r="D63" i="63" s="1"/>
  <c r="J57" i="63"/>
  <c r="I57" i="63" s="1"/>
  <c r="J61" i="63"/>
  <c r="I61" i="63" s="1"/>
  <c r="D16" i="64"/>
  <c r="E19" i="64"/>
  <c r="F64" i="63"/>
  <c r="G64" i="63" s="1"/>
  <c r="D64" i="63" s="1"/>
  <c r="E70" i="63"/>
  <c r="B68" i="63" s="1"/>
  <c r="D17" i="64"/>
  <c r="D20" i="64"/>
  <c r="C5" i="68"/>
  <c r="C8" i="68"/>
  <c r="F17" i="59"/>
  <c r="N107" i="43"/>
  <c r="N108" i="43"/>
  <c r="N106" i="43"/>
  <c r="N105" i="43"/>
  <c r="N104" i="43"/>
  <c r="N103" i="43"/>
  <c r="N110" i="43"/>
  <c r="F5" i="9"/>
  <c r="C19" i="43"/>
  <c r="M18" i="43"/>
  <c r="H1" i="66" s="1"/>
  <c r="E11" i="43"/>
  <c r="E10" i="43"/>
  <c r="E9" i="43"/>
  <c r="E8" i="43"/>
  <c r="F12" i="59"/>
  <c r="N2" i="43"/>
  <c r="N3" i="43"/>
  <c r="N5" i="43"/>
  <c r="A7" i="43"/>
  <c r="K17" i="43"/>
  <c r="O17" i="43"/>
  <c r="F19" i="43"/>
  <c r="E22" i="43"/>
  <c r="J22" i="43"/>
  <c r="C24" i="43"/>
  <c r="F34" i="43"/>
  <c r="F36" i="43"/>
  <c r="F38" i="43"/>
  <c r="F48" i="43"/>
  <c r="F59" i="43"/>
  <c r="F70" i="43"/>
  <c r="F81" i="43"/>
  <c r="E101" i="43"/>
  <c r="I101" i="43"/>
  <c r="M101" i="43"/>
  <c r="E102" i="43"/>
  <c r="E110" i="43" s="1"/>
  <c r="I102" i="43"/>
  <c r="M102" i="43"/>
  <c r="M110" i="43" s="1"/>
  <c r="H109" i="43"/>
  <c r="H6" i="44"/>
  <c r="H14" i="44"/>
  <c r="H10" i="63"/>
  <c r="C10" i="63" s="1"/>
  <c r="K1" i="60"/>
  <c r="H16" i="63"/>
  <c r="I3" i="63"/>
  <c r="J56" i="63"/>
  <c r="I56" i="63" s="1"/>
  <c r="J60" i="63"/>
  <c r="I60" i="63" s="1"/>
  <c r="H102" i="43"/>
  <c r="C7" i="68"/>
  <c r="E14" i="68"/>
  <c r="B11" i="64"/>
  <c r="C21" i="64" s="1"/>
  <c r="C11" i="39"/>
  <c r="M1" i="43"/>
  <c r="C6" i="43"/>
  <c r="M8" i="43"/>
  <c r="M9" i="43"/>
  <c r="M10" i="43"/>
  <c r="M11" i="43"/>
  <c r="M12" i="43"/>
  <c r="C17" i="43"/>
  <c r="H17" i="43"/>
  <c r="C21" i="43"/>
  <c r="F22" i="43"/>
  <c r="J101" i="43"/>
  <c r="F102" i="43"/>
  <c r="J102" i="43"/>
  <c r="H8" i="44"/>
  <c r="M1" i="60"/>
  <c r="J47" i="63"/>
  <c r="I47" i="63" s="1"/>
  <c r="J62" i="63"/>
  <c r="I62" i="63" s="1"/>
  <c r="J71" i="63"/>
  <c r="I71" i="63" s="1"/>
  <c r="C2" i="65"/>
  <c r="H9" i="63"/>
  <c r="C7" i="39"/>
  <c r="B15" i="59"/>
  <c r="H15" i="44"/>
  <c r="H11" i="44"/>
  <c r="H7" i="44"/>
  <c r="H13" i="44"/>
  <c r="H9" i="44"/>
  <c r="H5" i="44"/>
  <c r="N104" i="46"/>
  <c r="B114" i="43"/>
  <c r="M4" i="43"/>
  <c r="M6" i="43"/>
  <c r="M7" i="43"/>
  <c r="N8" i="43"/>
  <c r="N9" i="43"/>
  <c r="N10" i="43"/>
  <c r="N11" i="43"/>
  <c r="N12" i="43"/>
  <c r="G22" i="43"/>
  <c r="C23" i="43"/>
  <c r="C101" i="43"/>
  <c r="G101" i="43"/>
  <c r="K101" i="43"/>
  <c r="C102" i="43"/>
  <c r="C110" i="43" s="1"/>
  <c r="G102" i="43"/>
  <c r="G110" i="43" s="1"/>
  <c r="K102" i="43"/>
  <c r="D109" i="43"/>
  <c r="H10" i="44"/>
  <c r="D18" i="63"/>
  <c r="D20" i="63"/>
  <c r="AB9" i="39"/>
  <c r="U9" i="39"/>
  <c r="AB12" i="39"/>
  <c r="H22" i="43"/>
  <c r="D102" i="43"/>
  <c r="L102" i="43"/>
  <c r="L110" i="43" s="1"/>
  <c r="H12" i="44"/>
  <c r="F66" i="63"/>
  <c r="G66" i="63" s="1"/>
  <c r="J67" i="63"/>
  <c r="I67" i="63" s="1"/>
  <c r="J70" i="63"/>
  <c r="I70" i="63" s="1"/>
  <c r="J72" i="63"/>
  <c r="I72" i="63" s="1"/>
  <c r="F74" i="63"/>
  <c r="G74" i="63" s="1"/>
  <c r="F76" i="63"/>
  <c r="G76" i="63" s="1"/>
  <c r="B80" i="63"/>
  <c r="AC8" i="39"/>
  <c r="W9" i="39"/>
  <c r="W12" i="39"/>
  <c r="S14" i="39"/>
  <c r="S15" i="39"/>
  <c r="S17" i="39"/>
  <c r="S19" i="39"/>
  <c r="S21" i="39"/>
  <c r="S23" i="39"/>
  <c r="S25" i="39"/>
  <c r="S27" i="39"/>
  <c r="S29" i="39"/>
  <c r="U31" i="39"/>
  <c r="W32" i="39"/>
  <c r="S35" i="39"/>
  <c r="AB37" i="39"/>
  <c r="D28" i="67"/>
  <c r="C29" i="67"/>
  <c r="D53" i="67"/>
  <c r="C54" i="67"/>
  <c r="G13" i="63"/>
  <c r="H13" i="63" s="1"/>
  <c r="F42" i="63"/>
  <c r="G42" i="63" s="1"/>
  <c r="F44" i="63"/>
  <c r="G44" i="63" s="1"/>
  <c r="J45" i="63"/>
  <c r="I45" i="63" s="1"/>
  <c r="F47" i="63"/>
  <c r="G47" i="63" s="1"/>
  <c r="F52" i="63"/>
  <c r="G52" i="63" s="1"/>
  <c r="J55" i="63"/>
  <c r="I55" i="63" s="1"/>
  <c r="F57" i="63"/>
  <c r="G57" i="63" s="1"/>
  <c r="F60" i="63"/>
  <c r="G60" i="63" s="1"/>
  <c r="D60" i="63" s="1"/>
  <c r="F62" i="63"/>
  <c r="G62" i="63" s="1"/>
  <c r="D62" i="63" s="1"/>
  <c r="J65" i="63"/>
  <c r="I65" i="63" s="1"/>
  <c r="F67" i="63"/>
  <c r="G67" i="63" s="1"/>
  <c r="D67" i="63" s="1"/>
  <c r="F70" i="63"/>
  <c r="G70" i="63" s="1"/>
  <c r="F72" i="63"/>
  <c r="G72" i="63" s="1"/>
  <c r="J75" i="63"/>
  <c r="I75" i="63" s="1"/>
  <c r="C15" i="64"/>
  <c r="D27" i="64"/>
  <c r="S13" i="39"/>
  <c r="U14" i="39"/>
  <c r="U15" i="39"/>
  <c r="U17" i="39"/>
  <c r="U19" i="39"/>
  <c r="U21" i="39"/>
  <c r="U23" i="39"/>
  <c r="U25" i="39"/>
  <c r="U27" i="39"/>
  <c r="U29" i="39"/>
  <c r="W31" i="39"/>
  <c r="S34" i="39"/>
  <c r="U35" i="39"/>
  <c r="AC36" i="39"/>
  <c r="W36" i="39"/>
  <c r="AC37" i="39"/>
  <c r="V18" i="67"/>
  <c r="F17" i="67"/>
  <c r="F16" i="67" s="1"/>
  <c r="F15" i="67" s="1"/>
  <c r="F14" i="67" s="1"/>
  <c r="C50" i="67"/>
  <c r="D49" i="67"/>
  <c r="J73" i="63"/>
  <c r="I73" i="63" s="1"/>
  <c r="F75" i="63"/>
  <c r="G75" i="63" s="1"/>
  <c r="S9" i="39"/>
  <c r="S12" i="39"/>
  <c r="U13" i="39"/>
  <c r="W14" i="39"/>
  <c r="W15" i="39"/>
  <c r="W17" i="39"/>
  <c r="W19" i="39"/>
  <c r="W21" i="39"/>
  <c r="W23" i="39"/>
  <c r="W25" i="39"/>
  <c r="W27" i="39"/>
  <c r="W29" i="39"/>
  <c r="S32" i="39"/>
  <c r="U34" i="39"/>
  <c r="W35" i="39"/>
  <c r="E17" i="67"/>
  <c r="E16" i="67" s="1"/>
  <c r="E15" i="67" s="1"/>
  <c r="E14" i="67" s="1"/>
  <c r="U18" i="67"/>
  <c r="D32" i="67"/>
  <c r="C33" i="67"/>
  <c r="D61" i="67"/>
  <c r="C62" i="67"/>
  <c r="F12" i="63"/>
  <c r="D12" i="63" s="1"/>
  <c r="C11" i="63" s="1"/>
  <c r="E13" i="63"/>
  <c r="F13" i="63" s="1"/>
  <c r="D14" i="63"/>
  <c r="F43" i="63"/>
  <c r="G43" i="63" s="1"/>
  <c r="J46" i="63"/>
  <c r="I46" i="63" s="1"/>
  <c r="F48" i="63"/>
  <c r="G48" i="63" s="1"/>
  <c r="F51" i="63"/>
  <c r="G51" i="63" s="1"/>
  <c r="F53" i="63"/>
  <c r="G53" i="63" s="1"/>
  <c r="J54" i="63"/>
  <c r="I54" i="63" s="1"/>
  <c r="F56" i="63"/>
  <c r="G56" i="63" s="1"/>
  <c r="F61" i="63"/>
  <c r="G61" i="63" s="1"/>
  <c r="F63" i="63"/>
  <c r="G63" i="63" s="1"/>
  <c r="J64" i="63"/>
  <c r="I64" i="63" s="1"/>
  <c r="J66" i="63"/>
  <c r="I66" i="63" s="1"/>
  <c r="F71" i="63"/>
  <c r="G71" i="63" s="1"/>
  <c r="F73" i="63"/>
  <c r="G73" i="63" s="1"/>
  <c r="J74" i="63"/>
  <c r="I74" i="63" s="1"/>
  <c r="J76" i="63"/>
  <c r="I76" i="63" s="1"/>
  <c r="D14" i="64"/>
  <c r="E16" i="64"/>
  <c r="W13" i="39"/>
  <c r="S31" i="39"/>
  <c r="U32" i="39"/>
  <c r="W34" i="39"/>
  <c r="C58" i="67"/>
  <c r="D57" i="67"/>
  <c r="W39" i="39"/>
  <c r="S41" i="39"/>
  <c r="U42" i="39"/>
  <c r="W43" i="39"/>
  <c r="S45" i="39"/>
  <c r="C18" i="67"/>
  <c r="C37" i="67"/>
  <c r="C41" i="67"/>
  <c r="C45" i="67"/>
  <c r="D45" i="67" s="1"/>
  <c r="E53" i="67"/>
  <c r="E54" i="67" s="1"/>
  <c r="U54" i="67" s="1"/>
  <c r="E61" i="67"/>
  <c r="E62" i="67" s="1"/>
  <c r="U62" i="67" s="1"/>
  <c r="D65" i="67"/>
  <c r="T66" i="67"/>
  <c r="O66" i="67"/>
  <c r="D66" i="67"/>
  <c r="Q66" i="67"/>
  <c r="S70" i="67"/>
  <c r="T74" i="67"/>
  <c r="D74" i="67"/>
  <c r="C77" i="67"/>
  <c r="T78" i="67"/>
  <c r="D78" i="67"/>
  <c r="C81" i="67"/>
  <c r="D82" i="67"/>
  <c r="S40" i="39"/>
  <c r="U41" i="39"/>
  <c r="W42" i="39"/>
  <c r="S44" i="39"/>
  <c r="U45" i="39"/>
  <c r="D19" i="67"/>
  <c r="D48" i="67"/>
  <c r="D56" i="67"/>
  <c r="O64" i="67"/>
  <c r="N65" i="67"/>
  <c r="S66" i="67"/>
  <c r="T70" i="67"/>
  <c r="D70" i="67"/>
  <c r="V70" i="67"/>
  <c r="C73" i="67"/>
  <c r="S39" i="39"/>
  <c r="U40" i="39"/>
  <c r="W41" i="39"/>
  <c r="S43" i="39"/>
  <c r="U44" i="39"/>
  <c r="W45" i="39"/>
  <c r="Q65" i="67"/>
  <c r="F64" i="67"/>
  <c r="V66" i="67"/>
  <c r="S38" i="39"/>
  <c r="U39" i="39"/>
  <c r="W40" i="39"/>
  <c r="S42" i="39"/>
  <c r="U43" i="39"/>
  <c r="W44" i="39"/>
  <c r="B19" i="67"/>
  <c r="B18" i="67" s="1"/>
  <c r="N64" i="67"/>
  <c r="N63" i="67"/>
  <c r="N66" i="67"/>
  <c r="D69" i="67"/>
  <c r="K11" i="66"/>
  <c r="K12" i="66"/>
  <c r="G13" i="66"/>
  <c r="G14" i="66"/>
  <c r="V60" i="66"/>
  <c r="E60" i="66" s="1"/>
  <c r="O17" i="66" s="1"/>
  <c r="O2" i="66" s="1"/>
  <c r="V61" i="66"/>
  <c r="E61" i="66" s="1"/>
  <c r="O61" i="66" s="1"/>
  <c r="Y61" i="66"/>
  <c r="T62" i="66"/>
  <c r="B62" i="66" s="1"/>
  <c r="P63" i="66"/>
  <c r="E65" i="67"/>
  <c r="E69" i="67"/>
  <c r="E68" i="67" s="1"/>
  <c r="E73" i="67"/>
  <c r="E72" i="67" s="1"/>
  <c r="E77" i="67"/>
  <c r="E76" i="67" s="1"/>
  <c r="K2" i="66"/>
  <c r="N24" i="43" s="1"/>
  <c r="G2" i="66"/>
  <c r="N20" i="43" s="1"/>
  <c r="J2" i="66"/>
  <c r="N23" i="43" s="1"/>
  <c r="I2" i="66"/>
  <c r="N22" i="43" s="1"/>
  <c r="K9" i="66"/>
  <c r="K10" i="66"/>
  <c r="G11" i="66"/>
  <c r="G12" i="66"/>
  <c r="J4" i="66"/>
  <c r="J18" i="66"/>
  <c r="O27" i="66"/>
  <c r="D29" i="66"/>
  <c r="T66" i="66"/>
  <c r="B66" i="66" s="1"/>
  <c r="L66" i="66" s="1"/>
  <c r="P66" i="67"/>
  <c r="F73" i="67"/>
  <c r="F72" i="67" s="1"/>
  <c r="F77" i="67"/>
  <c r="F76" i="67" s="1"/>
  <c r="K7" i="66"/>
  <c r="K6" i="66"/>
  <c r="K8" i="66"/>
  <c r="K5" i="66"/>
  <c r="G9" i="66"/>
  <c r="G10" i="66"/>
  <c r="K15" i="66"/>
  <c r="K16" i="66"/>
  <c r="I17" i="66"/>
  <c r="D30" i="66"/>
  <c r="T64" i="66"/>
  <c r="B64" i="66" s="1"/>
  <c r="L64" i="66" s="1"/>
  <c r="O64" i="66"/>
  <c r="O63" i="66"/>
  <c r="G7" i="66"/>
  <c r="G6" i="66"/>
  <c r="G8" i="66"/>
  <c r="G5" i="66"/>
  <c r="K13" i="66"/>
  <c r="K14" i="66"/>
  <c r="G15" i="66"/>
  <c r="G16" i="66"/>
  <c r="D31" i="66"/>
  <c r="D35" i="66"/>
  <c r="D39" i="66"/>
  <c r="D43" i="66"/>
  <c r="D47" i="66"/>
  <c r="D51" i="66"/>
  <c r="D55" i="66"/>
  <c r="D59" i="66"/>
  <c r="L65" i="66"/>
  <c r="H4" i="66"/>
  <c r="J6" i="66"/>
  <c r="D23" i="66"/>
  <c r="O32" i="66"/>
  <c r="D61" i="66"/>
  <c r="AB61" i="66"/>
  <c r="U64" i="66"/>
  <c r="C64" i="66" s="1"/>
  <c r="M49" i="66" s="1"/>
  <c r="W65" i="66"/>
  <c r="F65" i="66" s="1"/>
  <c r="P65" i="66" s="1"/>
  <c r="U66" i="66"/>
  <c r="C66" i="66" s="1"/>
  <c r="M65" i="66" s="1"/>
  <c r="D8" i="66"/>
  <c r="D10" i="66"/>
  <c r="D12" i="66"/>
  <c r="D14" i="66"/>
  <c r="I13" i="66" s="1"/>
  <c r="D16" i="66"/>
  <c r="I16" i="66" s="1"/>
  <c r="D19" i="66"/>
  <c r="D21" i="66"/>
  <c r="D24" i="66"/>
  <c r="D25" i="66"/>
  <c r="M33" i="66"/>
  <c r="D33" i="66"/>
  <c r="D37" i="66"/>
  <c r="D41" i="66"/>
  <c r="D45" i="66"/>
  <c r="D49" i="66"/>
  <c r="D53" i="66"/>
  <c r="D57" i="66"/>
  <c r="D27" i="66"/>
  <c r="O34" i="66"/>
  <c r="O62" i="66"/>
  <c r="D63" i="66"/>
  <c r="P62" i="66"/>
  <c r="D65" i="66"/>
  <c r="D4" i="65"/>
  <c r="G6" i="65"/>
  <c r="G8" i="65"/>
  <c r="D7" i="65"/>
  <c r="G5" i="65"/>
  <c r="D8" i="65"/>
  <c r="D6" i="65"/>
  <c r="D5" i="65"/>
  <c r="G4" i="65"/>
  <c r="D110" i="43" l="1"/>
  <c r="K2" i="65"/>
  <c r="O50" i="66"/>
  <c r="I12" i="66"/>
  <c r="O48" i="66"/>
  <c r="I15" i="66"/>
  <c r="L63" i="66"/>
  <c r="O26" i="66"/>
  <c r="L62" i="66"/>
  <c r="D5" i="68"/>
  <c r="D65" i="63"/>
  <c r="D7" i="68"/>
  <c r="I10" i="66"/>
  <c r="M20" i="66"/>
  <c r="D8" i="68"/>
  <c r="O63" i="67"/>
  <c r="D64" i="67"/>
  <c r="K1" i="65"/>
  <c r="C7" i="63"/>
  <c r="K3" i="65"/>
  <c r="I1" i="65"/>
  <c r="K4" i="65"/>
  <c r="C29" i="63"/>
  <c r="O60" i="66"/>
  <c r="O59" i="66"/>
  <c r="O55" i="66"/>
  <c r="O51" i="66"/>
  <c r="O47" i="66"/>
  <c r="O43" i="66"/>
  <c r="O39" i="66"/>
  <c r="O35" i="66"/>
  <c r="O31" i="66"/>
  <c r="O19" i="66"/>
  <c r="T54" i="67"/>
  <c r="D54" i="67"/>
  <c r="B83" i="63"/>
  <c r="B82" i="63"/>
  <c r="B85" i="63"/>
  <c r="B84" i="63"/>
  <c r="B81" i="63" s="1"/>
  <c r="D119" i="43"/>
  <c r="E119" i="43" s="1"/>
  <c r="F119" i="43" s="1"/>
  <c r="D118" i="43"/>
  <c r="E118" i="43" s="1"/>
  <c r="F118" i="43" s="1"/>
  <c r="G118" i="43" s="1"/>
  <c r="H118" i="43" s="1"/>
  <c r="D117" i="43"/>
  <c r="E117" i="43" s="1"/>
  <c r="F117" i="43" s="1"/>
  <c r="G117" i="43" s="1"/>
  <c r="H117" i="43" s="1"/>
  <c r="D116" i="43"/>
  <c r="E116" i="43" s="1"/>
  <c r="F116" i="43" s="1"/>
  <c r="G116" i="43" s="1"/>
  <c r="H116" i="43" s="1"/>
  <c r="B119" i="43"/>
  <c r="C119" i="43" s="1"/>
  <c r="B118" i="43"/>
  <c r="C118" i="43" s="1"/>
  <c r="B117" i="43"/>
  <c r="C117" i="43" s="1"/>
  <c r="B116" i="43"/>
  <c r="I118" i="43"/>
  <c r="J118" i="43" s="1"/>
  <c r="K118" i="43" s="1"/>
  <c r="L118" i="43" s="1"/>
  <c r="M118" i="43" s="1"/>
  <c r="I116" i="43"/>
  <c r="J116" i="43" s="1"/>
  <c r="K116" i="43" s="1"/>
  <c r="L116" i="43" s="1"/>
  <c r="M116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G119" i="43"/>
  <c r="H119" i="43" s="1"/>
  <c r="C24" i="64"/>
  <c r="I20" i="43"/>
  <c r="B24" i="63"/>
  <c r="M1" i="66" s="1"/>
  <c r="J108" i="43"/>
  <c r="J106" i="43"/>
  <c r="J107" i="43"/>
  <c r="J105" i="43"/>
  <c r="J104" i="43"/>
  <c r="J103" i="43"/>
  <c r="I108" i="43"/>
  <c r="I107" i="43"/>
  <c r="I106" i="43"/>
  <c r="I105" i="43"/>
  <c r="I104" i="43"/>
  <c r="I103" i="43"/>
  <c r="H83" i="43"/>
  <c r="H87" i="43"/>
  <c r="H84" i="43"/>
  <c r="H88" i="43"/>
  <c r="H85" i="43"/>
  <c r="H81" i="43"/>
  <c r="H86" i="43"/>
  <c r="H82" i="43"/>
  <c r="M64" i="66"/>
  <c r="M60" i="66"/>
  <c r="M28" i="66"/>
  <c r="M22" i="66"/>
  <c r="M62" i="66"/>
  <c r="D64" i="66"/>
  <c r="N34" i="66" s="1"/>
  <c r="M23" i="66"/>
  <c r="M50" i="66"/>
  <c r="M34" i="66"/>
  <c r="O54" i="66"/>
  <c r="I8" i="66"/>
  <c r="I5" i="66"/>
  <c r="I4" i="66"/>
  <c r="I7" i="66"/>
  <c r="I6" i="66"/>
  <c r="O36" i="66"/>
  <c r="M59" i="66"/>
  <c r="M48" i="66"/>
  <c r="M43" i="66"/>
  <c r="M19" i="66"/>
  <c r="O53" i="66"/>
  <c r="O49" i="66"/>
  <c r="O45" i="66"/>
  <c r="O41" i="66"/>
  <c r="O37" i="66"/>
  <c r="O33" i="66"/>
  <c r="O21" i="66"/>
  <c r="Q64" i="67"/>
  <c r="Q63" i="67"/>
  <c r="C76" i="67"/>
  <c r="D76" i="67" s="1"/>
  <c r="D77" i="67"/>
  <c r="C42" i="67"/>
  <c r="D41" i="67"/>
  <c r="T62" i="67"/>
  <c r="D62" i="67"/>
  <c r="K108" i="43"/>
  <c r="K107" i="43"/>
  <c r="K106" i="43"/>
  <c r="K105" i="43"/>
  <c r="K104" i="43"/>
  <c r="K103" i="43"/>
  <c r="F107" i="43"/>
  <c r="F108" i="43"/>
  <c r="F106" i="43"/>
  <c r="F105" i="43"/>
  <c r="F104" i="43"/>
  <c r="F103" i="43"/>
  <c r="G17" i="43"/>
  <c r="C16" i="43" s="1"/>
  <c r="C5" i="43" s="1"/>
  <c r="E108" i="43"/>
  <c r="E107" i="43"/>
  <c r="E106" i="43"/>
  <c r="E105" i="43"/>
  <c r="E104" i="43"/>
  <c r="E103" i="43"/>
  <c r="H72" i="43"/>
  <c r="H76" i="43"/>
  <c r="H73" i="43"/>
  <c r="H77" i="43"/>
  <c r="H74" i="43"/>
  <c r="H70" i="43"/>
  <c r="H75" i="43"/>
  <c r="H71" i="43"/>
  <c r="H78" i="43"/>
  <c r="D22" i="43"/>
  <c r="M52" i="66"/>
  <c r="M47" i="66"/>
  <c r="M36" i="66"/>
  <c r="M21" i="66"/>
  <c r="P64" i="66"/>
  <c r="O38" i="66"/>
  <c r="M53" i="66"/>
  <c r="M37" i="66"/>
  <c r="M25" i="66"/>
  <c r="W60" i="66"/>
  <c r="F60" i="66" s="1"/>
  <c r="W61" i="66"/>
  <c r="F61" i="66" s="1"/>
  <c r="P61" i="66" s="1"/>
  <c r="O52" i="66"/>
  <c r="O28" i="66"/>
  <c r="M46" i="66"/>
  <c r="M32" i="66"/>
  <c r="O20" i="66"/>
  <c r="M26" i="66"/>
  <c r="I11" i="66"/>
  <c r="M63" i="66"/>
  <c r="O58" i="66"/>
  <c r="O42" i="66"/>
  <c r="M27" i="66"/>
  <c r="M57" i="66"/>
  <c r="M41" i="66"/>
  <c r="O30" i="66"/>
  <c r="I14" i="66"/>
  <c r="M66" i="66"/>
  <c r="D66" i="66"/>
  <c r="N66" i="66" s="1"/>
  <c r="O56" i="66"/>
  <c r="O40" i="66"/>
  <c r="M58" i="66"/>
  <c r="M55" i="66"/>
  <c r="M44" i="66"/>
  <c r="M42" i="66"/>
  <c r="N42" i="66"/>
  <c r="M39" i="66"/>
  <c r="N35" i="66"/>
  <c r="M31" i="66"/>
  <c r="M30" i="66"/>
  <c r="M24" i="66"/>
  <c r="I9" i="66"/>
  <c r="O18" i="66"/>
  <c r="M17" i="66"/>
  <c r="M2" i="66" s="1"/>
  <c r="T61" i="66"/>
  <c r="B61" i="66" s="1"/>
  <c r="L61" i="66" s="1"/>
  <c r="T60" i="66"/>
  <c r="B60" i="66" s="1"/>
  <c r="O57" i="66"/>
  <c r="O25" i="66"/>
  <c r="S18" i="67"/>
  <c r="B17" i="67"/>
  <c r="B16" i="67" s="1"/>
  <c r="B15" i="67" s="1"/>
  <c r="B14" i="67" s="1"/>
  <c r="C72" i="67"/>
  <c r="D72" i="67" s="1"/>
  <c r="D73" i="67"/>
  <c r="C80" i="67"/>
  <c r="D80" i="67" s="1"/>
  <c r="D81" i="67"/>
  <c r="C38" i="67"/>
  <c r="D37" i="67"/>
  <c r="E13" i="67"/>
  <c r="E12" i="67" s="1"/>
  <c r="E11" i="67" s="1"/>
  <c r="E10" i="67" s="1"/>
  <c r="U14" i="67"/>
  <c r="T50" i="67"/>
  <c r="D50" i="67"/>
  <c r="E60" i="63"/>
  <c r="B58" i="63" s="1"/>
  <c r="C15" i="63" s="1"/>
  <c r="C30" i="67"/>
  <c r="D29" i="67"/>
  <c r="L105" i="43"/>
  <c r="L104" i="43"/>
  <c r="L107" i="43"/>
  <c r="L103" i="43"/>
  <c r="L108" i="43"/>
  <c r="L106" i="43"/>
  <c r="G108" i="43"/>
  <c r="G107" i="43"/>
  <c r="G106" i="43"/>
  <c r="G105" i="43"/>
  <c r="G104" i="43"/>
  <c r="G103" i="43"/>
  <c r="J2" i="65"/>
  <c r="L2" i="65"/>
  <c r="H11" i="39"/>
  <c r="F11" i="39"/>
  <c r="J11" i="39"/>
  <c r="H110" i="43"/>
  <c r="I110" i="43"/>
  <c r="H67" i="43"/>
  <c r="H64" i="43"/>
  <c r="H65" i="43"/>
  <c r="H62" i="43"/>
  <c r="H59" i="43"/>
  <c r="H61" i="43"/>
  <c r="H66" i="43"/>
  <c r="H63" i="43"/>
  <c r="H60" i="43"/>
  <c r="J110" i="43"/>
  <c r="D13" i="63"/>
  <c r="O46" i="66"/>
  <c r="O24" i="66"/>
  <c r="N49" i="66"/>
  <c r="M45" i="66"/>
  <c r="N33" i="66"/>
  <c r="N21" i="66"/>
  <c r="M61" i="66"/>
  <c r="O44" i="66"/>
  <c r="M56" i="66"/>
  <c r="M54" i="66"/>
  <c r="N54" i="66"/>
  <c r="M51" i="66"/>
  <c r="N47" i="66"/>
  <c r="M40" i="66"/>
  <c r="M38" i="66"/>
  <c r="M35" i="66"/>
  <c r="O29" i="66"/>
  <c r="O23" i="66"/>
  <c r="M29" i="66"/>
  <c r="O22" i="66"/>
  <c r="P65" i="67"/>
  <c r="E64" i="67"/>
  <c r="M18" i="66"/>
  <c r="N56" i="66"/>
  <c r="D18" i="67"/>
  <c r="C17" i="67"/>
  <c r="T18" i="67"/>
  <c r="T58" i="67"/>
  <c r="D58" i="67"/>
  <c r="C34" i="67"/>
  <c r="D33" i="67"/>
  <c r="F13" i="67"/>
  <c r="F12" i="67" s="1"/>
  <c r="F11" i="67" s="1"/>
  <c r="F10" i="67" s="1"/>
  <c r="V14" i="67"/>
  <c r="D106" i="43"/>
  <c r="D105" i="43"/>
  <c r="D104" i="43"/>
  <c r="D103" i="43"/>
  <c r="D107" i="43"/>
  <c r="D108" i="43"/>
  <c r="C108" i="43"/>
  <c r="C107" i="43"/>
  <c r="C106" i="43"/>
  <c r="C105" i="43"/>
  <c r="C104" i="43"/>
  <c r="C103" i="43"/>
  <c r="K110" i="43"/>
  <c r="C56" i="39"/>
  <c r="F7" i="39"/>
  <c r="J7" i="39"/>
  <c r="H7" i="39"/>
  <c r="H104" i="43"/>
  <c r="H103" i="43"/>
  <c r="H108" i="43"/>
  <c r="H106" i="43"/>
  <c r="H105" i="43"/>
  <c r="H107" i="43"/>
  <c r="M108" i="43"/>
  <c r="M107" i="43"/>
  <c r="M106" i="43"/>
  <c r="M105" i="43"/>
  <c r="M104" i="43"/>
  <c r="M103" i="43"/>
  <c r="H56" i="43"/>
  <c r="H53" i="43"/>
  <c r="H54" i="43"/>
  <c r="H51" i="43"/>
  <c r="H48" i="43"/>
  <c r="H50" i="43"/>
  <c r="H55" i="43"/>
  <c r="H52" i="43"/>
  <c r="H49" i="43"/>
  <c r="F22" i="59"/>
  <c r="F13" i="9" s="1"/>
  <c r="F20" i="59"/>
  <c r="F11" i="9" s="1"/>
  <c r="C7" i="43"/>
  <c r="F110" i="43"/>
  <c r="G2" i="65"/>
  <c r="G1" i="65"/>
  <c r="G9" i="59" l="1"/>
  <c r="C12" i="9" s="1"/>
  <c r="N17" i="66"/>
  <c r="N2" i="66" s="1"/>
  <c r="N27" i="66"/>
  <c r="N50" i="66"/>
  <c r="N25" i="66"/>
  <c r="N30" i="66"/>
  <c r="N57" i="66"/>
  <c r="N59" i="66"/>
  <c r="N18" i="66"/>
  <c r="N38" i="66"/>
  <c r="N23" i="66"/>
  <c r="N32" i="66"/>
  <c r="N52" i="66"/>
  <c r="N51" i="66"/>
  <c r="N44" i="66"/>
  <c r="N65" i="66"/>
  <c r="N39" i="66"/>
  <c r="N62" i="66"/>
  <c r="N26" i="66"/>
  <c r="N36" i="66"/>
  <c r="N41" i="66"/>
  <c r="G21" i="59"/>
  <c r="G12" i="9" s="1"/>
  <c r="C27" i="63"/>
  <c r="P60" i="66"/>
  <c r="P25" i="66"/>
  <c r="P24" i="66"/>
  <c r="P20" i="66"/>
  <c r="P31" i="66"/>
  <c r="P37" i="66"/>
  <c r="P41" i="66"/>
  <c r="P45" i="66"/>
  <c r="P49" i="66"/>
  <c r="P53" i="66"/>
  <c r="P57" i="66"/>
  <c r="P19" i="66"/>
  <c r="P59" i="66"/>
  <c r="P29" i="66"/>
  <c r="P38" i="66"/>
  <c r="P54" i="66"/>
  <c r="P21" i="66"/>
  <c r="P32" i="66"/>
  <c r="P26" i="66"/>
  <c r="P35" i="66"/>
  <c r="P39" i="66"/>
  <c r="P43" i="66"/>
  <c r="P47" i="66"/>
  <c r="P51" i="66"/>
  <c r="P22" i="66"/>
  <c r="P34" i="66"/>
  <c r="P50" i="66"/>
  <c r="P17" i="66"/>
  <c r="P2" i="66" s="1"/>
  <c r="P48" i="66"/>
  <c r="P18" i="66"/>
  <c r="P55" i="66"/>
  <c r="P23" i="66"/>
  <c r="P42" i="66"/>
  <c r="P27" i="66"/>
  <c r="P33" i="66"/>
  <c r="P30" i="66"/>
  <c r="P46" i="66"/>
  <c r="P58" i="66"/>
  <c r="P28" i="66"/>
  <c r="P36" i="66"/>
  <c r="P40" i="66"/>
  <c r="P44" i="66"/>
  <c r="P52" i="66"/>
  <c r="P56" i="66"/>
  <c r="C58" i="39"/>
  <c r="D56" i="39"/>
  <c r="V10" i="67"/>
  <c r="F9" i="67"/>
  <c r="F8" i="67" s="1"/>
  <c r="F7" i="67" s="1"/>
  <c r="F6" i="67" s="1"/>
  <c r="V6" i="67" s="1"/>
  <c r="AB11" i="39"/>
  <c r="U11" i="39"/>
  <c r="T30" i="67"/>
  <c r="D30" i="67"/>
  <c r="U7" i="39"/>
  <c r="AB7" i="39"/>
  <c r="T47" i="39" s="1"/>
  <c r="G47" i="39" s="1"/>
  <c r="E9" i="67"/>
  <c r="E8" i="67" s="1"/>
  <c r="E7" i="67" s="1"/>
  <c r="E6" i="67" s="1"/>
  <c r="U6" i="67" s="1"/>
  <c r="U10" i="67"/>
  <c r="S14" i="67"/>
  <c r="B13" i="67"/>
  <c r="B12" i="67" s="1"/>
  <c r="B11" i="67" s="1"/>
  <c r="B10" i="67" s="1"/>
  <c r="L60" i="66"/>
  <c r="L28" i="66"/>
  <c r="L30" i="66"/>
  <c r="L17" i="66"/>
  <c r="L2" i="66" s="1"/>
  <c r="L23" i="66"/>
  <c r="L29" i="66"/>
  <c r="L18" i="66"/>
  <c r="L32" i="66"/>
  <c r="L37" i="66"/>
  <c r="L48" i="66"/>
  <c r="L53" i="66"/>
  <c r="L26" i="66"/>
  <c r="L34" i="66"/>
  <c r="L39" i="66"/>
  <c r="L50" i="66"/>
  <c r="L55" i="66"/>
  <c r="L19" i="66"/>
  <c r="L24" i="66"/>
  <c r="L33" i="66"/>
  <c r="L44" i="66"/>
  <c r="L49" i="66"/>
  <c r="L35" i="66"/>
  <c r="L46" i="66"/>
  <c r="L51" i="66"/>
  <c r="L20" i="66"/>
  <c r="L27" i="66"/>
  <c r="L25" i="66"/>
  <c r="L40" i="66"/>
  <c r="L47" i="66"/>
  <c r="L58" i="66"/>
  <c r="L21" i="66"/>
  <c r="L41" i="66"/>
  <c r="L52" i="66"/>
  <c r="L57" i="66"/>
  <c r="L38" i="66"/>
  <c r="L43" i="66"/>
  <c r="L54" i="66"/>
  <c r="L45" i="66"/>
  <c r="L56" i="66"/>
  <c r="L42" i="66"/>
  <c r="L31" i="66"/>
  <c r="L36" i="66"/>
  <c r="L59" i="66"/>
  <c r="L22" i="66"/>
  <c r="N29" i="66"/>
  <c r="N58" i="66"/>
  <c r="N61" i="66"/>
  <c r="N24" i="66"/>
  <c r="N45" i="66"/>
  <c r="N37" i="66"/>
  <c r="N43" i="66"/>
  <c r="N64" i="66"/>
  <c r="D5" i="43"/>
  <c r="N28" i="66"/>
  <c r="N22" i="66"/>
  <c r="S7" i="39"/>
  <c r="AA7" i="39"/>
  <c r="R47" i="39" s="1"/>
  <c r="AA11" i="39"/>
  <c r="S11" i="39"/>
  <c r="T38" i="67"/>
  <c r="D38" i="67"/>
  <c r="C28" i="63"/>
  <c r="AC7" i="39"/>
  <c r="V47" i="39" s="1"/>
  <c r="I47" i="39" s="1"/>
  <c r="W7" i="39"/>
  <c r="T34" i="67"/>
  <c r="D34" i="67"/>
  <c r="D17" i="67"/>
  <c r="C16" i="67"/>
  <c r="P64" i="67"/>
  <c r="P63" i="67"/>
  <c r="AC11" i="39"/>
  <c r="W11" i="39"/>
  <c r="N31" i="66"/>
  <c r="N55" i="66"/>
  <c r="N19" i="66"/>
  <c r="N53" i="66"/>
  <c r="T42" i="67"/>
  <c r="D42" i="67"/>
  <c r="N60" i="66"/>
  <c r="N40" i="66"/>
  <c r="N63" i="66"/>
  <c r="C116" i="43"/>
  <c r="D114" i="43"/>
  <c r="N48" i="66"/>
  <c r="N46" i="66"/>
  <c r="N20" i="66"/>
  <c r="H5" i="65"/>
  <c r="E7" i="65"/>
  <c r="E4" i="65"/>
  <c r="H7" i="65"/>
  <c r="H6" i="65"/>
  <c r="E6" i="65"/>
  <c r="E5" i="65"/>
  <c r="H8" i="65"/>
  <c r="E8" i="65"/>
  <c r="H4" i="65"/>
  <c r="F21" i="59" l="1"/>
  <c r="F11" i="59" s="1"/>
  <c r="I3" i="65"/>
  <c r="D16" i="67"/>
  <c r="C15" i="67"/>
  <c r="I51" i="39"/>
  <c r="J51" i="39" s="1"/>
  <c r="R48" i="39"/>
  <c r="E47" i="39"/>
  <c r="I52" i="39" s="1"/>
  <c r="J52" i="39" s="1"/>
  <c r="I9" i="63"/>
  <c r="C9" i="63" s="1"/>
  <c r="D58" i="39"/>
  <c r="E56" i="39"/>
  <c r="C30" i="63"/>
  <c r="C26" i="63"/>
  <c r="S10" i="67"/>
  <c r="B9" i="67"/>
  <c r="B8" i="67" s="1"/>
  <c r="B7" i="67" s="1"/>
  <c r="B6" i="67" s="1"/>
  <c r="G52" i="39"/>
  <c r="H52" i="39" s="1"/>
  <c r="G51" i="39"/>
  <c r="H51" i="39" s="1"/>
  <c r="E20" i="43"/>
  <c r="G3" i="65"/>
  <c r="Q20" i="43" l="1"/>
  <c r="P20" i="43"/>
  <c r="S20" i="43"/>
  <c r="R20" i="43"/>
  <c r="G20" i="43" s="1"/>
  <c r="E41" i="43" s="1"/>
  <c r="C41" i="43" s="1"/>
  <c r="C23" i="64"/>
  <c r="F12" i="9"/>
  <c r="F14" i="9" s="1"/>
  <c r="C21" i="63"/>
  <c r="E21" i="63" s="1"/>
  <c r="C19" i="63"/>
  <c r="E19" i="63" s="1"/>
  <c r="C20" i="63"/>
  <c r="C18" i="63"/>
  <c r="C47" i="39"/>
  <c r="C48" i="39"/>
  <c r="B3" i="39" s="1"/>
  <c r="C14" i="67"/>
  <c r="D15" i="67"/>
  <c r="E58" i="39"/>
  <c r="F56" i="39"/>
  <c r="E51" i="39"/>
  <c r="F51" i="39" s="1"/>
  <c r="E52" i="39"/>
  <c r="F52" i="39" s="1"/>
  <c r="S6" i="67"/>
  <c r="C22" i="64" l="1"/>
  <c r="B17" i="59"/>
  <c r="B18" i="59" s="1"/>
  <c r="C20" i="43"/>
  <c r="C29" i="43" s="1"/>
  <c r="F58" i="39"/>
  <c r="G56" i="39"/>
  <c r="B4" i="63"/>
  <c r="C22" i="63"/>
  <c r="B5" i="63" s="1"/>
  <c r="F7" i="59" s="1"/>
  <c r="E20" i="63"/>
  <c r="C38" i="43"/>
  <c r="C39" i="43"/>
  <c r="T14" i="67"/>
  <c r="D14" i="67"/>
  <c r="C13" i="67"/>
  <c r="E18" i="63"/>
  <c r="B3" i="63"/>
  <c r="B3" i="64" l="1"/>
  <c r="F6" i="59" s="1"/>
  <c r="F5" i="59" s="1"/>
  <c r="C30" i="64"/>
  <c r="C28" i="64"/>
  <c r="C35" i="43"/>
  <c r="G35" i="43" s="1"/>
  <c r="I35" i="43" s="1"/>
  <c r="C36" i="43"/>
  <c r="E36" i="43" s="1"/>
  <c r="C33" i="43"/>
  <c r="G33" i="43" s="1"/>
  <c r="I33" i="43" s="1"/>
  <c r="C37" i="43"/>
  <c r="E37" i="43" s="1"/>
  <c r="C34" i="43"/>
  <c r="G34" i="43" s="1"/>
  <c r="I34" i="43" s="1"/>
  <c r="C30" i="43"/>
  <c r="E30" i="43" s="1"/>
  <c r="E29" i="43"/>
  <c r="G39" i="43"/>
  <c r="I39" i="43" s="1"/>
  <c r="E39" i="43"/>
  <c r="D13" i="67"/>
  <c r="C12" i="67"/>
  <c r="E38" i="43"/>
  <c r="G38" i="43"/>
  <c r="I38" i="43" s="1"/>
  <c r="G58" i="39"/>
  <c r="H56" i="39"/>
  <c r="G36" i="43" l="1"/>
  <c r="I36" i="43" s="1"/>
  <c r="F8" i="59"/>
  <c r="B11" i="9" s="1"/>
  <c r="B5" i="9"/>
  <c r="E28" i="64"/>
  <c r="C27" i="64"/>
  <c r="E27" i="64" s="1"/>
  <c r="C29" i="64"/>
  <c r="E29" i="64" s="1"/>
  <c r="E30" i="64"/>
  <c r="E35" i="43"/>
  <c r="E33" i="43"/>
  <c r="E34" i="43"/>
  <c r="G37" i="43"/>
  <c r="I37" i="43" s="1"/>
  <c r="D12" i="67"/>
  <c r="C11" i="67"/>
  <c r="H58" i="39"/>
  <c r="I56" i="39"/>
  <c r="F10" i="59" l="1"/>
  <c r="B13" i="9" s="1"/>
  <c r="C27" i="43"/>
  <c r="F9" i="59"/>
  <c r="B12" i="9" s="1"/>
  <c r="C26" i="43"/>
  <c r="B2" i="43" s="1"/>
  <c r="I58" i="39"/>
  <c r="J56" i="39"/>
  <c r="C10" i="67"/>
  <c r="D11" i="67"/>
  <c r="B14" i="9" l="1"/>
  <c r="F4" i="59"/>
  <c r="F24" i="59" s="1"/>
  <c r="F35" i="59" s="1"/>
  <c r="B18" i="9" s="1"/>
  <c r="C11" i="68" s="1"/>
  <c r="D10" i="67"/>
  <c r="C9" i="67"/>
  <c r="T10" i="67"/>
  <c r="J58" i="39"/>
  <c r="K56" i="39"/>
  <c r="B15" i="9" l="1"/>
  <c r="F25" i="59"/>
  <c r="F36" i="59" s="1"/>
  <c r="B19" i="9" s="1"/>
  <c r="B11" i="68" s="1"/>
  <c r="D9" i="67"/>
  <c r="C8" i="67"/>
  <c r="K58" i="39"/>
  <c r="L56" i="39"/>
  <c r="H19" i="9" l="1"/>
  <c r="B16" i="9"/>
  <c r="H16" i="9" s="1"/>
  <c r="L58" i="39"/>
  <c r="M56" i="39"/>
  <c r="D8" i="67"/>
  <c r="C7" i="67"/>
  <c r="C6" i="67" l="1"/>
  <c r="D7" i="67"/>
  <c r="M58" i="39"/>
  <c r="N56" i="39"/>
  <c r="T6" i="67" l="1"/>
  <c r="D6" i="67"/>
  <c r="I19" i="43"/>
  <c r="N58" i="39"/>
  <c r="O56" i="39"/>
  <c r="O58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<sst xmlns="http://schemas.openxmlformats.org/spreadsheetml/2006/main" count="3961" uniqueCount="1305">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</sst>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_ "/>
    <numFmt numFmtId="177" formatCode="0.0_);[Red]\(0.0\)"/>
    <numFmt numFmtId="178" formatCode="0_);[Red]\(0\)"/>
    <numFmt numFmtId="179" formatCode="0_ "/>
    <numFmt numFmtId="180" formatCode="0.0%"/>
    <numFmt numFmtId="181" formatCode="0.000_ "/>
    <numFmt numFmtId="182" formatCode="yyyy/m/d;@"/>
    <numFmt numFmtId="183" formatCode="0.00_ 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</numFmts>
  <fonts count="143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sz val="11"/>
      <color indexed="10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6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24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/>
  </cellStyleXfs>
  <cellXfs count="178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10" fontId="3" fillId="2" borderId="3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5" borderId="0" xfId="2" applyFont="1" applyFill="1" applyAlignment="1">
      <alignment horizontal="left" vertical="center"/>
    </xf>
    <xf numFmtId="0" fontId="10" fillId="6" borderId="0" xfId="2" applyFont="1" applyFill="1" applyAlignment="1">
      <alignment horizontal="left" vertical="center"/>
    </xf>
    <xf numFmtId="0" fontId="2" fillId="7" borderId="0" xfId="2" applyFont="1" applyFill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5" fillId="5" borderId="0" xfId="2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7" fillId="6" borderId="2" xfId="2" applyNumberFormat="1" applyFont="1" applyFill="1" applyBorder="1" applyAlignment="1">
      <alignment horizontal="left" vertical="center" wrapText="1"/>
    </xf>
    <xf numFmtId="178" fontId="17" fillId="6" borderId="0" xfId="2" applyNumberFormat="1" applyFont="1" applyFill="1" applyAlignment="1">
      <alignment horizontal="left" vertical="center"/>
    </xf>
    <xf numFmtId="0" fontId="17" fillId="6" borderId="19" xfId="2" applyFont="1" applyFill="1" applyBorder="1" applyAlignment="1">
      <alignment horizontal="left" vertical="center" wrapText="1"/>
    </xf>
    <xf numFmtId="0" fontId="17" fillId="6" borderId="11" xfId="2" applyFont="1" applyFill="1" applyBorder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  <xf numFmtId="178" fontId="9" fillId="3" borderId="8" xfId="3" applyNumberFormat="1" applyFont="1" applyFill="1" applyBorder="1" applyAlignment="1">
      <alignment horizontal="left" vertical="center" wrapText="1"/>
    </xf>
    <xf numFmtId="178" fontId="9" fillId="3" borderId="20" xfId="3" applyNumberFormat="1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178" fontId="2" fillId="0" borderId="0" xfId="2" applyNumberFormat="1" applyFont="1" applyAlignment="1">
      <alignment horizontal="left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11" xfId="2" applyFont="1" applyFill="1" applyBorder="1" applyAlignment="1">
      <alignment horizontal="left" vertical="center" wrapText="1"/>
    </xf>
    <xf numFmtId="178" fontId="9" fillId="3" borderId="8" xfId="2" applyNumberFormat="1" applyFont="1" applyFill="1" applyBorder="1" applyAlignment="1">
      <alignment horizontal="left" vertical="center" wrapText="1"/>
    </xf>
    <xf numFmtId="178" fontId="9" fillId="3" borderId="20" xfId="2" applyNumberFormat="1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4" borderId="8" xfId="2" applyFont="1" applyFill="1" applyBorder="1" applyAlignment="1">
      <alignment horizontal="left" vertical="center" wrapText="1"/>
    </xf>
    <xf numFmtId="178" fontId="9" fillId="3" borderId="11" xfId="2" applyNumberFormat="1" applyFont="1" applyFill="1" applyBorder="1" applyAlignment="1">
      <alignment horizontal="left" vertical="center" wrapText="1"/>
    </xf>
    <xf numFmtId="178" fontId="9" fillId="3" borderId="25" xfId="2" applyNumberFormat="1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horizontal="left" vertical="center" wrapText="1"/>
    </xf>
    <xf numFmtId="49" fontId="3" fillId="7" borderId="2" xfId="2" applyNumberFormat="1" applyFont="1" applyFill="1" applyBorder="1" applyAlignment="1">
      <alignment horizontal="left" vertical="center" wrapText="1"/>
    </xf>
    <xf numFmtId="178" fontId="2" fillId="7" borderId="0" xfId="2" applyNumberFormat="1" applyFont="1" applyFill="1" applyAlignment="1">
      <alignment horizontal="left" vertical="center"/>
    </xf>
    <xf numFmtId="0" fontId="2" fillId="3" borderId="14" xfId="2" applyFont="1" applyFill="1" applyBorder="1" applyAlignment="1">
      <alignment horizontal="left" vertical="center" wrapText="1"/>
    </xf>
    <xf numFmtId="178" fontId="9" fillId="3" borderId="14" xfId="2" applyNumberFormat="1" applyFont="1" applyFill="1" applyBorder="1" applyAlignment="1">
      <alignment horizontal="left" vertical="center" wrapText="1"/>
    </xf>
    <xf numFmtId="178" fontId="9" fillId="3" borderId="26" xfId="2" applyNumberFormat="1" applyFont="1" applyFill="1" applyBorder="1" applyAlignment="1">
      <alignment horizontal="left" vertical="center" wrapText="1"/>
    </xf>
    <xf numFmtId="178" fontId="2" fillId="8" borderId="0" xfId="2" applyNumberFormat="1" applyFont="1" applyFill="1" applyAlignment="1">
      <alignment horizontal="left" vertical="center"/>
    </xf>
    <xf numFmtId="178" fontId="2" fillId="0" borderId="16" xfId="2" applyNumberFormat="1" applyFont="1" applyBorder="1" applyAlignment="1">
      <alignment horizontal="left" vertical="center"/>
    </xf>
    <xf numFmtId="0" fontId="18" fillId="4" borderId="27" xfId="2" applyFont="1" applyFill="1" applyBorder="1" applyAlignment="1">
      <alignment horizontal="left" vertical="center" wrapText="1"/>
    </xf>
    <xf numFmtId="0" fontId="18" fillId="3" borderId="28" xfId="2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8" applyFont="1" applyFill="1" applyAlignment="1" applyProtection="1">
      <alignment horizontal="left" vertical="center"/>
      <protection locked="0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0" fontId="17" fillId="6" borderId="11" xfId="3" applyFont="1" applyFill="1" applyBorder="1" applyAlignment="1" applyProtection="1">
      <alignment horizontal="left" vertical="center" wrapText="1"/>
      <protection locked="0"/>
    </xf>
    <xf numFmtId="0" fontId="17" fillId="6" borderId="12" xfId="3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0" fontId="18" fillId="4" borderId="11" xfId="8" applyFont="1" applyFill="1" applyBorder="1" applyAlignment="1">
      <alignment horizontal="left" vertical="center" wrapText="1"/>
    </xf>
    <xf numFmtId="0" fontId="18" fillId="4" borderId="12" xfId="8" applyFont="1" applyFill="1" applyBorder="1" applyAlignment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0" fontId="18" fillId="4" borderId="11" xfId="3" applyFont="1" applyFill="1" applyBorder="1" applyAlignment="1">
      <alignment horizontal="left" vertical="center" wrapText="1"/>
    </xf>
    <xf numFmtId="0" fontId="18" fillId="4" borderId="12" xfId="3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3" borderId="11" xfId="3" applyFont="1" applyFill="1" applyBorder="1" applyAlignment="1">
      <alignment horizontal="left" vertical="center" wrapText="1"/>
    </xf>
    <xf numFmtId="0" fontId="18" fillId="3" borderId="12" xfId="3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left" vertical="center" wrapText="1"/>
    </xf>
    <xf numFmtId="0" fontId="18" fillId="3" borderId="12" xfId="2" applyFont="1" applyFill="1" applyBorder="1" applyAlignment="1">
      <alignment horizontal="left" vertical="center" wrapText="1"/>
    </xf>
    <xf numFmtId="0" fontId="18" fillId="3" borderId="15" xfId="2" applyFont="1" applyFill="1" applyBorder="1" applyAlignment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0" fontId="18" fillId="4" borderId="9" xfId="2" applyFont="1" applyFill="1" applyBorder="1" applyAlignment="1">
      <alignment horizontal="left" vertical="center" wrapText="1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0" fontId="2" fillId="4" borderId="9" xfId="2" applyFont="1" applyFill="1" applyBorder="1" applyAlignment="1">
      <alignment horizontal="left" vertical="center" wrapText="1"/>
    </xf>
    <xf numFmtId="0" fontId="2" fillId="3" borderId="15" xfId="2" applyFont="1" applyFill="1" applyBorder="1" applyAlignment="1">
      <alignment horizontal="left" vertical="center" wrapText="1"/>
    </xf>
    <xf numFmtId="0" fontId="18" fillId="4" borderId="33" xfId="2" applyFont="1" applyFill="1" applyBorder="1" applyAlignment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0" fontId="18" fillId="3" borderId="35" xfId="2" applyFont="1" applyFill="1" applyBorder="1" applyAlignment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Alignment="1">
      <alignment horizontal="left" vertical="center"/>
    </xf>
    <xf numFmtId="10" fontId="10" fillId="6" borderId="17" xfId="2" applyNumberFormat="1" applyFont="1" applyFill="1" applyBorder="1" applyAlignment="1">
      <alignment horizontal="left" vertical="center"/>
    </xf>
    <xf numFmtId="10" fontId="10" fillId="6" borderId="0" xfId="2" applyNumberFormat="1" applyFont="1" applyFill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79" fontId="2" fillId="0" borderId="0" xfId="2" applyNumberFormat="1" applyFont="1" applyAlignment="1">
      <alignment horizontal="left" vertical="center"/>
    </xf>
    <xf numFmtId="180" fontId="2" fillId="0" borderId="17" xfId="2" applyNumberFormat="1" applyFont="1" applyBorder="1" applyAlignment="1">
      <alignment horizontal="left" vertical="center"/>
    </xf>
    <xf numFmtId="180" fontId="2" fillId="0" borderId="0" xfId="2" applyNumberFormat="1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79" fontId="2" fillId="7" borderId="0" xfId="2" applyNumberFormat="1" applyFont="1" applyFill="1" applyAlignment="1">
      <alignment horizontal="left" vertical="center"/>
    </xf>
    <xf numFmtId="179" fontId="2" fillId="0" borderId="16" xfId="2" applyNumberFormat="1" applyFont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176" fontId="2" fillId="0" borderId="0" xfId="2" applyNumberFormat="1" applyFont="1" applyAlignment="1">
      <alignment horizontal="left" vertical="center"/>
    </xf>
    <xf numFmtId="0" fontId="9" fillId="4" borderId="36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 wrapText="1"/>
    </xf>
    <xf numFmtId="179" fontId="2" fillId="9" borderId="0" xfId="2" applyNumberFormat="1" applyFont="1" applyFill="1" applyAlignment="1">
      <alignment horizontal="left" vertical="center"/>
    </xf>
    <xf numFmtId="0" fontId="18" fillId="4" borderId="14" xfId="2" applyFont="1" applyFill="1" applyBorder="1" applyAlignment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9" fillId="3" borderId="38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left" vertical="center" wrapText="1"/>
    </xf>
    <xf numFmtId="0" fontId="9" fillId="3" borderId="4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1" fontId="2" fillId="0" borderId="17" xfId="2" applyNumberFormat="1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0" fontId="2" fillId="7" borderId="17" xfId="2" applyFont="1" applyFill="1" applyBorder="1" applyAlignment="1">
      <alignment horizontal="left" vertical="center"/>
    </xf>
    <xf numFmtId="181" fontId="11" fillId="0" borderId="0" xfId="2" applyNumberFormat="1" applyFont="1" applyAlignment="1">
      <alignment horizontal="left" vertical="center"/>
    </xf>
    <xf numFmtId="181" fontId="11" fillId="0" borderId="17" xfId="2" applyNumberFormat="1" applyFont="1" applyBorder="1" applyAlignment="1">
      <alignment horizontal="left" vertical="center"/>
    </xf>
    <xf numFmtId="0" fontId="18" fillId="4" borderId="41" xfId="2" applyFont="1" applyFill="1" applyBorder="1" applyAlignment="1">
      <alignment horizontal="left" vertical="center" wrapText="1"/>
    </xf>
    <xf numFmtId="0" fontId="18" fillId="3" borderId="7" xfId="2" applyFont="1" applyFill="1" applyBorder="1" applyAlignment="1">
      <alignment horizontal="left" vertical="center" wrapText="1"/>
    </xf>
    <xf numFmtId="0" fontId="18" fillId="3" borderId="42" xfId="2" applyFont="1" applyFill="1" applyBorder="1" applyAlignment="1">
      <alignment horizontal="left" vertical="center" wrapText="1"/>
    </xf>
    <xf numFmtId="0" fontId="18" fillId="4" borderId="10" xfId="2" applyFont="1" applyFill="1" applyBorder="1" applyAlignment="1">
      <alignment horizontal="left" vertical="center" wrapText="1"/>
    </xf>
    <xf numFmtId="0" fontId="18" fillId="4" borderId="42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4" borderId="13" xfId="2" applyFont="1" applyFill="1" applyBorder="1" applyAlignment="1">
      <alignment horizontal="left" vertical="center" wrapText="1"/>
    </xf>
    <xf numFmtId="0" fontId="18" fillId="3" borderId="43" xfId="2" applyFont="1" applyFill="1" applyBorder="1" applyAlignment="1">
      <alignment horizontal="left" vertical="center" wrapText="1"/>
    </xf>
    <xf numFmtId="176" fontId="2" fillId="0" borderId="16" xfId="2" applyNumberFormat="1" applyFont="1" applyBorder="1" applyAlignment="1">
      <alignment horizontal="left" vertical="center"/>
    </xf>
    <xf numFmtId="176" fontId="2" fillId="7" borderId="0" xfId="2" applyNumberFormat="1" applyFont="1" applyFill="1" applyAlignment="1">
      <alignment horizontal="left" vertical="center"/>
    </xf>
    <xf numFmtId="0" fontId="18" fillId="4" borderId="15" xfId="2" applyFont="1" applyFill="1" applyBorder="1" applyAlignment="1">
      <alignment horizontal="left" vertical="center" wrapText="1"/>
    </xf>
    <xf numFmtId="0" fontId="21" fillId="0" borderId="0" xfId="12" applyFont="1"/>
    <xf numFmtId="0" fontId="22" fillId="0" borderId="0" xfId="12" applyFont="1"/>
    <xf numFmtId="0" fontId="23" fillId="7" borderId="0" xfId="12" applyFont="1" applyFill="1" applyAlignment="1">
      <alignment vertical="center"/>
    </xf>
    <xf numFmtId="0" fontId="24" fillId="2" borderId="0" xfId="12" applyFont="1" applyFill="1"/>
    <xf numFmtId="0" fontId="24" fillId="0" borderId="0" xfId="12" applyFont="1"/>
    <xf numFmtId="0" fontId="24" fillId="2" borderId="44" xfId="12" applyFont="1" applyFill="1" applyBorder="1" applyAlignment="1">
      <alignment horizontal="center"/>
    </xf>
    <xf numFmtId="14" fontId="24" fillId="2" borderId="44" xfId="12" applyNumberFormat="1" applyFont="1" applyFill="1" applyBorder="1" applyAlignment="1">
      <alignment horizontal="center"/>
    </xf>
    <xf numFmtId="0" fontId="24" fillId="2" borderId="2" xfId="12" applyFont="1" applyFill="1" applyBorder="1" applyAlignment="1">
      <alignment horizontal="center"/>
    </xf>
    <xf numFmtId="10" fontId="24" fillId="2" borderId="2" xfId="12" applyNumberFormat="1" applyFont="1" applyFill="1" applyBorder="1" applyAlignment="1">
      <alignment horizontal="center"/>
    </xf>
    <xf numFmtId="0" fontId="24" fillId="2" borderId="45" xfId="12" applyFont="1" applyFill="1" applyBorder="1" applyAlignment="1">
      <alignment horizontal="right"/>
    </xf>
    <xf numFmtId="0" fontId="24" fillId="2" borderId="46" xfId="12" applyFont="1" applyFill="1" applyBorder="1" applyAlignment="1">
      <alignment horizontal="center"/>
    </xf>
    <xf numFmtId="0" fontId="24" fillId="2" borderId="0" xfId="12" applyFont="1" applyFill="1" applyAlignment="1">
      <alignment horizontal="center"/>
    </xf>
    <xf numFmtId="0" fontId="24" fillId="2" borderId="47" xfId="12" applyFont="1" applyFill="1" applyBorder="1" applyAlignment="1">
      <alignment horizontal="right"/>
    </xf>
    <xf numFmtId="14" fontId="24" fillId="2" borderId="48" xfId="12" applyNumberFormat="1" applyFont="1" applyFill="1" applyBorder="1" applyAlignment="1">
      <alignment horizontal="center"/>
    </xf>
    <xf numFmtId="0" fontId="24" fillId="2" borderId="49" xfId="12" applyFont="1" applyFill="1" applyBorder="1" applyAlignment="1">
      <alignment horizontal="center"/>
    </xf>
    <xf numFmtId="0" fontId="24" fillId="2" borderId="50" xfId="12" applyFont="1" applyFill="1" applyBorder="1" applyAlignment="1">
      <alignment horizontal="center"/>
    </xf>
    <xf numFmtId="10" fontId="24" fillId="2" borderId="50" xfId="12" applyNumberFormat="1" applyFont="1" applyFill="1" applyBorder="1" applyAlignment="1">
      <alignment horizontal="center"/>
    </xf>
    <xf numFmtId="0" fontId="24" fillId="2" borderId="51" xfId="12" applyFont="1" applyFill="1" applyBorder="1"/>
    <xf numFmtId="0" fontId="22" fillId="2" borderId="51" xfId="12" applyFont="1" applyFill="1" applyBorder="1" applyAlignment="1">
      <alignment horizontal="center" vertical="center" wrapText="1"/>
    </xf>
    <xf numFmtId="0" fontId="24" fillId="2" borderId="52" xfId="12" applyFont="1" applyFill="1" applyBorder="1" applyAlignment="1">
      <alignment horizontal="center"/>
    </xf>
    <xf numFmtId="0" fontId="24" fillId="2" borderId="51" xfId="12" applyFont="1" applyFill="1" applyBorder="1" applyAlignment="1">
      <alignment horizontal="center"/>
    </xf>
    <xf numFmtId="0" fontId="24" fillId="2" borderId="2" xfId="12" applyFont="1" applyFill="1" applyBorder="1"/>
    <xf numFmtId="0" fontId="22" fillId="2" borderId="2" xfId="12" applyFont="1" applyFill="1" applyBorder="1" applyAlignment="1">
      <alignment horizontal="center" vertical="center" wrapText="1"/>
    </xf>
    <xf numFmtId="0" fontId="24" fillId="2" borderId="3" xfId="12" applyFont="1" applyFill="1" applyBorder="1" applyAlignment="1">
      <alignment horizontal="center"/>
    </xf>
    <xf numFmtId="0" fontId="24" fillId="2" borderId="0" xfId="12" applyFont="1" applyFill="1" applyAlignment="1">
      <alignment horizontal="right"/>
    </xf>
    <xf numFmtId="14" fontId="24" fillId="2" borderId="0" xfId="12" applyNumberFormat="1" applyFont="1" applyFill="1" applyAlignment="1">
      <alignment horizontal="center"/>
    </xf>
    <xf numFmtId="0" fontId="21" fillId="2" borderId="0" xfId="12" applyFont="1" applyFill="1"/>
    <xf numFmtId="0" fontId="25" fillId="2" borderId="0" xfId="12" applyFont="1" applyFill="1"/>
    <xf numFmtId="0" fontId="22" fillId="2" borderId="0" xfId="12" applyFont="1" applyFill="1"/>
    <xf numFmtId="0" fontId="15" fillId="2" borderId="44" xfId="12" applyFont="1" applyFill="1" applyBorder="1" applyAlignment="1">
      <alignment horizontal="center" vertical="center"/>
    </xf>
    <xf numFmtId="0" fontId="15" fillId="2" borderId="44" xfId="12" applyFont="1" applyFill="1" applyBorder="1" applyAlignment="1">
      <alignment vertical="center"/>
    </xf>
    <xf numFmtId="0" fontId="15" fillId="2" borderId="3" xfId="12" applyFont="1" applyFill="1" applyBorder="1" applyAlignment="1">
      <alignment vertical="center"/>
    </xf>
    <xf numFmtId="0" fontId="15" fillId="2" borderId="46" xfId="12" applyFont="1" applyFill="1" applyBorder="1" applyAlignment="1">
      <alignment vertical="center"/>
    </xf>
    <xf numFmtId="0" fontId="15" fillId="2" borderId="6" xfId="12" applyFont="1" applyFill="1" applyBorder="1" applyAlignment="1">
      <alignment vertical="center"/>
    </xf>
    <xf numFmtId="0" fontId="15" fillId="2" borderId="51" xfId="12" applyFont="1" applyFill="1" applyBorder="1" applyAlignment="1">
      <alignment horizontal="center" vertical="center" wrapText="1"/>
    </xf>
    <xf numFmtId="0" fontId="15" fillId="2" borderId="51" xfId="12" applyFont="1" applyFill="1" applyBorder="1" applyAlignment="1">
      <alignment vertical="center" wrapText="1"/>
    </xf>
    <xf numFmtId="0" fontId="26" fillId="2" borderId="0" xfId="12" applyFont="1" applyFill="1" applyAlignment="1">
      <alignment vertical="center"/>
    </xf>
    <xf numFmtId="0" fontId="26" fillId="2" borderId="2" xfId="12" applyFont="1" applyFill="1" applyBorder="1" applyAlignment="1">
      <alignment horizontal="left" vertical="center" wrapText="1"/>
    </xf>
    <xf numFmtId="182" fontId="27" fillId="2" borderId="2" xfId="12" applyNumberFormat="1" applyFont="1" applyFill="1" applyBorder="1" applyAlignment="1">
      <alignment horizontal="center" vertical="center" wrapText="1"/>
    </xf>
    <xf numFmtId="0" fontId="27" fillId="2" borderId="2" xfId="12" applyFont="1" applyFill="1" applyBorder="1" applyAlignment="1">
      <alignment horizontal="center" vertical="center" wrapText="1"/>
    </xf>
    <xf numFmtId="14" fontId="24" fillId="2" borderId="2" xfId="12" applyNumberFormat="1" applyFont="1" applyFill="1" applyBorder="1" applyAlignment="1">
      <alignment horizontal="center" wrapText="1"/>
    </xf>
    <xf numFmtId="0" fontId="24" fillId="2" borderId="2" xfId="12" applyFont="1" applyFill="1" applyBorder="1" applyAlignment="1">
      <alignment horizontal="center" wrapText="1"/>
    </xf>
    <xf numFmtId="0" fontId="28" fillId="2" borderId="0" xfId="12" applyFont="1" applyFill="1" applyAlignment="1">
      <alignment vertical="center"/>
    </xf>
    <xf numFmtId="0" fontId="27" fillId="2" borderId="2" xfId="12" applyFont="1" applyFill="1" applyBorder="1" applyAlignment="1">
      <alignment horizontal="left" vertical="center" wrapText="1"/>
    </xf>
    <xf numFmtId="14" fontId="20" fillId="2" borderId="2" xfId="12" applyNumberFormat="1" applyFont="1" applyFill="1" applyBorder="1" applyAlignment="1">
      <alignment horizontal="center" wrapText="1"/>
    </xf>
    <xf numFmtId="0" fontId="20" fillId="2" borderId="2" xfId="12" applyFont="1" applyFill="1" applyBorder="1" applyAlignment="1">
      <alignment horizontal="center" wrapText="1"/>
    </xf>
    <xf numFmtId="0" fontId="28" fillId="2" borderId="2" xfId="12" applyFont="1" applyFill="1" applyBorder="1" applyAlignment="1">
      <alignment horizontal="left" vertical="center" wrapText="1"/>
    </xf>
    <xf numFmtId="14" fontId="22" fillId="2" borderId="2" xfId="12" applyNumberFormat="1" applyFont="1" applyFill="1" applyBorder="1" applyAlignment="1">
      <alignment horizontal="center" wrapText="1"/>
    </xf>
    <xf numFmtId="0" fontId="22" fillId="2" borderId="2" xfId="12" applyFont="1" applyFill="1" applyBorder="1" applyAlignment="1">
      <alignment horizontal="center" wrapText="1"/>
    </xf>
    <xf numFmtId="179" fontId="24" fillId="2" borderId="0" xfId="12" applyNumberFormat="1" applyFont="1" applyFill="1" applyAlignment="1">
      <alignment horizontal="center"/>
    </xf>
    <xf numFmtId="179" fontId="24" fillId="2" borderId="0" xfId="12" applyNumberFormat="1" applyFont="1" applyFill="1"/>
    <xf numFmtId="0" fontId="15" fillId="2" borderId="2" xfId="12" applyFont="1" applyFill="1" applyBorder="1" applyAlignment="1">
      <alignment horizontal="center" vertical="center" wrapText="1"/>
    </xf>
    <xf numFmtId="0" fontId="23" fillId="2" borderId="2" xfId="12" applyFont="1" applyFill="1" applyBorder="1" applyAlignment="1">
      <alignment horizontal="center" vertical="center" wrapText="1"/>
    </xf>
    <xf numFmtId="0" fontId="23" fillId="2" borderId="0" xfId="12" applyFont="1" applyFill="1" applyAlignment="1">
      <alignment vertical="center"/>
    </xf>
    <xf numFmtId="14" fontId="23" fillId="2" borderId="2" xfId="12" applyNumberFormat="1" applyFont="1" applyFill="1" applyBorder="1" applyAlignment="1">
      <alignment horizontal="center" vertical="center" wrapText="1"/>
    </xf>
    <xf numFmtId="183" fontId="29" fillId="2" borderId="2" xfId="12" applyNumberFormat="1" applyFont="1" applyFill="1" applyBorder="1" applyAlignment="1">
      <alignment horizontal="center"/>
    </xf>
    <xf numFmtId="0" fontId="24" fillId="2" borderId="0" xfId="12" applyFont="1" applyFill="1" applyAlignment="1">
      <alignment horizontal="center" wrapText="1"/>
    </xf>
    <xf numFmtId="14" fontId="24" fillId="2" borderId="0" xfId="12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180" fontId="5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0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0" xfId="0" applyFont="1" applyFill="1" applyBorder="1">
      <alignment vertical="center"/>
    </xf>
    <xf numFmtId="0" fontId="37" fillId="2" borderId="30" xfId="0" applyFont="1" applyFill="1" applyBorder="1">
      <alignment vertical="center"/>
    </xf>
    <xf numFmtId="0" fontId="38" fillId="2" borderId="2" xfId="11" applyFont="1" applyFill="1" applyBorder="1">
      <alignment vertical="center"/>
    </xf>
    <xf numFmtId="179" fontId="38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8" fillId="2" borderId="0" xfId="0" applyFont="1" applyFill="1" applyProtection="1">
      <alignment vertical="center"/>
      <protection locked="0"/>
    </xf>
    <xf numFmtId="0" fontId="36" fillId="2" borderId="0" xfId="0" applyFont="1" applyFill="1" applyProtection="1">
      <alignment vertical="center"/>
      <protection locked="0"/>
    </xf>
    <xf numFmtId="0" fontId="37" fillId="2" borderId="0" xfId="0" applyFont="1" applyFill="1" applyProtection="1">
      <alignment vertical="center"/>
      <protection locked="0"/>
    </xf>
    <xf numFmtId="0" fontId="38" fillId="2" borderId="44" xfId="11" applyFont="1" applyFill="1" applyBorder="1">
      <alignment vertical="center"/>
    </xf>
    <xf numFmtId="178" fontId="38" fillId="2" borderId="44" xfId="0" applyNumberFormat="1" applyFont="1" applyFill="1" applyBorder="1" applyAlignment="1">
      <alignment horizontal="right" vertical="center"/>
    </xf>
    <xf numFmtId="0" fontId="38" fillId="2" borderId="0" xfId="0" applyFont="1" applyFill="1">
      <alignment vertical="center"/>
    </xf>
    <xf numFmtId="0" fontId="39" fillId="2" borderId="53" xfId="0" applyFont="1" applyFill="1" applyBorder="1" applyAlignment="1">
      <alignment vertical="center" wrapText="1"/>
    </xf>
    <xf numFmtId="0" fontId="39" fillId="2" borderId="54" xfId="0" applyFont="1" applyFill="1" applyBorder="1" applyAlignment="1">
      <alignment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39" fillId="2" borderId="59" xfId="0" applyFont="1" applyFill="1" applyBorder="1" applyAlignment="1">
      <alignment vertical="center" wrapText="1"/>
    </xf>
    <xf numFmtId="0" fontId="39" fillId="2" borderId="0" xfId="0" applyFont="1" applyFill="1" applyAlignment="1">
      <alignment vertical="center" wrapText="1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39" fillId="2" borderId="62" xfId="0" applyFont="1" applyFill="1" applyBorder="1" applyAlignment="1">
      <alignment vertical="center" wrapText="1"/>
    </xf>
    <xf numFmtId="0" fontId="39" fillId="2" borderId="16" xfId="0" applyFont="1" applyFill="1" applyBorder="1" applyAlignment="1">
      <alignment vertical="center" wrapText="1"/>
    </xf>
    <xf numFmtId="0" fontId="41" fillId="2" borderId="66" xfId="0" applyFont="1" applyFill="1" applyBorder="1" applyAlignment="1">
      <alignment vertical="center" wrapText="1"/>
    </xf>
    <xf numFmtId="0" fontId="41" fillId="2" borderId="67" xfId="0" applyFont="1" applyFill="1" applyBorder="1" applyAlignment="1">
      <alignment vertical="center" wrapText="1"/>
    </xf>
    <xf numFmtId="184" fontId="31" fillId="2" borderId="68" xfId="0" applyNumberFormat="1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184" fontId="14" fillId="0" borderId="70" xfId="0" applyNumberFormat="1" applyFont="1" applyBorder="1" applyAlignment="1" applyProtection="1">
      <alignment horizontal="center" vertical="center" wrapText="1"/>
      <protection locked="0"/>
    </xf>
    <xf numFmtId="179" fontId="31" fillId="2" borderId="71" xfId="0" applyNumberFormat="1" applyFont="1" applyFill="1" applyBorder="1" applyAlignment="1">
      <alignment horizontal="center" vertical="center" wrapText="1"/>
    </xf>
    <xf numFmtId="184" fontId="14" fillId="0" borderId="68" xfId="0" applyNumberFormat="1" applyFont="1" applyBorder="1" applyAlignment="1" applyProtection="1">
      <alignment horizontal="center" vertical="center" wrapText="1"/>
      <protection locked="0"/>
    </xf>
    <xf numFmtId="178" fontId="31" fillId="2" borderId="69" xfId="0" applyNumberFormat="1" applyFont="1" applyFill="1" applyBorder="1" applyAlignment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3" xfId="0" applyFont="1" applyFill="1" applyBorder="1" applyAlignment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1" xfId="0" applyFont="1" applyFill="1" applyBorder="1" applyAlignment="1">
      <alignment horizontal="center" vertical="center" wrapText="1"/>
    </xf>
    <xf numFmtId="0" fontId="41" fillId="2" borderId="72" xfId="0" applyFont="1" applyFill="1" applyBorder="1" applyAlignment="1">
      <alignment vertical="center" wrapText="1"/>
    </xf>
    <xf numFmtId="0" fontId="31" fillId="2" borderId="5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14" fillId="10" borderId="74" xfId="0" applyFont="1" applyFill="1" applyBorder="1" applyAlignment="1" applyProtection="1">
      <alignment horizontal="center" vertical="center" wrapText="1"/>
      <protection locked="0"/>
    </xf>
    <xf numFmtId="0" fontId="42" fillId="2" borderId="75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2" borderId="61" xfId="0" applyFont="1" applyFill="1" applyBorder="1" applyAlignment="1">
      <alignment horizontal="center" vertical="center" wrapText="1"/>
    </xf>
    <xf numFmtId="49" fontId="31" fillId="0" borderId="76" xfId="0" applyNumberFormat="1" applyFont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Border="1" applyAlignment="1" applyProtection="1">
      <alignment horizontal="center" vertical="center" wrapText="1"/>
      <protection locked="0"/>
    </xf>
    <xf numFmtId="0" fontId="39" fillId="2" borderId="75" xfId="0" applyFont="1" applyFill="1" applyBorder="1" applyAlignment="1">
      <alignment vertical="center" wrapText="1"/>
    </xf>
    <xf numFmtId="0" fontId="43" fillId="7" borderId="2" xfId="0" applyFont="1" applyFill="1" applyBorder="1" applyAlignment="1" applyProtection="1">
      <alignment horizontal="center" vertical="center"/>
      <protection locked="0"/>
    </xf>
    <xf numFmtId="0" fontId="31" fillId="2" borderId="60" xfId="0" applyFont="1" applyFill="1" applyBorder="1" applyAlignment="1">
      <alignment horizontal="center" vertical="center" wrapText="1"/>
    </xf>
    <xf numFmtId="0" fontId="31" fillId="0" borderId="60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0" fontId="41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Font="1" applyFill="1" applyBorder="1" applyAlignment="1" applyProtection="1">
      <alignment horizontal="center" vertical="center" wrapText="1"/>
      <protection locked="0"/>
    </xf>
    <xf numFmtId="0" fontId="31" fillId="2" borderId="80" xfId="0" applyFont="1" applyFill="1" applyBorder="1" applyAlignment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1" xfId="0" applyFont="1" applyFill="1" applyBorder="1" applyAlignment="1">
      <alignment horizontal="center" vertical="center" wrapText="1"/>
    </xf>
    <xf numFmtId="0" fontId="14" fillId="2" borderId="82" xfId="0" applyFont="1" applyFill="1" applyBorder="1" applyAlignment="1">
      <alignment horizontal="center" vertical="center" wrapText="1"/>
    </xf>
    <xf numFmtId="0" fontId="40" fillId="2" borderId="83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40" fillId="2" borderId="51" xfId="0" applyFont="1" applyFill="1" applyBorder="1" applyAlignment="1" applyProtection="1">
      <alignment horizontal="center" vertical="center" wrapText="1"/>
      <protection locked="0"/>
    </xf>
    <xf numFmtId="0" fontId="31" fillId="2" borderId="84" xfId="0" applyFont="1" applyFill="1" applyBorder="1" applyAlignment="1">
      <alignment horizontal="center" vertical="center" wrapText="1"/>
    </xf>
    <xf numFmtId="0" fontId="40" fillId="2" borderId="76" xfId="0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40" fillId="2" borderId="85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 applyAlignment="1" applyProtection="1">
      <alignment horizontal="center" vertical="center" wrapText="1"/>
      <protection locked="0"/>
    </xf>
    <xf numFmtId="0" fontId="39" fillId="2" borderId="72" xfId="0" applyFont="1" applyFill="1" applyBorder="1" applyAlignment="1">
      <alignment vertical="center" wrapText="1"/>
    </xf>
    <xf numFmtId="0" fontId="31" fillId="2" borderId="86" xfId="0" applyFont="1" applyFill="1" applyBorder="1" applyAlignment="1">
      <alignment horizontal="center" vertical="center" wrapText="1"/>
    </xf>
    <xf numFmtId="49" fontId="40" fillId="2" borderId="72" xfId="0" applyNumberFormat="1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49" fontId="5" fillId="0" borderId="87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40" fillId="10" borderId="76" xfId="0" applyFont="1" applyFill="1" applyBorder="1" applyAlignment="1">
      <alignment horizontal="center" vertical="center" wrapText="1"/>
    </xf>
    <xf numFmtId="49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77" xfId="0" applyFont="1" applyFill="1" applyBorder="1" applyAlignment="1" applyProtection="1">
      <alignment horizontal="center" vertical="center" wrapText="1"/>
      <protection locked="0"/>
    </xf>
    <xf numFmtId="0" fontId="5" fillId="2" borderId="88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40" fillId="2" borderId="63" xfId="0" applyNumberFormat="1" applyFont="1" applyFill="1" applyBorder="1" applyAlignment="1">
      <alignment horizontal="center" vertical="center" wrapText="1"/>
    </xf>
    <xf numFmtId="49" fontId="5" fillId="0" borderId="89" xfId="0" applyNumberFormat="1" applyFont="1" applyBorder="1" applyAlignment="1" applyProtection="1">
      <alignment horizontal="center" vertical="center" wrapText="1"/>
      <protection locked="0"/>
    </xf>
    <xf numFmtId="0" fontId="5" fillId="2" borderId="64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40" fillId="10" borderId="75" xfId="0" applyFont="1" applyFill="1" applyBorder="1" applyAlignment="1">
      <alignment horizontal="center" vertical="center" wrapText="1"/>
    </xf>
    <xf numFmtId="0" fontId="40" fillId="10" borderId="89" xfId="0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Border="1" applyAlignment="1" applyProtection="1">
      <alignment horizontal="center" vertical="center" wrapText="1"/>
      <protection locked="0"/>
    </xf>
    <xf numFmtId="0" fontId="40" fillId="2" borderId="63" xfId="0" applyFont="1" applyFill="1" applyBorder="1" applyAlignment="1">
      <alignment horizontal="center" vertical="center" wrapText="1"/>
    </xf>
    <xf numFmtId="0" fontId="31" fillId="2" borderId="82" xfId="0" applyFont="1" applyFill="1" applyBorder="1" applyAlignment="1">
      <alignment horizontal="center" vertical="center" wrapText="1"/>
    </xf>
    <xf numFmtId="0" fontId="40" fillId="2" borderId="90" xfId="0" applyFont="1" applyFill="1" applyBorder="1" applyAlignment="1">
      <alignment horizontal="center" vertical="center" wrapText="1"/>
    </xf>
    <xf numFmtId="49" fontId="5" fillId="0" borderId="75" xfId="0" applyNumberFormat="1" applyFont="1" applyBorder="1" applyAlignment="1" applyProtection="1">
      <alignment horizontal="center" vertical="center" wrapText="1"/>
      <protection locked="0"/>
    </xf>
    <xf numFmtId="0" fontId="5" fillId="2" borderId="91" xfId="0" applyFont="1" applyFill="1" applyBorder="1" applyAlignment="1">
      <alignment horizontal="center" vertical="center" wrapText="1"/>
    </xf>
    <xf numFmtId="0" fontId="40" fillId="10" borderId="76" xfId="0" applyFont="1" applyFill="1" applyBorder="1" applyAlignment="1" applyProtection="1">
      <alignment horizontal="center" vertical="center" wrapText="1"/>
      <protection locked="0"/>
    </xf>
    <xf numFmtId="49" fontId="40" fillId="2" borderId="75" xfId="0" applyNumberFormat="1" applyFont="1" applyFill="1" applyBorder="1" applyAlignment="1">
      <alignment horizontal="center" vertical="center" wrapText="1"/>
    </xf>
    <xf numFmtId="0" fontId="41" fillId="2" borderId="59" xfId="0" applyFont="1" applyFill="1" applyBorder="1" applyAlignment="1">
      <alignment vertical="center" wrapText="1"/>
    </xf>
    <xf numFmtId="0" fontId="14" fillId="10" borderId="83" xfId="0" applyFont="1" applyFill="1" applyBorder="1" applyAlignment="1">
      <alignment horizontal="center" vertical="center" wrapText="1"/>
    </xf>
    <xf numFmtId="0" fontId="14" fillId="10" borderId="83" xfId="0" applyFont="1" applyFill="1" applyBorder="1" applyAlignment="1" applyProtection="1">
      <alignment horizontal="center" vertical="center" wrapText="1"/>
      <protection locked="0"/>
    </xf>
    <xf numFmtId="0" fontId="40" fillId="10" borderId="92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40" fillId="10" borderId="92" xfId="0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Border="1" applyAlignment="1">
      <alignment horizontal="center" vertical="center" wrapText="1"/>
    </xf>
    <xf numFmtId="0" fontId="40" fillId="10" borderId="6" xfId="0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44" fillId="2" borderId="66" xfId="0" applyFont="1" applyFill="1" applyBorder="1" applyAlignment="1">
      <alignment vertical="center" wrapText="1"/>
    </xf>
    <xf numFmtId="0" fontId="40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Font="1" applyFill="1" applyBorder="1" applyAlignment="1" applyProtection="1">
      <alignment horizontal="center" vertical="center" wrapText="1"/>
      <protection locked="0"/>
    </xf>
    <xf numFmtId="0" fontId="5" fillId="2" borderId="69" xfId="0" applyFont="1" applyFill="1" applyBorder="1" applyAlignment="1">
      <alignment horizontal="center" vertical="center" wrapText="1"/>
    </xf>
    <xf numFmtId="0" fontId="44" fillId="2" borderId="75" xfId="0" applyFont="1" applyFill="1" applyBorder="1" applyAlignment="1">
      <alignment vertical="center" wrapText="1"/>
    </xf>
    <xf numFmtId="0" fontId="5" fillId="0" borderId="77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vertical="center" wrapText="1"/>
    </xf>
    <xf numFmtId="49" fontId="40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>
      <alignment horizontal="center" vertical="center"/>
    </xf>
    <xf numFmtId="0" fontId="44" fillId="2" borderId="62" xfId="0" applyFont="1" applyFill="1" applyBorder="1" applyAlignment="1">
      <alignment vertical="center" wrapText="1"/>
    </xf>
    <xf numFmtId="0" fontId="40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Font="1" applyFill="1" applyBorder="1" applyAlignment="1">
      <alignment horizontal="center" vertical="center" wrapText="1"/>
    </xf>
    <xf numFmtId="49" fontId="39" fillId="2" borderId="74" xfId="0" applyNumberFormat="1" applyFont="1" applyFill="1" applyBorder="1">
      <alignment vertical="center"/>
    </xf>
    <xf numFmtId="49" fontId="45" fillId="10" borderId="56" xfId="0" applyNumberFormat="1" applyFont="1" applyFill="1" applyBorder="1" applyProtection="1">
      <alignment vertical="center"/>
      <protection locked="0"/>
    </xf>
    <xf numFmtId="0" fontId="39" fillId="2" borderId="94" xfId="0" applyFont="1" applyFill="1" applyBorder="1" applyAlignment="1">
      <alignment horizontal="right" vertical="center" wrapText="1"/>
    </xf>
    <xf numFmtId="0" fontId="39" fillId="2" borderId="95" xfId="0" applyFont="1" applyFill="1" applyBorder="1" applyAlignment="1">
      <alignment vertical="center" wrapText="1"/>
    </xf>
    <xf numFmtId="0" fontId="46" fillId="11" borderId="94" xfId="0" applyFont="1" applyFill="1" applyBorder="1" applyAlignment="1" applyProtection="1">
      <alignment vertical="center" wrapText="1"/>
      <protection locked="0"/>
    </xf>
    <xf numFmtId="0" fontId="46" fillId="2" borderId="94" xfId="0" applyFont="1" applyFill="1" applyBorder="1" applyAlignment="1">
      <alignment vertical="center" wrapText="1"/>
    </xf>
    <xf numFmtId="0" fontId="46" fillId="11" borderId="74" xfId="0" applyFont="1" applyFill="1" applyBorder="1" applyAlignment="1" applyProtection="1">
      <alignment vertical="center" wrapText="1"/>
      <protection locked="0"/>
    </xf>
    <xf numFmtId="0" fontId="46" fillId="2" borderId="95" xfId="0" applyFont="1" applyFill="1" applyBorder="1" applyAlignment="1">
      <alignment vertical="center" wrapText="1"/>
    </xf>
    <xf numFmtId="49" fontId="39" fillId="2" borderId="85" xfId="0" applyNumberFormat="1" applyFont="1" applyFill="1" applyBorder="1">
      <alignment vertical="center"/>
    </xf>
    <xf numFmtId="49" fontId="39" fillId="2" borderId="96" xfId="0" applyNumberFormat="1" applyFont="1" applyFill="1" applyBorder="1">
      <alignment vertical="center"/>
    </xf>
    <xf numFmtId="178" fontId="39" fillId="2" borderId="97" xfId="0" applyNumberFormat="1" applyFont="1" applyFill="1" applyBorder="1" applyAlignment="1">
      <alignment vertical="center" wrapText="1"/>
    </xf>
    <xf numFmtId="0" fontId="39" fillId="2" borderId="96" xfId="0" applyFont="1" applyFill="1" applyBorder="1" applyAlignment="1">
      <alignment vertical="center" wrapText="1"/>
    </xf>
    <xf numFmtId="0" fontId="39" fillId="2" borderId="97" xfId="0" applyFont="1" applyFill="1" applyBorder="1" applyAlignment="1">
      <alignment vertical="center" wrapText="1"/>
    </xf>
    <xf numFmtId="178" fontId="39" fillId="2" borderId="85" xfId="0" applyNumberFormat="1" applyFont="1" applyFill="1" applyBorder="1" applyAlignment="1">
      <alignment vertical="center" wrapText="1"/>
    </xf>
    <xf numFmtId="0" fontId="45" fillId="2" borderId="62" xfId="0" applyFont="1" applyFill="1" applyBorder="1">
      <alignment vertical="center"/>
    </xf>
    <xf numFmtId="49" fontId="39" fillId="2" borderId="80" xfId="0" applyNumberFormat="1" applyFont="1" applyFill="1" applyBorder="1" applyProtection="1">
      <alignment vertical="center"/>
      <protection locked="0"/>
    </xf>
    <xf numFmtId="178" fontId="39" fillId="2" borderId="16" xfId="0" applyNumberFormat="1" applyFont="1" applyFill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9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46" xfId="0" applyNumberFormat="1" applyFont="1" applyFill="1" applyBorder="1">
      <alignment vertical="center"/>
    </xf>
    <xf numFmtId="0" fontId="39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5" fontId="5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>
      <alignment horizontal="center" vertical="center"/>
    </xf>
    <xf numFmtId="0" fontId="47" fillId="2" borderId="16" xfId="0" applyFont="1" applyFill="1" applyBorder="1" applyAlignment="1"/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/>
    <xf numFmtId="0" fontId="5" fillId="2" borderId="16" xfId="0" applyFont="1" applyFill="1" applyBorder="1" applyAlignment="1">
      <alignment horizontal="center"/>
    </xf>
    <xf numFmtId="0" fontId="41" fillId="2" borderId="53" xfId="0" applyFont="1" applyFill="1" applyBorder="1" applyAlignment="1">
      <alignment vertical="center" wrapText="1"/>
    </xf>
    <xf numFmtId="0" fontId="41" fillId="2" borderId="87" xfId="0" applyFont="1" applyFill="1" applyBorder="1" applyAlignment="1">
      <alignment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41" fillId="2" borderId="89" xfId="0" applyFont="1" applyFill="1" applyBorder="1" applyAlignment="1">
      <alignment vertical="center" wrapText="1"/>
    </xf>
    <xf numFmtId="0" fontId="31" fillId="2" borderId="65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1" fillId="2" borderId="62" xfId="0" applyFont="1" applyFill="1" applyBorder="1">
      <alignment vertical="center"/>
    </xf>
    <xf numFmtId="0" fontId="41" fillId="2" borderId="98" xfId="0" applyFont="1" applyFill="1" applyBorder="1" applyAlignment="1">
      <alignment vertical="center" wrapText="1"/>
    </xf>
    <xf numFmtId="0" fontId="31" fillId="0" borderId="98" xfId="0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0" fontId="41" fillId="2" borderId="82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31" fillId="2" borderId="100" xfId="0" applyFont="1" applyFill="1" applyBorder="1" applyAlignment="1">
      <alignment horizontal="center" vertical="center" wrapText="1"/>
    </xf>
    <xf numFmtId="0" fontId="40" fillId="2" borderId="101" xfId="0" applyFont="1" applyFill="1" applyBorder="1" applyAlignment="1">
      <alignment horizontal="center" vertical="center" wrapText="1"/>
    </xf>
    <xf numFmtId="0" fontId="40" fillId="0" borderId="101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177" fontId="36" fillId="2" borderId="30" xfId="0" applyNumberFormat="1" applyFont="1" applyFill="1" applyBorder="1" applyAlignment="1">
      <alignment horizontal="center" vertical="center"/>
    </xf>
    <xf numFmtId="180" fontId="36" fillId="2" borderId="30" xfId="0" applyNumberFormat="1" applyFont="1" applyFill="1" applyBorder="1">
      <alignment vertical="center"/>
    </xf>
    <xf numFmtId="0" fontId="36" fillId="2" borderId="30" xfId="0" applyFont="1" applyFill="1" applyBorder="1" applyAlignment="1">
      <alignment horizontal="center" vertical="center"/>
    </xf>
    <xf numFmtId="177" fontId="36" fillId="2" borderId="0" xfId="0" applyNumberFormat="1" applyFont="1" applyFill="1" applyAlignment="1" applyProtection="1">
      <alignment horizontal="center" vertical="center"/>
      <protection locked="0"/>
    </xf>
    <xf numFmtId="180" fontId="36" fillId="2" borderId="0" xfId="0" applyNumberFormat="1" applyFont="1" applyFill="1" applyProtection="1">
      <alignment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177" fontId="31" fillId="2" borderId="46" xfId="0" applyNumberFormat="1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46" xfId="0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horizontal="center" vertical="center" wrapText="1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48" fillId="2" borderId="46" xfId="0" applyFont="1" applyFill="1" applyBorder="1" applyAlignment="1">
      <alignment horizontal="center" vertical="center" wrapText="1"/>
    </xf>
    <xf numFmtId="180" fontId="32" fillId="2" borderId="0" xfId="0" applyNumberFormat="1" applyFont="1" applyFill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180" fontId="33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80" fontId="34" fillId="2" borderId="0" xfId="0" applyNumberFormat="1" applyFont="1" applyFill="1" applyAlignment="1" applyProtection="1">
      <alignment horizontal="center" vertical="center" wrapText="1"/>
      <protection locked="0"/>
    </xf>
    <xf numFmtId="49" fontId="5" fillId="0" borderId="72" xfId="0" applyNumberFormat="1" applyFont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>
      <alignment horizontal="center" vertical="center" wrapText="1"/>
    </xf>
    <xf numFmtId="49" fontId="5" fillId="0" borderId="63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89" xfId="0" applyFont="1" applyFill="1" applyBorder="1" applyAlignment="1" applyProtection="1">
      <alignment horizontal="center" vertical="center"/>
      <protection locked="0"/>
    </xf>
    <xf numFmtId="177" fontId="5" fillId="2" borderId="46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Alignment="1" applyProtection="1">
      <alignment vertical="center" wrapText="1"/>
      <protection locked="0"/>
    </xf>
    <xf numFmtId="177" fontId="5" fillId="2" borderId="46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7" fontId="5" fillId="2" borderId="0" xfId="0" applyNumberFormat="1" applyFont="1" applyFill="1" applyAlignment="1" applyProtection="1">
      <alignment horizontal="center" vertical="center"/>
      <protection locked="0"/>
    </xf>
    <xf numFmtId="180" fontId="5" fillId="2" borderId="0" xfId="0" applyNumberFormat="1" applyFont="1" applyFill="1" applyAlignment="1" applyProtection="1">
      <alignment horizontal="center" vertical="center"/>
      <protection locked="0"/>
    </xf>
    <xf numFmtId="177" fontId="34" fillId="2" borderId="0" xfId="0" applyNumberFormat="1" applyFont="1" applyFill="1" applyAlignment="1" applyProtection="1">
      <alignment horizontal="center" vertical="center"/>
      <protection locked="0"/>
    </xf>
    <xf numFmtId="180" fontId="34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7" fontId="5" fillId="2" borderId="16" xfId="0" applyNumberFormat="1" applyFont="1" applyFill="1" applyBorder="1" applyAlignment="1" applyProtection="1">
      <alignment horizontal="center"/>
      <protection locked="0"/>
    </xf>
    <xf numFmtId="180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Alignment="1" applyProtection="1">
      <protection locked="0"/>
    </xf>
    <xf numFmtId="0" fontId="5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1" fillId="0" borderId="64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left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5" fillId="0" borderId="105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186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186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vertical="center" textRotation="255" wrapText="1"/>
    </xf>
    <xf numFmtId="0" fontId="31" fillId="2" borderId="106" xfId="0" applyFont="1" applyFill="1" applyBorder="1" applyAlignment="1">
      <alignment horizontal="center" vertical="center" wrapText="1"/>
    </xf>
    <xf numFmtId="0" fontId="5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1" fillId="2" borderId="75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52" fillId="0" borderId="10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1" fillId="2" borderId="78" xfId="0" applyFont="1" applyFill="1" applyBorder="1" applyAlignment="1">
      <alignment vertical="center" wrapText="1"/>
    </xf>
    <xf numFmtId="0" fontId="31" fillId="2" borderId="99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1" fillId="2" borderId="101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1" fillId="2" borderId="75" xfId="0" applyFont="1" applyFill="1" applyBorder="1" applyAlignment="1">
      <alignment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40" fillId="2" borderId="102" xfId="0" applyFont="1" applyFill="1" applyBorder="1" applyAlignment="1">
      <alignment horizontal="center" vertical="center" wrapText="1"/>
    </xf>
    <xf numFmtId="0" fontId="40" fillId="0" borderId="107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4" fillId="2" borderId="53" xfId="0" applyFont="1" applyFill="1" applyBorder="1" applyAlignment="1">
      <alignment horizontal="left" vertical="center"/>
    </xf>
    <xf numFmtId="0" fontId="31" fillId="2" borderId="86" xfId="0" applyFont="1" applyFill="1" applyBorder="1" applyAlignment="1">
      <alignment horizontal="center" vertical="center"/>
    </xf>
    <xf numFmtId="0" fontId="14" fillId="2" borderId="101" xfId="0" applyFont="1" applyFill="1" applyBorder="1" applyAlignment="1" applyProtection="1">
      <alignment horizontal="center" vertical="center" wrapText="1"/>
      <protection locked="0"/>
    </xf>
    <xf numFmtId="0" fontId="14" fillId="0" borderId="101" xfId="0" applyFont="1" applyBorder="1" applyAlignment="1" applyProtection="1">
      <alignment horizontal="center" vertical="center" wrapText="1"/>
      <protection locked="0"/>
    </xf>
    <xf numFmtId="0" fontId="53" fillId="2" borderId="78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5" fillId="2" borderId="108" xfId="0" applyFont="1" applyFill="1" applyBorder="1" applyAlignment="1">
      <alignment horizontal="center" vertical="center" wrapText="1"/>
    </xf>
    <xf numFmtId="0" fontId="5" fillId="0" borderId="108" xfId="0" applyFont="1" applyBorder="1" applyAlignment="1" applyProtection="1">
      <alignment horizontal="center" vertical="center" wrapText="1"/>
      <protection locked="0"/>
    </xf>
    <xf numFmtId="0" fontId="45" fillId="2" borderId="75" xfId="0" applyFont="1" applyFill="1" applyBorder="1" applyAlignment="1">
      <alignment horizontal="left" vertical="center" wrapText="1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2" borderId="108" xfId="0" applyFont="1" applyFill="1" applyBorder="1" applyAlignment="1">
      <alignment horizontal="center" vertical="center" wrapText="1"/>
    </xf>
    <xf numFmtId="0" fontId="45" fillId="2" borderId="75" xfId="0" applyFont="1" applyFill="1" applyBorder="1" applyAlignment="1">
      <alignment horizontal="left" vertical="center" textRotation="255" wrapText="1"/>
    </xf>
    <xf numFmtId="0" fontId="40" fillId="2" borderId="107" xfId="0" applyFont="1" applyFill="1" applyBorder="1" applyAlignment="1">
      <alignment horizontal="center" vertical="center" wrapText="1"/>
    </xf>
    <xf numFmtId="0" fontId="40" fillId="0" borderId="107" xfId="0" applyFont="1" applyBorder="1" applyAlignment="1" applyProtection="1">
      <alignment horizontal="center" vertical="center" wrapText="1"/>
      <protection locked="0"/>
    </xf>
    <xf numFmtId="0" fontId="14" fillId="2" borderId="107" xfId="0" applyFont="1" applyFill="1" applyBorder="1" applyAlignment="1">
      <alignment horizontal="center" vertical="center" wrapText="1"/>
    </xf>
    <xf numFmtId="0" fontId="53" fillId="2" borderId="75" xfId="0" applyFont="1" applyFill="1" applyBorder="1" applyAlignment="1">
      <alignment horizontal="left" vertical="center" textRotation="255" wrapText="1"/>
    </xf>
    <xf numFmtId="0" fontId="53" fillId="2" borderId="75" xfId="0" applyFont="1" applyFill="1" applyBorder="1" applyAlignment="1">
      <alignment horizontal="left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horizontal="left" vertical="center" wrapText="1"/>
    </xf>
    <xf numFmtId="0" fontId="52" fillId="0" borderId="101" xfId="0" applyFont="1" applyBorder="1" applyAlignment="1" applyProtection="1">
      <alignment horizontal="center" vertical="center" wrapText="1"/>
      <protection locked="0"/>
    </xf>
    <xf numFmtId="0" fontId="33" fillId="2" borderId="99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2" borderId="109" xfId="0" applyFont="1" applyFill="1" applyBorder="1" applyAlignment="1">
      <alignment horizontal="center" vertical="center" wrapText="1"/>
    </xf>
    <xf numFmtId="0" fontId="5" fillId="2" borderId="105" xfId="0" applyFont="1" applyFill="1" applyBorder="1" applyAlignment="1">
      <alignment horizontal="center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4" fillId="0" borderId="61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2" fillId="0" borderId="107" xfId="0" applyFont="1" applyBorder="1" applyAlignment="1">
      <alignment horizontal="left" vertical="center" wrapText="1"/>
    </xf>
    <xf numFmtId="0" fontId="52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2" fillId="0" borderId="51" xfId="0" applyFont="1" applyBorder="1" applyAlignment="1">
      <alignment horizontal="left" vertical="center" wrapText="1"/>
    </xf>
    <xf numFmtId="0" fontId="52" fillId="0" borderId="84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left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8" xfId="0" applyFont="1" applyFill="1" applyBorder="1" applyAlignment="1">
      <alignment horizontal="center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left" vertical="center" wrapText="1"/>
    </xf>
    <xf numFmtId="0" fontId="50" fillId="0" borderId="84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2" fillId="0" borderId="101" xfId="0" applyFont="1" applyBorder="1" applyAlignment="1" applyProtection="1">
      <alignment horizontal="left" vertical="center" wrapText="1"/>
      <protection locked="0"/>
    </xf>
    <xf numFmtId="0" fontId="52" fillId="0" borderId="56" xfId="0" applyFont="1" applyBorder="1" applyAlignment="1" applyProtection="1">
      <alignment horizontal="center" vertical="center" wrapText="1"/>
      <protection locked="0"/>
    </xf>
    <xf numFmtId="0" fontId="5" fillId="0" borderId="8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left" vertical="center" wrapText="1"/>
      <protection locked="0"/>
    </xf>
    <xf numFmtId="0" fontId="34" fillId="0" borderId="84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33" fillId="0" borderId="61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5" fillId="2" borderId="105" xfId="0" applyFont="1" applyFill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3" fillId="1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vertical="center" wrapText="1"/>
      <protection locked="0"/>
    </xf>
    <xf numFmtId="0" fontId="43" fillId="12" borderId="0" xfId="0" applyFont="1" applyFill="1" applyAlignment="1">
      <alignment horizontal="center" vertical="center" wrapText="1"/>
    </xf>
    <xf numFmtId="0" fontId="54" fillId="2" borderId="53" xfId="11" applyFont="1" applyFill="1" applyBorder="1">
      <alignment vertical="center"/>
    </xf>
    <xf numFmtId="0" fontId="55" fillId="2" borderId="54" xfId="11" applyFont="1" applyFill="1" applyBorder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3" fillId="2" borderId="54" xfId="0" applyFont="1" applyFill="1" applyBorder="1" applyAlignment="1">
      <alignment vertical="center" wrapText="1"/>
    </xf>
    <xf numFmtId="0" fontId="57" fillId="2" borderId="74" xfId="11" applyFont="1" applyFill="1" applyBorder="1">
      <alignment vertical="center"/>
    </xf>
    <xf numFmtId="0" fontId="38" fillId="2" borderId="58" xfId="11" applyFont="1" applyFill="1" applyBorder="1" applyAlignment="1">
      <alignment horizontal="right" vertical="center"/>
    </xf>
    <xf numFmtId="0" fontId="57" fillId="2" borderId="95" xfId="11" applyFont="1" applyFill="1" applyBorder="1">
      <alignment vertical="center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3" fillId="2" borderId="6" xfId="0" applyFont="1" applyFill="1" applyBorder="1" applyAlignment="1">
      <alignment vertical="center" wrapText="1"/>
    </xf>
    <xf numFmtId="0" fontId="57" fillId="2" borderId="85" xfId="11" applyFont="1" applyFill="1" applyBorder="1">
      <alignment vertical="center"/>
    </xf>
    <xf numFmtId="0" fontId="38" fillId="2" borderId="104" xfId="11" applyFont="1" applyFill="1" applyBorder="1" applyAlignment="1">
      <alignment horizontal="right" vertical="center"/>
    </xf>
    <xf numFmtId="0" fontId="57" fillId="2" borderId="96" xfId="11" applyFont="1" applyFill="1" applyBorder="1">
      <alignment vertical="center"/>
    </xf>
    <xf numFmtId="0" fontId="57" fillId="2" borderId="82" xfId="11" applyFont="1" applyFill="1" applyBorder="1">
      <alignment vertical="center"/>
    </xf>
    <xf numFmtId="0" fontId="38" fillId="2" borderId="0" xfId="11" applyFont="1" applyFill="1" applyAlignment="1">
      <alignment horizontal="right" vertical="center"/>
    </xf>
    <xf numFmtId="0" fontId="55" fillId="2" borderId="0" xfId="11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11" applyFont="1" applyFill="1" applyBorder="1">
      <alignment vertical="center"/>
    </xf>
    <xf numFmtId="0" fontId="56" fillId="2" borderId="60" xfId="11" applyFont="1" applyFill="1" applyBorder="1">
      <alignment vertical="center"/>
    </xf>
    <xf numFmtId="0" fontId="56" fillId="7" borderId="61" xfId="0" applyFont="1" applyFill="1" applyBorder="1" applyAlignment="1" applyProtection="1">
      <alignment horizontal="center" vertical="center" wrapText="1"/>
      <protection locked="0"/>
    </xf>
    <xf numFmtId="0" fontId="56" fillId="2" borderId="60" xfId="0" applyFont="1" applyFill="1" applyBorder="1" applyAlignment="1">
      <alignment horizontal="left" vertical="center" wrapText="1"/>
    </xf>
    <xf numFmtId="0" fontId="56" fillId="2" borderId="61" xfId="0" applyFont="1" applyFill="1" applyBorder="1" applyAlignment="1">
      <alignment horizontal="center" vertical="center" wrapText="1"/>
    </xf>
    <xf numFmtId="0" fontId="49" fillId="7" borderId="61" xfId="11" applyFont="1" applyFill="1" applyBorder="1" applyAlignment="1" applyProtection="1">
      <alignment horizontal="center" vertical="center"/>
      <protection locked="0"/>
    </xf>
    <xf numFmtId="49" fontId="49" fillId="2" borderId="61" xfId="0" applyNumberFormat="1" applyFont="1" applyFill="1" applyBorder="1" applyAlignment="1">
      <alignment horizontal="center" vertical="center" wrapText="1"/>
    </xf>
    <xf numFmtId="0" fontId="56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9" fillId="2" borderId="81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3" fillId="2" borderId="97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6" fillId="2" borderId="0" xfId="0" applyFont="1" applyFill="1" applyAlignment="1" applyProtection="1">
      <alignment horizontal="left" vertical="center"/>
      <protection locked="0"/>
    </xf>
    <xf numFmtId="0" fontId="43" fillId="2" borderId="0" xfId="0" applyFont="1" applyFill="1" applyAlignment="1">
      <alignment horizontal="left" vertical="center"/>
    </xf>
    <xf numFmtId="0" fontId="57" fillId="2" borderId="66" xfId="11" applyFont="1" applyFill="1" applyBorder="1">
      <alignment vertical="center"/>
    </xf>
    <xf numFmtId="0" fontId="57" fillId="2" borderId="70" xfId="11" applyFont="1" applyFill="1" applyBorder="1" applyAlignment="1">
      <alignment horizontal="right" vertical="center"/>
    </xf>
    <xf numFmtId="0" fontId="57" fillId="2" borderId="67" xfId="11" applyFont="1" applyFill="1" applyBorder="1" applyAlignment="1">
      <alignment horizontal="center" vertical="center"/>
    </xf>
    <xf numFmtId="0" fontId="56" fillId="2" borderId="101" xfId="0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 wrapText="1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>
      <alignment horizontal="center"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38" fillId="2" borderId="51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center" vertical="center"/>
    </xf>
    <xf numFmtId="0" fontId="56" fillId="2" borderId="84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49" fillId="2" borderId="61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38" fillId="2" borderId="76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left" vertical="center" wrapText="1"/>
    </xf>
    <xf numFmtId="0" fontId="49" fillId="0" borderId="51" xfId="0" applyFont="1" applyBorder="1" applyAlignment="1" applyProtection="1">
      <alignment horizontal="center" vertical="center" wrapText="1"/>
      <protection locked="0"/>
    </xf>
    <xf numFmtId="0" fontId="49" fillId="2" borderId="51" xfId="0" applyFont="1" applyFill="1" applyBorder="1" applyAlignment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8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58" fillId="2" borderId="118" xfId="0" applyFont="1" applyFill="1" applyBorder="1" applyAlignment="1">
      <alignment vertical="center" wrapText="1"/>
    </xf>
    <xf numFmtId="0" fontId="23" fillId="2" borderId="76" xfId="0" applyFont="1" applyFill="1" applyBorder="1" applyAlignment="1">
      <alignment horizontal="center" vertical="center" wrapText="1"/>
    </xf>
    <xf numFmtId="187" fontId="38" fillId="2" borderId="51" xfId="0" applyNumberFormat="1" applyFont="1" applyFill="1" applyBorder="1" applyAlignment="1">
      <alignment horizontal="center" vertical="center" wrapText="1"/>
    </xf>
    <xf numFmtId="0" fontId="58" fillId="2" borderId="51" xfId="0" applyFont="1" applyFill="1" applyBorder="1" applyAlignment="1">
      <alignment vertical="center" wrapText="1"/>
    </xf>
    <xf numFmtId="0" fontId="58" fillId="2" borderId="84" xfId="0" applyFont="1" applyFill="1" applyBorder="1" applyAlignment="1">
      <alignment vertical="center" wrapText="1"/>
    </xf>
    <xf numFmtId="0" fontId="57" fillId="2" borderId="60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80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8" fillId="2" borderId="61" xfId="0" applyFont="1" applyFill="1" applyBorder="1" applyAlignment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9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left"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center" vertical="center" wrapText="1"/>
    </xf>
    <xf numFmtId="0" fontId="55" fillId="2" borderId="58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/>
    </xf>
    <xf numFmtId="0" fontId="60" fillId="2" borderId="3" xfId="0" applyFont="1" applyFill="1" applyBorder="1">
      <alignment vertical="center"/>
    </xf>
    <xf numFmtId="0" fontId="61" fillId="2" borderId="6" xfId="0" applyFont="1" applyFill="1" applyBorder="1">
      <alignment vertical="center"/>
    </xf>
    <xf numFmtId="0" fontId="62" fillId="2" borderId="46" xfId="0" applyFont="1" applyFill="1" applyBorder="1" applyAlignment="1">
      <alignment horizontal="left" vertical="center" wrapText="1"/>
    </xf>
    <xf numFmtId="49" fontId="49" fillId="2" borderId="51" xfId="0" applyNumberFormat="1" applyFont="1" applyFill="1" applyBorder="1" applyAlignment="1">
      <alignment horizontal="center" vertical="center" wrapText="1"/>
    </xf>
    <xf numFmtId="0" fontId="59" fillId="2" borderId="51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62" fillId="2" borderId="98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59" fillId="2" borderId="108" xfId="0" applyFont="1" applyFill="1" applyBorder="1" applyAlignment="1">
      <alignment horizontal="center" vertical="center"/>
    </xf>
    <xf numFmtId="0" fontId="60" fillId="2" borderId="79" xfId="0" applyFont="1" applyFill="1" applyBorder="1">
      <alignment vertical="center"/>
    </xf>
    <xf numFmtId="0" fontId="61" fillId="2" borderId="97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horizontal="center" vertical="center" wrapText="1"/>
      <protection locked="0"/>
    </xf>
    <xf numFmtId="0" fontId="43" fillId="12" borderId="0" xfId="0" applyFont="1" applyFill="1" applyAlignment="1" applyProtection="1">
      <alignment horizontal="left" vertical="center" wrapText="1"/>
      <protection locked="0"/>
    </xf>
    <xf numFmtId="0" fontId="43" fillId="2" borderId="0" xfId="0" applyFont="1" applyFill="1" applyAlignment="1">
      <alignment horizontal="center" vertical="center" wrapText="1"/>
    </xf>
    <xf numFmtId="0" fontId="3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2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6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3" fillId="2" borderId="12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3" fillId="2" borderId="124" xfId="0" applyFont="1" applyFill="1" applyBorder="1" applyAlignment="1">
      <alignment vertical="center" wrapText="1"/>
    </xf>
    <xf numFmtId="0" fontId="3" fillId="2" borderId="97" xfId="0" applyFont="1" applyFill="1" applyBorder="1" applyAlignment="1">
      <alignment horizontal="center" vertical="center" wrapText="1"/>
    </xf>
    <xf numFmtId="0" fontId="43" fillId="2" borderId="96" xfId="0" applyFont="1" applyFill="1" applyBorder="1" applyAlignment="1">
      <alignment vertical="center" wrapText="1"/>
    </xf>
    <xf numFmtId="0" fontId="40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1" fillId="2" borderId="124" xfId="0" applyFont="1" applyFill="1" applyBorder="1">
      <alignment vertical="center"/>
    </xf>
    <xf numFmtId="0" fontId="40" fillId="12" borderId="0" xfId="0" applyFont="1" applyFill="1" applyAlignment="1" applyProtection="1">
      <alignment vertical="center" wrapText="1"/>
      <protection locked="0"/>
    </xf>
    <xf numFmtId="0" fontId="61" fillId="2" borderId="96" xfId="0" applyFont="1" applyFill="1" applyBorder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>
      <alignment horizontal="center" vertical="center" wrapText="1"/>
    </xf>
    <xf numFmtId="0" fontId="3" fillId="2" borderId="110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0" fillId="12" borderId="0" xfId="0" applyFont="1" applyFill="1" applyAlignment="1" applyProtection="1">
      <alignment horizontal="center" vertical="center" wrapText="1"/>
      <protection locked="0"/>
    </xf>
    <xf numFmtId="10" fontId="43" fillId="12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10" fontId="43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20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58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57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 vertical="center" wrapText="1"/>
    </xf>
    <xf numFmtId="0" fontId="64" fillId="2" borderId="126" xfId="0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57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60" xfId="0" applyNumberFormat="1" applyFont="1" applyFill="1" applyBorder="1" applyAlignment="1">
      <alignment horizontal="center" vertical="center" wrapText="1"/>
    </xf>
    <xf numFmtId="10" fontId="64" fillId="2" borderId="61" xfId="0" applyNumberFormat="1" applyFont="1" applyFill="1" applyBorder="1" applyAlignment="1">
      <alignment horizontal="center" vertical="center" wrapText="1"/>
    </xf>
    <xf numFmtId="0" fontId="63" fillId="2" borderId="129" xfId="0" applyFont="1" applyFill="1" applyBorder="1" applyAlignment="1">
      <alignment horizontal="center" vertical="center" wrapText="1"/>
    </xf>
    <xf numFmtId="10" fontId="64" fillId="2" borderId="126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10" fontId="64" fillId="2" borderId="81" xfId="0" applyNumberFormat="1" applyFont="1" applyFill="1" applyBorder="1" applyAlignment="1">
      <alignment horizontal="center" vertical="center" wrapText="1"/>
    </xf>
    <xf numFmtId="10" fontId="64" fillId="13" borderId="57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60" xfId="0" applyNumberFormat="1" applyFont="1" applyFill="1" applyBorder="1" applyAlignment="1">
      <alignment horizontal="center" vertical="center" wrapText="1"/>
    </xf>
    <xf numFmtId="10" fontId="64" fillId="13" borderId="126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8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1" xfId="0" applyNumberFormat="1" applyFont="1" applyFill="1" applyBorder="1" applyAlignment="1">
      <alignment horizontal="center" vertical="center"/>
    </xf>
    <xf numFmtId="0" fontId="63" fillId="2" borderId="92" xfId="0" applyFont="1" applyFill="1" applyBorder="1" applyAlignment="1">
      <alignment horizontal="center" vertical="center" wrapText="1"/>
    </xf>
    <xf numFmtId="10" fontId="63" fillId="2" borderId="60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85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5" fillId="2" borderId="69" xfId="9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61" xfId="0" applyNumberFormat="1" applyFont="1" applyFill="1" applyBorder="1" applyAlignment="1">
      <alignment horizontal="center" vertical="center"/>
    </xf>
    <xf numFmtId="10" fontId="63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3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60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 wrapText="1"/>
    </xf>
    <xf numFmtId="0" fontId="67" fillId="2" borderId="128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9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69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9" fillId="2" borderId="135" xfId="0" applyFont="1" applyFill="1" applyBorder="1">
      <alignment vertical="center"/>
    </xf>
    <xf numFmtId="0" fontId="67" fillId="2" borderId="136" xfId="0" applyFont="1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/>
    </xf>
    <xf numFmtId="0" fontId="70" fillId="2" borderId="54" xfId="0" applyFont="1" applyFill="1" applyBorder="1">
      <alignment vertical="center"/>
    </xf>
    <xf numFmtId="0" fontId="71" fillId="2" borderId="5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74" xfId="0" applyFont="1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1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>
      <alignment horizontal="center" vertical="center" wrapText="1"/>
    </xf>
    <xf numFmtId="0" fontId="72" fillId="2" borderId="74" xfId="11" applyFont="1" applyFill="1" applyBorder="1">
      <alignment vertical="center"/>
    </xf>
    <xf numFmtId="0" fontId="57" fillId="2" borderId="54" xfId="11" applyFont="1" applyFill="1" applyBorder="1">
      <alignment vertical="center"/>
    </xf>
    <xf numFmtId="0" fontId="1" fillId="2" borderId="0" xfId="0" applyFont="1" applyFill="1" applyAlignment="1">
      <alignment vertical="center" wrapText="1"/>
    </xf>
    <xf numFmtId="0" fontId="57" fillId="2" borderId="2" xfId="11" applyFont="1" applyFill="1" applyBorder="1">
      <alignment vertical="center"/>
    </xf>
    <xf numFmtId="49" fontId="73" fillId="2" borderId="2" xfId="0" applyNumberFormat="1" applyFont="1" applyFill="1" applyBorder="1" applyAlignment="1">
      <alignment horizontal="center" vertical="center" wrapText="1"/>
    </xf>
    <xf numFmtId="0" fontId="57" fillId="2" borderId="3" xfId="11" applyFont="1" applyFill="1" applyBorder="1">
      <alignment vertical="center"/>
    </xf>
    <xf numFmtId="0" fontId="38" fillId="2" borderId="3" xfId="11" applyFont="1" applyFill="1" applyBorder="1" applyAlignment="1">
      <alignment horizontal="right" vertical="center"/>
    </xf>
    <xf numFmtId="0" fontId="57" fillId="2" borderId="6" xfId="11" applyFont="1" applyFill="1" applyBorder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57" fillId="2" borderId="45" xfId="11" applyFont="1" applyFill="1" applyBorder="1">
      <alignment vertical="center"/>
    </xf>
    <xf numFmtId="0" fontId="38" fillId="2" borderId="82" xfId="11" applyFont="1" applyFill="1" applyBorder="1" applyAlignment="1">
      <alignment horizontal="right" vertical="center"/>
    </xf>
    <xf numFmtId="0" fontId="1" fillId="7" borderId="2" xfId="0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57" fillId="2" borderId="46" xfId="11" applyFont="1" applyFill="1" applyBorder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38" fillId="2" borderId="16" xfId="0" applyFont="1" applyFill="1" applyBorder="1" applyAlignment="1">
      <alignment vertical="center" wrapText="1"/>
    </xf>
    <xf numFmtId="0" fontId="57" fillId="2" borderId="126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left" vertical="center" wrapText="1"/>
    </xf>
    <xf numFmtId="0" fontId="74" fillId="2" borderId="101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6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75" fillId="2" borderId="2" xfId="0" applyFont="1" applyFill="1" applyBorder="1" applyAlignment="1">
      <alignment horizontal="center" vertical="center"/>
    </xf>
    <xf numFmtId="0" fontId="57" fillId="2" borderId="3" xfId="0" applyFont="1" applyFill="1" applyBorder="1">
      <alignment vertical="center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8" fillId="0" borderId="108" xfId="0" applyFont="1" applyBorder="1" applyAlignment="1" applyProtection="1">
      <alignment horizontal="center" vertical="center" wrapText="1"/>
      <protection locked="0"/>
    </xf>
    <xf numFmtId="0" fontId="76" fillId="2" borderId="108" xfId="0" applyFont="1" applyFill="1" applyBorder="1" applyAlignment="1">
      <alignment horizontal="left" vertical="center"/>
    </xf>
    <xf numFmtId="0" fontId="76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0" fontId="57" fillId="2" borderId="102" xfId="0" applyFont="1" applyFill="1" applyBorder="1" applyAlignment="1">
      <alignment horizontal="left" vertical="center" wrapText="1"/>
    </xf>
    <xf numFmtId="187" fontId="38" fillId="2" borderId="82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14" fontId="49" fillId="2" borderId="86" xfId="0" applyNumberFormat="1" applyFont="1" applyFill="1" applyBorder="1" applyAlignment="1">
      <alignment horizontal="center" vertical="center" wrapText="1"/>
    </xf>
    <xf numFmtId="0" fontId="49" fillId="2" borderId="144" xfId="0" applyFont="1" applyFill="1" applyBorder="1" applyAlignment="1">
      <alignment horizontal="center" vertical="center" wrapText="1"/>
    </xf>
    <xf numFmtId="0" fontId="56" fillId="2" borderId="89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0" fontId="57" fillId="2" borderId="68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7" fontId="38" fillId="2" borderId="71" xfId="0" applyNumberFormat="1" applyFont="1" applyFill="1" applyBorder="1" applyAlignment="1">
      <alignment horizontal="center" vertical="center" wrapText="1"/>
    </xf>
    <xf numFmtId="0" fontId="56" fillId="2" borderId="145" xfId="0" applyFont="1" applyFill="1" applyBorder="1" applyAlignment="1">
      <alignment horizontal="center" vertical="center" wrapText="1"/>
    </xf>
    <xf numFmtId="180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9" fillId="2" borderId="71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0" fontId="56" fillId="7" borderId="101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183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3" fontId="49" fillId="2" borderId="46" xfId="0" applyNumberFormat="1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left" vertical="center" wrapText="1"/>
    </xf>
    <xf numFmtId="0" fontId="49" fillId="2" borderId="99" xfId="0" applyFont="1" applyFill="1" applyBorder="1" applyAlignment="1">
      <alignment horizontal="center" vertical="center" wrapText="1"/>
    </xf>
    <xf numFmtId="183" fontId="49" fillId="2" borderId="98" xfId="0" applyNumberFormat="1" applyFont="1" applyFill="1" applyBorder="1" applyAlignment="1">
      <alignment horizontal="center" vertical="center" wrapText="1"/>
    </xf>
    <xf numFmtId="183" fontId="49" fillId="2" borderId="99" xfId="0" applyNumberFormat="1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187" fontId="38" fillId="2" borderId="99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56" fillId="2" borderId="99" xfId="0" applyFont="1" applyFill="1" applyBorder="1" applyAlignment="1">
      <alignment vertical="center" wrapText="1"/>
    </xf>
    <xf numFmtId="0" fontId="38" fillId="0" borderId="130" xfId="0" applyFont="1" applyBorder="1" applyAlignment="1" applyProtection="1">
      <alignment horizontal="center" vertical="center" wrapText="1"/>
      <protection locked="0"/>
    </xf>
    <xf numFmtId="0" fontId="77" fillId="2" borderId="67" xfId="0" applyFont="1" applyFill="1" applyBorder="1" applyAlignment="1">
      <alignment vertical="center" wrapText="1"/>
    </xf>
    <xf numFmtId="0" fontId="56" fillId="2" borderId="145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70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left" vertical="center" wrapText="1"/>
    </xf>
    <xf numFmtId="0" fontId="38" fillId="2" borderId="101" xfId="0" applyFont="1" applyFill="1" applyBorder="1" applyAlignment="1">
      <alignment horizontal="center" vertical="center" wrapText="1"/>
    </xf>
    <xf numFmtId="0" fontId="57" fillId="2" borderId="101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78" fillId="2" borderId="3" xfId="0" applyFont="1" applyFill="1" applyBorder="1">
      <alignment vertical="center"/>
    </xf>
    <xf numFmtId="0" fontId="79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78" fillId="2" borderId="52" xfId="0" applyFont="1" applyFill="1" applyBorder="1">
      <alignment vertical="center"/>
    </xf>
    <xf numFmtId="0" fontId="62" fillId="2" borderId="89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7" fillId="2" borderId="85" xfId="0" applyFont="1" applyFill="1" applyBorder="1" applyAlignment="1" applyProtection="1">
      <alignment horizontal="center" vertical="center" wrapText="1"/>
      <protection locked="0"/>
    </xf>
    <xf numFmtId="0" fontId="56" fillId="2" borderId="126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>
      <alignment horizontal="center" vertical="center" wrapText="1"/>
    </xf>
    <xf numFmtId="10" fontId="3" fillId="2" borderId="61" xfId="0" applyNumberFormat="1" applyFont="1" applyFill="1" applyBorder="1" applyAlignment="1">
      <alignment horizontal="center" vertical="center" wrapText="1"/>
    </xf>
    <xf numFmtId="10" fontId="5" fillId="0" borderId="46" xfId="0" applyNumberFormat="1" applyFont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>
      <alignment horizontal="center" vertical="center" wrapText="1"/>
    </xf>
    <xf numFmtId="10" fontId="5" fillId="0" borderId="126" xfId="0" applyNumberFormat="1" applyFont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>
      <alignment vertical="center"/>
    </xf>
    <xf numFmtId="187" fontId="0" fillId="2" borderId="0" xfId="0" applyNumberFormat="1" applyFill="1" applyAlignment="1">
      <alignment horizontal="center" vertical="center" wrapText="1"/>
    </xf>
    <xf numFmtId="0" fontId="80" fillId="2" borderId="74" xfId="0" applyFont="1" applyFill="1" applyBorder="1">
      <alignment vertical="center"/>
    </xf>
    <xf numFmtId="187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80" fillId="2" borderId="94" xfId="0" applyFont="1" applyFill="1" applyBorder="1">
      <alignment vertical="center"/>
    </xf>
    <xf numFmtId="0" fontId="80" fillId="2" borderId="95" xfId="0" applyFont="1" applyFill="1" applyBorder="1" applyAlignment="1">
      <alignment horizontal="center" vertical="center"/>
    </xf>
    <xf numFmtId="0" fontId="63" fillId="2" borderId="60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81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>
      <alignment horizontal="center" vertical="center" wrapText="1"/>
    </xf>
    <xf numFmtId="10" fontId="3" fillId="2" borderId="64" xfId="0" applyNumberFormat="1" applyFont="1" applyFill="1" applyBorder="1" applyAlignment="1">
      <alignment horizontal="center" vertical="center" wrapText="1"/>
    </xf>
    <xf numFmtId="188" fontId="5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vertical="center" wrapText="1"/>
    </xf>
    <xf numFmtId="0" fontId="82" fillId="0" borderId="2" xfId="0" applyFont="1" applyBorder="1" applyAlignment="1" applyProtection="1">
      <alignment horizontal="center" vertical="center" wrapText="1"/>
      <protection locked="0"/>
    </xf>
    <xf numFmtId="0" fontId="82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83" fillId="2" borderId="94" xfId="0" applyFont="1" applyFill="1" applyBorder="1">
      <alignment vertical="center"/>
    </xf>
    <xf numFmtId="0" fontId="83" fillId="2" borderId="95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3" fillId="2" borderId="61" xfId="0" applyFont="1" applyFill="1" applyBorder="1" applyAlignment="1">
      <alignment horizontal="center" vertical="center" wrapText="1"/>
    </xf>
    <xf numFmtId="0" fontId="63" fillId="2" borderId="44" xfId="0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4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80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71" xfId="0" applyFont="1" applyFill="1" applyBorder="1" applyAlignment="1">
      <alignment vertical="center" wrapText="1"/>
    </xf>
    <xf numFmtId="0" fontId="56" fillId="2" borderId="93" xfId="0" applyFont="1" applyFill="1" applyBorder="1" applyAlignment="1">
      <alignment vertical="center" wrapText="1"/>
    </xf>
    <xf numFmtId="0" fontId="56" fillId="2" borderId="73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61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93" xfId="0" applyFont="1" applyFill="1" applyBorder="1" applyAlignment="1">
      <alignment vertical="center" wrapText="1"/>
    </xf>
    <xf numFmtId="0" fontId="79" fillId="2" borderId="124" xfId="0" applyFont="1" applyFill="1" applyBorder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>
      <alignment horizontal="center" vertical="center" wrapText="1"/>
    </xf>
    <xf numFmtId="0" fontId="63" fillId="2" borderId="108" xfId="0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right" vertical="center"/>
    </xf>
    <xf numFmtId="0" fontId="0" fillId="2" borderId="100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6" fontId="0" fillId="2" borderId="101" xfId="0" applyNumberFormat="1" applyFill="1" applyBorder="1" applyAlignment="1">
      <alignment horizontal="center" vertical="center"/>
    </xf>
    <xf numFmtId="176" fontId="0" fillId="2" borderId="58" xfId="0" applyNumberForma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6" fontId="0" fillId="2" borderId="79" xfId="0" applyNumberFormat="1" applyFill="1" applyBorder="1" applyAlignment="1">
      <alignment horizontal="center" vertical="center"/>
    </xf>
    <xf numFmtId="183" fontId="0" fillId="0" borderId="0" xfId="0" applyNumberFormat="1">
      <alignment vertical="center"/>
    </xf>
    <xf numFmtId="183" fontId="84" fillId="0" borderId="32" xfId="9" applyNumberFormat="1" applyFont="1" applyBorder="1">
      <alignment vertical="center"/>
    </xf>
    <xf numFmtId="0" fontId="84" fillId="0" borderId="32" xfId="9" applyFont="1" applyBorder="1">
      <alignment vertical="center"/>
    </xf>
    <xf numFmtId="183" fontId="65" fillId="2" borderId="2" xfId="9" applyNumberFormat="1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 wrapText="1"/>
    </xf>
    <xf numFmtId="0" fontId="85" fillId="2" borderId="2" xfId="9" applyFont="1" applyFill="1" applyBorder="1" applyAlignment="1">
      <alignment horizontal="center" vertical="center"/>
    </xf>
    <xf numFmtId="183" fontId="65" fillId="2" borderId="2" xfId="9" applyNumberFormat="1" applyFont="1" applyFill="1" applyBorder="1" applyAlignment="1">
      <alignment horizontal="center" vertical="center" wrapText="1"/>
    </xf>
    <xf numFmtId="0" fontId="65" fillId="2" borderId="102" xfId="9" applyFont="1" applyFill="1" applyBorder="1" applyAlignment="1">
      <alignment horizontal="center" vertical="center"/>
    </xf>
    <xf numFmtId="176" fontId="0" fillId="2" borderId="108" xfId="0" applyNumberForma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1" xfId="0" applyFont="1" applyFill="1" applyBorder="1" applyAlignment="1">
      <alignment horizontal="center" vertical="center" wrapText="1"/>
    </xf>
    <xf numFmtId="0" fontId="63" fillId="2" borderId="63" xfId="0" applyFont="1" applyFill="1" applyBorder="1" applyAlignment="1">
      <alignment horizontal="center" vertical="center" wrapText="1"/>
    </xf>
    <xf numFmtId="0" fontId="86" fillId="2" borderId="32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0" xfId="0" applyFont="1" applyFill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2" borderId="0" xfId="0" applyFont="1" applyFill="1">
      <alignment vertical="center"/>
    </xf>
    <xf numFmtId="0" fontId="63" fillId="2" borderId="0" xfId="0" applyFont="1" applyFill="1" applyAlignment="1">
      <alignment horizontal="center" vertical="center"/>
    </xf>
    <xf numFmtId="0" fontId="63" fillId="0" borderId="30" xfId="0" applyFont="1" applyBorder="1">
      <alignment vertical="center"/>
    </xf>
    <xf numFmtId="0" fontId="63" fillId="0" borderId="0" xfId="0" applyFont="1">
      <alignment vertical="center"/>
    </xf>
    <xf numFmtId="0" fontId="63" fillId="2" borderId="52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vertical="center" wrapText="1"/>
    </xf>
    <xf numFmtId="0" fontId="63" fillId="2" borderId="77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horizontal="center"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176" fontId="0" fillId="2" borderId="56" xfId="0" applyNumberFormat="1" applyFill="1" applyBorder="1" applyAlignment="1">
      <alignment horizontal="center" vertical="center"/>
    </xf>
    <xf numFmtId="176" fontId="0" fillId="2" borderId="61" xfId="0" applyNumberFormat="1" applyFill="1" applyBorder="1" applyAlignment="1">
      <alignment horizontal="center" vertical="center"/>
    </xf>
    <xf numFmtId="176" fontId="0" fillId="2" borderId="81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63" fillId="2" borderId="64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9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0" fillId="2" borderId="59" xfId="0" applyFont="1" applyFill="1" applyBorder="1">
      <alignment vertical="center"/>
    </xf>
    <xf numFmtId="0" fontId="71" fillId="2" borderId="108" xfId="0" applyFont="1" applyFill="1" applyBorder="1" applyAlignment="1">
      <alignment horizontal="center" vertical="center"/>
    </xf>
    <xf numFmtId="0" fontId="71" fillId="2" borderId="79" xfId="0" applyFont="1" applyFill="1" applyBorder="1" applyAlignment="1">
      <alignment horizontal="center" vertical="center"/>
    </xf>
    <xf numFmtId="0" fontId="89" fillId="2" borderId="72" xfId="0" applyFont="1" applyFill="1" applyBorder="1" applyAlignment="1">
      <alignment vertical="center" wrapText="1"/>
    </xf>
    <xf numFmtId="0" fontId="89" fillId="2" borderId="101" xfId="0" applyFont="1" applyFill="1" applyBorder="1" applyAlignment="1">
      <alignment horizontal="center" vertical="center" wrapText="1"/>
    </xf>
    <xf numFmtId="0" fontId="89" fillId="2" borderId="58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58" xfId="0" applyFont="1" applyFill="1" applyBorder="1">
      <alignment vertical="center"/>
    </xf>
    <xf numFmtId="0" fontId="89" fillId="2" borderId="2" xfId="0" applyFont="1" applyFill="1" applyBorder="1" applyAlignment="1">
      <alignment horizontal="center" vertical="center" wrapText="1"/>
    </xf>
    <xf numFmtId="0" fontId="89" fillId="2" borderId="52" xfId="0" applyFont="1" applyFill="1" applyBorder="1" applyAlignment="1">
      <alignment horizontal="center" vertical="center" wrapText="1"/>
    </xf>
    <xf numFmtId="0" fontId="90" fillId="2" borderId="60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89" fillId="2" borderId="99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8" fillId="2" borderId="79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9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89" fillId="2" borderId="68" xfId="0" applyFont="1" applyFill="1" applyBorder="1" applyAlignment="1">
      <alignment vertical="center" wrapText="1"/>
    </xf>
    <xf numFmtId="0" fontId="92" fillId="2" borderId="0" xfId="0" applyFont="1" applyFill="1">
      <alignment vertical="center"/>
    </xf>
    <xf numFmtId="0" fontId="89" fillId="2" borderId="79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/>
    </xf>
    <xf numFmtId="0" fontId="89" fillId="2" borderId="60" xfId="0" applyFont="1" applyFill="1" applyBorder="1" applyAlignment="1">
      <alignment horizontal="center" vertical="center" wrapText="1"/>
    </xf>
    <xf numFmtId="0" fontId="0" fillId="2" borderId="58" xfId="0" applyFill="1" applyBorder="1">
      <alignment vertical="center"/>
    </xf>
    <xf numFmtId="0" fontId="71" fillId="2" borderId="86" xfId="0" applyFont="1" applyFill="1" applyBorder="1" applyAlignment="1">
      <alignment horizontal="center" vertical="center"/>
    </xf>
    <xf numFmtId="0" fontId="71" fillId="2" borderId="72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9" fillId="2" borderId="75" xfId="0" applyFont="1" applyFill="1" applyBorder="1" applyAlignment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74" xfId="11" applyFont="1" applyFill="1" applyBorder="1">
      <alignment vertical="center"/>
    </xf>
    <xf numFmtId="0" fontId="57" fillId="2" borderId="94" xfId="11" applyFont="1" applyFill="1" applyBorder="1">
      <alignment vertical="center"/>
    </xf>
    <xf numFmtId="0" fontId="38" fillId="2" borderId="44" xfId="11" applyFont="1" applyFill="1" applyBorder="1" applyAlignment="1">
      <alignment horizontal="right" vertical="center"/>
    </xf>
    <xf numFmtId="0" fontId="1" fillId="2" borderId="46" xfId="0" applyFont="1" applyFill="1" applyBorder="1" applyAlignment="1">
      <alignment horizontal="left" vertical="center" wrapText="1"/>
    </xf>
    <xf numFmtId="0" fontId="57" fillId="2" borderId="44" xfId="11" applyFont="1" applyFill="1" applyBorder="1">
      <alignment vertical="center"/>
    </xf>
    <xf numFmtId="0" fontId="76" fillId="2" borderId="44" xfId="0" applyFont="1" applyFill="1" applyBorder="1" applyAlignment="1">
      <alignment horizontal="center" vertical="center" wrapText="1"/>
    </xf>
    <xf numFmtId="0" fontId="76" fillId="2" borderId="44" xfId="0" applyFont="1" applyFill="1" applyBorder="1" applyAlignment="1">
      <alignment horizontal="left" vertical="center" wrapText="1"/>
    </xf>
    <xf numFmtId="0" fontId="39" fillId="2" borderId="30" xfId="0" applyFont="1" applyFill="1" applyBorder="1" applyAlignment="1">
      <alignment horizontal="center" vertical="center"/>
    </xf>
    <xf numFmtId="0" fontId="93" fillId="2" borderId="30" xfId="0" applyFont="1" applyFill="1" applyBorder="1" applyAlignment="1">
      <alignment horizontal="center" vertical="center"/>
    </xf>
    <xf numFmtId="0" fontId="76" fillId="2" borderId="30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94" fillId="2" borderId="68" xfId="0" applyFont="1" applyFill="1" applyBorder="1" applyAlignment="1">
      <alignment horizontal="center" vertical="center" wrapText="1"/>
    </xf>
    <xf numFmtId="0" fontId="94" fillId="2" borderId="67" xfId="0" applyFont="1" applyFill="1" applyBorder="1" applyAlignment="1">
      <alignment horizontal="left" vertical="center" wrapText="1"/>
    </xf>
    <xf numFmtId="0" fontId="73" fillId="2" borderId="71" xfId="0" applyFont="1" applyFill="1" applyBorder="1" applyAlignment="1">
      <alignment horizontal="center" vertical="center"/>
    </xf>
    <xf numFmtId="0" fontId="95" fillId="2" borderId="71" xfId="0" applyFont="1" applyFill="1" applyBorder="1">
      <alignment vertical="center"/>
    </xf>
    <xf numFmtId="0" fontId="94" fillId="2" borderId="67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vertical="center" wrapText="1"/>
    </xf>
    <xf numFmtId="0" fontId="94" fillId="2" borderId="101" xfId="0" applyFont="1" applyFill="1" applyBorder="1" applyAlignment="1">
      <alignment horizontal="left" vertical="center" wrapText="1"/>
    </xf>
    <xf numFmtId="0" fontId="73" fillId="2" borderId="58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0" fontId="3" fillId="0" borderId="101" xfId="0" applyFont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1" fillId="2" borderId="6" xfId="0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>
      <alignment vertical="center"/>
    </xf>
    <xf numFmtId="0" fontId="1" fillId="2" borderId="30" xfId="0" applyFont="1" applyFill="1" applyBorder="1" applyAlignment="1">
      <alignment vertical="center" wrapText="1"/>
    </xf>
    <xf numFmtId="0" fontId="94" fillId="2" borderId="100" xfId="0" applyFont="1" applyFill="1" applyBorder="1" applyAlignment="1">
      <alignment horizontal="left" vertical="center" wrapText="1"/>
    </xf>
    <xf numFmtId="0" fontId="1" fillId="2" borderId="58" xfId="0" applyFont="1" applyFill="1" applyBorder="1">
      <alignment vertical="center"/>
    </xf>
    <xf numFmtId="0" fontId="1" fillId="2" borderId="94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vertical="center" wrapText="1"/>
    </xf>
    <xf numFmtId="0" fontId="63" fillId="2" borderId="44" xfId="0" applyFont="1" applyFill="1" applyBorder="1" applyAlignment="1">
      <alignment horizontal="left" vertical="center" wrapText="1"/>
    </xf>
    <xf numFmtId="0" fontId="63" fillId="2" borderId="51" xfId="0" applyFont="1" applyFill="1" applyBorder="1" applyAlignment="1">
      <alignment horizontal="center" vertical="center" wrapText="1"/>
    </xf>
    <xf numFmtId="0" fontId="96" fillId="2" borderId="5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63" fillId="2" borderId="51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>
      <alignment vertical="center"/>
    </xf>
    <xf numFmtId="0" fontId="63" fillId="2" borderId="99" xfId="0" applyFont="1" applyFill="1" applyBorder="1" applyAlignment="1">
      <alignment horizontal="left" vertical="center" wrapText="1"/>
    </xf>
    <xf numFmtId="0" fontId="3" fillId="2" borderId="108" xfId="0" applyFont="1" applyFill="1" applyBorder="1" applyAlignment="1">
      <alignment horizontal="center" vertical="center" wrapText="1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1" fillId="2" borderId="87" xfId="0" applyFont="1" applyFill="1" applyBorder="1" applyAlignment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>
      <alignment horizontal="left" vertical="center"/>
    </xf>
    <xf numFmtId="0" fontId="3" fillId="2" borderId="104" xfId="0" applyFont="1" applyFill="1" applyBorder="1" applyAlignment="1">
      <alignment horizontal="center" vertical="center" wrapText="1"/>
    </xf>
    <xf numFmtId="0" fontId="1" fillId="2" borderId="108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>
      <alignment horizontal="center" vertical="center" wrapText="1"/>
    </xf>
    <xf numFmtId="0" fontId="3" fillId="2" borderId="99" xfId="0" applyFont="1" applyFill="1" applyBorder="1" applyAlignment="1">
      <alignment horizontal="center" vertical="center" wrapText="1"/>
    </xf>
    <xf numFmtId="0" fontId="76" fillId="2" borderId="78" xfId="0" applyFont="1" applyFill="1" applyBorder="1" applyAlignment="1">
      <alignment horizontal="center" vertical="center" wrapText="1"/>
    </xf>
    <xf numFmtId="0" fontId="76" fillId="2" borderId="99" xfId="0" applyFont="1" applyFill="1" applyBorder="1" applyAlignment="1">
      <alignment horizontal="left" vertical="center" wrapText="1"/>
    </xf>
    <xf numFmtId="0" fontId="39" fillId="2" borderId="104" xfId="0" applyFont="1" applyFill="1" applyBorder="1" applyAlignment="1">
      <alignment horizontal="center" vertical="center" wrapText="1"/>
    </xf>
    <xf numFmtId="0" fontId="1" fillId="2" borderId="104" xfId="0" applyFont="1" applyFill="1" applyBorder="1">
      <alignment vertical="center"/>
    </xf>
    <xf numFmtId="0" fontId="76" fillId="2" borderId="16" xfId="0" applyFont="1" applyFill="1" applyBorder="1" applyAlignment="1">
      <alignment horizontal="center" vertical="center" wrapText="1"/>
    </xf>
    <xf numFmtId="0" fontId="76" fillId="2" borderId="68" xfId="0" applyFont="1" applyFill="1" applyBorder="1" applyAlignment="1">
      <alignment horizontal="center" vertical="center" wrapText="1"/>
    </xf>
    <xf numFmtId="0" fontId="76" fillId="2" borderId="130" xfId="0" applyFont="1" applyFill="1" applyBorder="1" applyAlignment="1">
      <alignment horizontal="left" vertical="center" wrapText="1"/>
    </xf>
    <xf numFmtId="187" fontId="39" fillId="2" borderId="71" xfId="0" applyNumberFormat="1" applyFont="1" applyFill="1" applyBorder="1" applyAlignment="1">
      <alignment horizontal="center" vertical="center" wrapText="1"/>
    </xf>
    <xf numFmtId="0" fontId="4" fillId="2" borderId="145" xfId="0" applyFont="1" applyFill="1" applyBorder="1" applyAlignment="1">
      <alignment horizontal="center" vertical="center" wrapText="1"/>
    </xf>
    <xf numFmtId="14" fontId="5" fillId="2" borderId="71" xfId="0" applyNumberFormat="1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14" fontId="5" fillId="2" borderId="67" xfId="0" applyNumberFormat="1" applyFont="1" applyFill="1" applyBorder="1" applyAlignment="1">
      <alignment horizontal="center" vertical="center" wrapText="1"/>
    </xf>
    <xf numFmtId="0" fontId="76" fillId="2" borderId="72" xfId="0" applyFont="1" applyFill="1" applyBorder="1" applyAlignment="1">
      <alignment horizontal="center" vertical="center" wrapText="1"/>
    </xf>
    <xf numFmtId="0" fontId="76" fillId="2" borderId="100" xfId="0" applyFont="1" applyFill="1" applyBorder="1" applyAlignment="1">
      <alignment horizontal="left" vertical="center" wrapText="1"/>
    </xf>
    <xf numFmtId="187" fontId="39" fillId="2" borderId="86" xfId="0" applyNumberFormat="1" applyFont="1" applyFill="1" applyBorder="1" applyAlignment="1">
      <alignment horizontal="center" vertical="center" wrapText="1"/>
    </xf>
    <xf numFmtId="0" fontId="1" fillId="2" borderId="145" xfId="0" applyFont="1" applyFill="1" applyBorder="1" applyAlignment="1">
      <alignment horizontal="center" vertical="center" wrapText="1"/>
    </xf>
    <xf numFmtId="180" fontId="3" fillId="2" borderId="146" xfId="0" applyNumberFormat="1" applyFont="1" applyFill="1" applyBorder="1" applyAlignment="1">
      <alignment horizontal="center" vertical="center" wrapText="1"/>
    </xf>
    <xf numFmtId="180" fontId="2" fillId="2" borderId="86" xfId="0" applyNumberFormat="1" applyFont="1" applyFill="1" applyBorder="1" applyAlignment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6" fillId="2" borderId="55" xfId="0" applyFont="1" applyFill="1" applyBorder="1" applyAlignment="1">
      <alignment horizontal="center" vertical="center" wrapText="1"/>
    </xf>
    <xf numFmtId="0" fontId="76" fillId="7" borderId="101" xfId="0" applyFont="1" applyFill="1" applyBorder="1" applyAlignment="1" applyProtection="1">
      <alignment horizontal="left" vertical="center" wrapText="1"/>
      <protection locked="0"/>
    </xf>
    <xf numFmtId="0" fontId="4" fillId="2" borderId="54" xfId="0" applyFont="1" applyFill="1" applyBorder="1" applyAlignment="1">
      <alignment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83" fontId="5" fillId="2" borderId="152" xfId="0" applyNumberFormat="1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183" fontId="5" fillId="2" borderId="46" xfId="0" applyNumberFormat="1" applyFont="1" applyFill="1" applyBorder="1" applyAlignment="1">
      <alignment horizontal="center" vertical="center" wrapText="1"/>
    </xf>
    <xf numFmtId="0" fontId="39" fillId="2" borderId="51" xfId="0" applyFont="1" applyFill="1" applyBorder="1" applyAlignment="1">
      <alignment horizontal="center" vertical="center" wrapText="1"/>
    </xf>
    <xf numFmtId="187" fontId="1" fillId="2" borderId="102" xfId="0" applyNumberFormat="1" applyFont="1" applyFill="1" applyBorder="1" applyAlignment="1">
      <alignment horizontal="center" vertical="center" wrapText="1"/>
    </xf>
    <xf numFmtId="187" fontId="1" fillId="2" borderId="82" xfId="0" applyNumberFormat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vertical="center" wrapText="1"/>
    </xf>
    <xf numFmtId="0" fontId="76" fillId="2" borderId="111" xfId="0" applyFont="1" applyFill="1" applyBorder="1" applyAlignment="1">
      <alignment horizontal="center" vertical="center" wrapText="1"/>
    </xf>
    <xf numFmtId="0" fontId="76" fillId="2" borderId="108" xfId="0" applyFont="1" applyFill="1" applyBorder="1" applyAlignment="1">
      <alignment horizontal="left" vertical="center" wrapText="1"/>
    </xf>
    <xf numFmtId="187" fontId="39" fillId="2" borderId="108" xfId="0" applyNumberFormat="1" applyFont="1" applyFill="1" applyBorder="1" applyAlignment="1">
      <alignment horizontal="center" vertical="center" wrapText="1"/>
    </xf>
    <xf numFmtId="0" fontId="1" fillId="2" borderId="97" xfId="0" applyFont="1" applyFill="1" applyBorder="1">
      <alignment vertical="center"/>
    </xf>
    <xf numFmtId="0" fontId="4" fillId="2" borderId="108" xfId="0" applyFont="1" applyFill="1" applyBorder="1" applyAlignment="1">
      <alignment vertical="center" wrapText="1"/>
    </xf>
    <xf numFmtId="0" fontId="76" fillId="2" borderId="58" xfId="0" applyFont="1" applyFill="1" applyBorder="1" applyAlignment="1">
      <alignment horizontal="left" vertical="center" wrapText="1"/>
    </xf>
    <xf numFmtId="0" fontId="94" fillId="2" borderId="94" xfId="0" applyFont="1" applyFill="1" applyBorder="1" applyAlignment="1">
      <alignment horizontal="center" vertical="center" wrapText="1"/>
    </xf>
    <xf numFmtId="0" fontId="94" fillId="2" borderId="54" xfId="0" applyFont="1" applyFill="1" applyBorder="1" applyAlignment="1">
      <alignment vertical="center" wrapText="1"/>
    </xf>
    <xf numFmtId="0" fontId="76" fillId="2" borderId="75" xfId="0" applyFont="1" applyFill="1" applyBorder="1" applyAlignment="1">
      <alignment horizontal="center" vertical="center" wrapText="1"/>
    </xf>
    <xf numFmtId="0" fontId="73" fillId="2" borderId="2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73" fillId="2" borderId="102" xfId="0" applyFont="1" applyFill="1" applyBorder="1" applyAlignment="1">
      <alignment horizontal="center" vertical="center" wrapText="1"/>
    </xf>
    <xf numFmtId="0" fontId="1" fillId="2" borderId="10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94" fillId="2" borderId="57" xfId="0" applyFont="1" applyFill="1" applyBorder="1" applyAlignment="1">
      <alignment vertical="center" wrapText="1"/>
    </xf>
    <xf numFmtId="0" fontId="76" fillId="2" borderId="101" xfId="0" applyFont="1" applyFill="1" applyBorder="1" applyAlignment="1">
      <alignment horizontal="center" vertical="center" wrapText="1"/>
    </xf>
    <xf numFmtId="0" fontId="76" fillId="2" borderId="58" xfId="0" applyFont="1" applyFill="1" applyBorder="1" applyAlignment="1">
      <alignment horizontal="center" vertical="center" wrapText="1"/>
    </xf>
    <xf numFmtId="0" fontId="94" fillId="2" borderId="5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94" fillId="2" borderId="78" xfId="0" applyFont="1" applyFill="1" applyBorder="1" applyAlignment="1">
      <alignment vertical="center" wrapText="1"/>
    </xf>
    <xf numFmtId="0" fontId="1" fillId="2" borderId="126" xfId="0" applyFont="1" applyFill="1" applyBorder="1" applyAlignment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>
      <alignment vertical="center"/>
    </xf>
    <xf numFmtId="0" fontId="1" fillId="2" borderId="97" xfId="0" applyFont="1" applyFill="1" applyBorder="1" applyAlignment="1">
      <alignment vertical="center" wrapText="1"/>
    </xf>
    <xf numFmtId="0" fontId="94" fillId="2" borderId="72" xfId="0" applyFont="1" applyFill="1" applyBorder="1" applyAlignment="1">
      <alignment vertical="center" wrapText="1"/>
    </xf>
    <xf numFmtId="0" fontId="98" fillId="2" borderId="87" xfId="7" applyFont="1" applyFill="1" applyBorder="1" applyAlignment="1">
      <alignment horizontal="left" vertical="center" wrapText="1"/>
    </xf>
    <xf numFmtId="0" fontId="1" fillId="2" borderId="94" xfId="0" applyFont="1" applyFill="1" applyBorder="1">
      <alignment vertical="center"/>
    </xf>
    <xf numFmtId="0" fontId="94" fillId="2" borderId="77" xfId="0" applyFont="1" applyFill="1" applyBorder="1" applyAlignment="1">
      <alignment vertical="center" wrapText="1"/>
    </xf>
    <xf numFmtId="0" fontId="76" fillId="2" borderId="46" xfId="0" applyFont="1" applyFill="1" applyBorder="1" applyAlignment="1">
      <alignment horizontal="center" vertical="center" wrapText="1"/>
    </xf>
    <xf numFmtId="0" fontId="76" fillId="2" borderId="2" xfId="0" applyFont="1" applyFill="1" applyBorder="1" applyAlignment="1">
      <alignment horizontal="center" vertical="center" wrapText="1"/>
    </xf>
    <xf numFmtId="0" fontId="76" fillId="2" borderId="51" xfId="0" applyFont="1" applyFill="1" applyBorder="1" applyAlignment="1">
      <alignment horizontal="center" vertical="center" wrapText="1"/>
    </xf>
    <xf numFmtId="0" fontId="63" fillId="2" borderId="77" xfId="0" applyFont="1" applyFill="1" applyBorder="1" applyAlignment="1">
      <alignment horizontal="center" vertical="center" wrapText="1"/>
    </xf>
    <xf numFmtId="0" fontId="94" fillId="2" borderId="75" xfId="0" applyFont="1" applyFill="1" applyBorder="1" applyAlignment="1">
      <alignment vertical="center" wrapText="1"/>
    </xf>
    <xf numFmtId="0" fontId="63" fillId="2" borderId="126" xfId="0" applyFont="1" applyFill="1" applyBorder="1" applyAlignment="1">
      <alignment horizontal="center" vertical="center" wrapText="1"/>
    </xf>
    <xf numFmtId="0" fontId="73" fillId="2" borderId="10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80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8" fontId="6" fillId="2" borderId="2" xfId="0" applyNumberFormat="1" applyFont="1" applyFill="1" applyBorder="1" applyAlignment="1">
      <alignment horizontal="center" vertical="center"/>
    </xf>
    <xf numFmtId="49" fontId="63" fillId="2" borderId="99" xfId="0" applyNumberFormat="1" applyFont="1" applyFill="1" applyBorder="1" applyAlignment="1">
      <alignment horizontal="center" vertical="center" wrapText="1"/>
    </xf>
    <xf numFmtId="10" fontId="3" fillId="2" borderId="149" xfId="0" applyNumberFormat="1" applyFont="1" applyFill="1" applyBorder="1" applyAlignment="1">
      <alignment vertical="center" wrapText="1"/>
    </xf>
    <xf numFmtId="0" fontId="6" fillId="2" borderId="58" xfId="0" applyFont="1" applyFill="1" applyBorder="1">
      <alignment vertical="center"/>
    </xf>
    <xf numFmtId="10" fontId="3" fillId="2" borderId="56" xfId="0" applyNumberFormat="1" applyFont="1" applyFill="1" applyBorder="1" applyAlignment="1">
      <alignment vertical="center" wrapText="1"/>
    </xf>
    <xf numFmtId="0" fontId="6" fillId="2" borderId="3" xfId="0" applyFont="1" applyFill="1" applyBorder="1">
      <alignment vertical="center"/>
    </xf>
    <xf numFmtId="10" fontId="3" fillId="2" borderId="61" xfId="0" applyNumberFormat="1" applyFont="1" applyFill="1" applyBorder="1" applyAlignment="1">
      <alignment vertical="center" wrapText="1"/>
    </xf>
    <xf numFmtId="17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1" fillId="2" borderId="93" xfId="0" applyFont="1" applyFill="1" applyBorder="1" applyAlignment="1">
      <alignment vertical="center" wrapText="1"/>
    </xf>
    <xf numFmtId="0" fontId="1" fillId="2" borderId="123" xfId="0" applyFont="1" applyFill="1" applyBorder="1" applyAlignment="1">
      <alignment vertical="center" wrapText="1"/>
    </xf>
    <xf numFmtId="0" fontId="1" fillId="2" borderId="124" xfId="0" applyFont="1" applyFill="1" applyBorder="1" applyAlignment="1">
      <alignment vertical="center" wrapText="1"/>
    </xf>
    <xf numFmtId="0" fontId="1" fillId="2" borderId="103" xfId="0" applyFont="1" applyFill="1" applyBorder="1" applyAlignment="1">
      <alignment vertical="center" wrapText="1"/>
    </xf>
    <xf numFmtId="0" fontId="1" fillId="2" borderId="95" xfId="0" applyFont="1" applyFill="1" applyBorder="1" applyAlignment="1">
      <alignment vertical="center" wrapText="1"/>
    </xf>
    <xf numFmtId="0" fontId="6" fillId="2" borderId="79" xfId="0" applyFont="1" applyFill="1" applyBorder="1">
      <alignment vertical="center"/>
    </xf>
    <xf numFmtId="10" fontId="3" fillId="2" borderId="81" xfId="0" applyNumberFormat="1" applyFont="1" applyFill="1" applyBorder="1" applyAlignment="1">
      <alignment vertical="center" wrapText="1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95" fillId="2" borderId="32" xfId="0" applyFont="1" applyFill="1" applyBorder="1">
      <alignment vertical="center"/>
    </xf>
    <xf numFmtId="0" fontId="95" fillId="2" borderId="91" xfId="0" applyFont="1" applyFill="1" applyBorder="1">
      <alignment vertical="center"/>
    </xf>
    <xf numFmtId="0" fontId="3" fillId="0" borderId="81" xfId="0" applyFont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80" xfId="0" applyFont="1" applyFill="1" applyBorder="1" applyAlignment="1">
      <alignment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2" fillId="2" borderId="149" xfId="0" applyFont="1" applyFill="1" applyBorder="1" applyAlignment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4" fillId="2" borderId="130" xfId="0" applyFont="1" applyFill="1" applyBorder="1" applyAlignment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3" fillId="2" borderId="86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9" fontId="1" fillId="2" borderId="111" xfId="0" applyNumberFormat="1" applyFont="1" applyFill="1" applyBorder="1" applyAlignment="1">
      <alignment horizontal="center" vertical="center" wrapText="1"/>
    </xf>
    <xf numFmtId="10" fontId="3" fillId="2" borderId="108" xfId="0" applyNumberFormat="1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61" xfId="0" applyFont="1" applyFill="1" applyBorder="1" applyAlignment="1">
      <alignment vertical="center" wrapText="1"/>
    </xf>
    <xf numFmtId="0" fontId="4" fillId="2" borderId="81" xfId="0" applyFont="1" applyFill="1" applyBorder="1" applyAlignment="1">
      <alignment vertical="center" wrapText="1"/>
    </xf>
    <xf numFmtId="0" fontId="1" fillId="2" borderId="110" xfId="0" applyFont="1" applyFill="1" applyBorder="1" applyAlignment="1">
      <alignment vertical="center" wrapText="1"/>
    </xf>
    <xf numFmtId="0" fontId="1" fillId="2" borderId="80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1" fillId="2" borderId="96" xfId="0" applyFont="1" applyFill="1" applyBorder="1" applyAlignment="1">
      <alignment vertical="center" wrapText="1"/>
    </xf>
    <xf numFmtId="0" fontId="1" fillId="2" borderId="57" xfId="0" applyFont="1" applyFill="1" applyBorder="1">
      <alignment vertical="center"/>
    </xf>
    <xf numFmtId="0" fontId="1" fillId="2" borderId="84" xfId="0" applyFont="1" applyFill="1" applyBorder="1">
      <alignment vertical="center"/>
    </xf>
    <xf numFmtId="0" fontId="1" fillId="2" borderId="110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>
      <alignment vertical="center"/>
    </xf>
    <xf numFmtId="0" fontId="1" fillId="2" borderId="60" xfId="0" applyFont="1" applyFill="1" applyBorder="1">
      <alignment vertical="center"/>
    </xf>
    <xf numFmtId="9" fontId="1" fillId="2" borderId="61" xfId="0" applyNumberFormat="1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vertical="center" wrapText="1"/>
    </xf>
    <xf numFmtId="9" fontId="1" fillId="2" borderId="81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9" fontId="2" fillId="2" borderId="108" xfId="0" applyNumberFormat="1" applyFont="1" applyFill="1" applyBorder="1" applyAlignment="1">
      <alignment horizontal="center" vertical="center" wrapText="1"/>
    </xf>
    <xf numFmtId="0" fontId="1" fillId="2" borderId="84" xfId="0" applyFont="1" applyFill="1" applyBorder="1" applyAlignment="1">
      <alignment horizontal="center" vertical="center" wrapText="1"/>
    </xf>
    <xf numFmtId="9" fontId="3" fillId="2" borderId="61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vertical="center" wrapText="1"/>
    </xf>
    <xf numFmtId="0" fontId="86" fillId="2" borderId="0" xfId="0" applyFont="1" applyFill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87" fontId="11" fillId="2" borderId="2" xfId="0" applyNumberFormat="1" applyFont="1" applyFill="1" applyBorder="1" applyAlignment="1">
      <alignment horizontal="center" vertical="center" wrapText="1"/>
    </xf>
    <xf numFmtId="178" fontId="2" fillId="2" borderId="51" xfId="0" applyNumberFormat="1" applyFont="1" applyFill="1" applyBorder="1" applyAlignment="1">
      <alignment horizontal="center" vertical="center" wrapText="1"/>
    </xf>
    <xf numFmtId="183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102" xfId="0" applyFont="1" applyFill="1" applyBorder="1" applyAlignment="1">
      <alignment horizontal="center" vertical="center" wrapText="1"/>
    </xf>
    <xf numFmtId="183" fontId="11" fillId="2" borderId="102" xfId="0" applyNumberFormat="1" applyFont="1" applyFill="1" applyBorder="1" applyAlignment="1">
      <alignment horizontal="center" vertical="center" wrapText="1"/>
    </xf>
    <xf numFmtId="0" fontId="1" fillId="2" borderId="100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77" fillId="2" borderId="2" xfId="9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vertical="center" wrapText="1"/>
    </xf>
    <xf numFmtId="0" fontId="1" fillId="2" borderId="10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1" fillId="2" borderId="100" xfId="9" applyFont="1" applyFill="1" applyBorder="1" applyAlignment="1">
      <alignment horizontal="center" vertical="center"/>
    </xf>
    <xf numFmtId="0" fontId="1" fillId="2" borderId="73" xfId="9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00" fillId="0" borderId="0" xfId="11" applyFont="1" applyAlignment="1">
      <alignment horizontal="left" vertical="center" wrapText="1"/>
    </xf>
    <xf numFmtId="0" fontId="63" fillId="0" borderId="0" xfId="11" applyFont="1" applyAlignment="1">
      <alignment horizontal="center" vertical="center" wrapText="1"/>
    </xf>
    <xf numFmtId="0" fontId="101" fillId="2" borderId="47" xfId="11" applyFont="1" applyFill="1" applyBorder="1" applyAlignment="1">
      <alignment horizontal="left" vertical="center" wrapText="1"/>
    </xf>
    <xf numFmtId="0" fontId="102" fillId="2" borderId="153" xfId="11" applyFont="1" applyFill="1" applyBorder="1" applyAlignment="1">
      <alignment horizontal="center" vertical="center" wrapText="1"/>
    </xf>
    <xf numFmtId="0" fontId="102" fillId="2" borderId="153" xfId="11" applyFont="1" applyFill="1" applyBorder="1" applyAlignment="1">
      <alignment vertical="center" wrapText="1"/>
    </xf>
    <xf numFmtId="14" fontId="86" fillId="2" borderId="153" xfId="11" applyNumberFormat="1" applyFont="1" applyFill="1" applyBorder="1" applyAlignment="1">
      <alignment vertical="center" wrapText="1"/>
    </xf>
    <xf numFmtId="0" fontId="63" fillId="2" borderId="153" xfId="11" applyFont="1" applyFill="1" applyBorder="1" applyAlignment="1">
      <alignment horizontal="center" vertical="center" wrapText="1"/>
    </xf>
    <xf numFmtId="0" fontId="74" fillId="2" borderId="82" xfId="11" applyFont="1" applyFill="1" applyBorder="1" applyAlignment="1">
      <alignment horizontal="left" vertical="center" wrapText="1"/>
    </xf>
    <xf numFmtId="0" fontId="102" fillId="2" borderId="0" xfId="11" applyFont="1" applyFill="1" applyAlignment="1">
      <alignment horizontal="center" vertical="center" wrapText="1"/>
    </xf>
    <xf numFmtId="0" fontId="102" fillId="2" borderId="0" xfId="11" applyFont="1" applyFill="1" applyAlignment="1">
      <alignment vertical="center" wrapText="1"/>
    </xf>
    <xf numFmtId="0" fontId="63" fillId="2" borderId="2" xfId="11" applyFont="1" applyFill="1" applyBorder="1" applyAlignment="1">
      <alignment horizontal="left" vertical="center" wrapText="1"/>
    </xf>
    <xf numFmtId="14" fontId="6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55" xfId="11" applyNumberFormat="1" applyFont="1" applyFill="1" applyBorder="1" applyAlignment="1">
      <alignment horizontal="center" vertical="center" wrapText="1"/>
    </xf>
    <xf numFmtId="49" fontId="1" fillId="2" borderId="101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vertical="center" wrapText="1"/>
    </xf>
    <xf numFmtId="0" fontId="63" fillId="2" borderId="51" xfId="11" applyFont="1" applyFill="1" applyBorder="1" applyAlignment="1">
      <alignment horizontal="left" vertical="center" wrapText="1"/>
    </xf>
    <xf numFmtId="0" fontId="86" fillId="2" borderId="60" xfId="11" applyFont="1" applyFill="1" applyBorder="1" applyAlignment="1">
      <alignment horizontal="center" vertical="center" wrapText="1"/>
    </xf>
    <xf numFmtId="0" fontId="86" fillId="2" borderId="2" xfId="11" applyFont="1" applyFill="1" applyBorder="1" applyAlignment="1">
      <alignment horizontal="center" vertical="center" wrapText="1"/>
    </xf>
    <xf numFmtId="0" fontId="9" fillId="2" borderId="51" xfId="11" applyFont="1" applyFill="1" applyBorder="1" applyAlignment="1">
      <alignment horizontal="center" vertical="center" wrapText="1"/>
    </xf>
    <xf numFmtId="49" fontId="9" fillId="2" borderId="6" xfId="11" applyNumberFormat="1" applyFont="1" applyFill="1" applyBorder="1" applyAlignment="1">
      <alignment vertical="center" wrapText="1"/>
    </xf>
    <xf numFmtId="49" fontId="86" fillId="2" borderId="61" xfId="11" applyNumberFormat="1" applyFont="1" applyFill="1" applyBorder="1" applyAlignment="1">
      <alignment horizontal="center" vertical="center"/>
    </xf>
    <xf numFmtId="0" fontId="102" fillId="2" borderId="82" xfId="11" applyFont="1" applyFill="1" applyBorder="1" applyAlignment="1">
      <alignment horizontal="left" vertical="center" wrapText="1"/>
    </xf>
    <xf numFmtId="0" fontId="63" fillId="2" borderId="60" xfId="11" applyFont="1" applyFill="1" applyBorder="1" applyAlignment="1">
      <alignment horizontal="center" vertical="center" wrapText="1"/>
    </xf>
    <xf numFmtId="0" fontId="2" fillId="2" borderId="2" xfId="11" applyFont="1" applyFill="1" applyBorder="1" applyAlignment="1">
      <alignment horizontal="center" vertical="center" wrapText="1"/>
    </xf>
    <xf numFmtId="49" fontId="2" fillId="2" borderId="6" xfId="11" applyNumberFormat="1" applyFont="1" applyFill="1" applyBorder="1" applyAlignment="1">
      <alignment vertical="center" wrapText="1"/>
    </xf>
    <xf numFmtId="49" fontId="63" fillId="2" borderId="61" xfId="11" applyNumberFormat="1" applyFont="1" applyFill="1" applyBorder="1" applyAlignment="1">
      <alignment horizontal="center" vertical="center"/>
    </xf>
    <xf numFmtId="0" fontId="94" fillId="0" borderId="2" xfId="11" applyFont="1" applyBorder="1" applyAlignment="1" applyProtection="1">
      <alignment horizontal="center" vertical="center" wrapText="1"/>
      <protection locked="0"/>
    </xf>
    <xf numFmtId="49" fontId="63" fillId="2" borderId="60" xfId="11" applyNumberFormat="1" applyFont="1" applyFill="1" applyBorder="1" applyAlignment="1">
      <alignment horizontal="center" vertical="center" wrapText="1"/>
    </xf>
    <xf numFmtId="0" fontId="63" fillId="2" borderId="61" xfId="11" applyFont="1" applyFill="1" applyBorder="1" applyAlignment="1">
      <alignment horizontal="center" vertical="center" wrapText="1"/>
    </xf>
    <xf numFmtId="49" fontId="2" fillId="2" borderId="2" xfId="11" applyNumberFormat="1" applyFont="1" applyFill="1" applyBorder="1" applyAlignment="1">
      <alignment vertical="center" wrapText="1"/>
    </xf>
    <xf numFmtId="49" fontId="63" fillId="7" borderId="124" xfId="11" applyNumberFormat="1" applyFont="1" applyFill="1" applyBorder="1" applyAlignment="1" applyProtection="1">
      <alignment horizontal="center" vertical="center" wrapText="1"/>
      <protection locked="0"/>
    </xf>
    <xf numFmtId="0" fontId="94" fillId="2" borderId="2" xfId="11" applyFont="1" applyFill="1" applyBorder="1" applyAlignment="1">
      <alignment horizontal="center" vertical="center" wrapText="1"/>
    </xf>
    <xf numFmtId="0" fontId="63" fillId="2" borderId="76" xfId="11" applyFont="1" applyFill="1" applyBorder="1" applyAlignment="1">
      <alignment horizontal="center" vertical="center" wrapText="1"/>
    </xf>
    <xf numFmtId="0" fontId="2" fillId="2" borderId="51" xfId="11" applyFont="1" applyFill="1" applyBorder="1" applyAlignment="1">
      <alignment horizontal="center" vertical="center" wrapText="1"/>
    </xf>
    <xf numFmtId="180" fontId="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61" xfId="11" applyNumberFormat="1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0" fontId="63" fillId="2" borderId="110" xfId="11" applyFont="1" applyFill="1" applyBorder="1" applyAlignment="1">
      <alignment horizontal="center" vertical="center"/>
    </xf>
    <xf numFmtId="0" fontId="1" fillId="7" borderId="2" xfId="11" applyFont="1" applyFill="1" applyBorder="1" applyAlignment="1" applyProtection="1">
      <alignment horizontal="center" vertical="center" wrapText="1"/>
      <protection locked="0"/>
    </xf>
    <xf numFmtId="0" fontId="63" fillId="2" borderId="119" xfId="11" applyFont="1" applyFill="1" applyBorder="1" applyAlignment="1">
      <alignment horizontal="center" vertical="center" wrapText="1"/>
    </xf>
    <xf numFmtId="0" fontId="63" fillId="2" borderId="50" xfId="11" applyFont="1" applyFill="1" applyBorder="1" applyAlignment="1">
      <alignment horizontal="left" vertical="center" wrapText="1"/>
    </xf>
    <xf numFmtId="0" fontId="2" fillId="2" borderId="50" xfId="11" applyFont="1" applyFill="1" applyBorder="1" applyAlignment="1">
      <alignment horizontal="center" vertical="center" wrapText="1"/>
    </xf>
    <xf numFmtId="10" fontId="3" fillId="0" borderId="50" xfId="11" applyNumberFormat="1" applyFont="1" applyBorder="1" applyAlignment="1" applyProtection="1">
      <alignment horizontal="center" vertical="center" wrapText="1"/>
      <protection locked="0"/>
    </xf>
    <xf numFmtId="0" fontId="1" fillId="2" borderId="105" xfId="11" applyFont="1" applyFill="1" applyBorder="1" applyAlignment="1">
      <alignment horizontal="center"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6" xfId="11" applyFont="1" applyFill="1" applyBorder="1" applyAlignment="1">
      <alignment horizontal="center" vertical="center" wrapText="1"/>
    </xf>
    <xf numFmtId="0" fontId="86" fillId="2" borderId="51" xfId="11" applyFont="1" applyFill="1" applyBorder="1" applyAlignment="1">
      <alignment horizontal="left" vertical="center" wrapText="1"/>
    </xf>
    <xf numFmtId="49" fontId="9" fillId="2" borderId="32" xfId="11" applyNumberFormat="1" applyFont="1" applyFill="1" applyBorder="1" applyAlignment="1">
      <alignment horizontal="center" vertical="center" wrapText="1"/>
    </xf>
    <xf numFmtId="49" fontId="86" fillId="2" borderId="84" xfId="11" applyNumberFormat="1" applyFont="1" applyFill="1" applyBorder="1" applyAlignment="1">
      <alignment horizontal="center" vertical="center" wrapText="1"/>
    </xf>
    <xf numFmtId="179" fontId="81" fillId="10" borderId="2" xfId="11" applyNumberFormat="1" applyFont="1" applyFill="1" applyBorder="1" applyAlignment="1" applyProtection="1">
      <alignment horizontal="center" vertical="center"/>
      <protection locked="0"/>
    </xf>
    <xf numFmtId="49" fontId="2" fillId="2" borderId="6" xfId="11" applyNumberFormat="1" applyFont="1" applyFill="1" applyBorder="1" applyAlignment="1">
      <alignment horizontal="center" vertical="center" wrapText="1"/>
    </xf>
    <xf numFmtId="49" fontId="63" fillId="2" borderId="61" xfId="11" applyNumberFormat="1" applyFont="1" applyFill="1" applyBorder="1" applyAlignment="1">
      <alignment horizontal="center" vertical="center" wrapText="1"/>
    </xf>
    <xf numFmtId="179" fontId="96" fillId="7" borderId="2" xfId="11" applyNumberFormat="1" applyFont="1" applyFill="1" applyBorder="1" applyAlignment="1" applyProtection="1">
      <alignment horizontal="center" vertical="center"/>
      <protection locked="0"/>
    </xf>
    <xf numFmtId="184" fontId="96" fillId="0" borderId="2" xfId="0" applyNumberFormat="1" applyFont="1" applyBorder="1" applyAlignment="1" applyProtection="1">
      <alignment horizontal="center" vertical="center"/>
      <protection locked="0"/>
    </xf>
    <xf numFmtId="0" fontId="2" fillId="0" borderId="51" xfId="11" applyFont="1" applyBorder="1" applyAlignment="1" applyProtection="1">
      <alignment horizontal="center" vertical="center" wrapText="1"/>
      <protection locked="0"/>
    </xf>
    <xf numFmtId="0" fontId="3" fillId="2" borderId="2" xfId="11" applyFont="1" applyFill="1" applyBorder="1" applyAlignment="1">
      <alignment horizontal="center" vertical="center" wrapText="1"/>
    </xf>
    <xf numFmtId="183" fontId="4" fillId="2" borderId="2" xfId="11" applyNumberFormat="1" applyFont="1" applyFill="1" applyBorder="1" applyAlignment="1">
      <alignment horizontal="center" vertical="center"/>
    </xf>
    <xf numFmtId="10" fontId="3" fillId="0" borderId="2" xfId="11" applyNumberFormat="1" applyFont="1" applyBorder="1" applyAlignment="1" applyProtection="1">
      <alignment horizontal="center" vertical="center" wrapText="1"/>
      <protection locked="0"/>
    </xf>
    <xf numFmtId="0" fontId="1" fillId="2" borderId="61" xfId="11" applyFont="1" applyFill="1" applyBorder="1" applyAlignment="1">
      <alignment horizontal="center" vertical="center" wrapText="1"/>
    </xf>
    <xf numFmtId="10" fontId="4" fillId="2" borderId="2" xfId="11" applyNumberFormat="1" applyFont="1" applyFill="1" applyBorder="1" applyAlignment="1">
      <alignment horizontal="center" vertical="center" wrapText="1"/>
    </xf>
    <xf numFmtId="181" fontId="4" fillId="2" borderId="2" xfId="11" applyNumberFormat="1" applyFont="1" applyFill="1" applyBorder="1" applyAlignment="1">
      <alignment horizontal="center" vertical="center"/>
    </xf>
    <xf numFmtId="0" fontId="63" fillId="2" borderId="0" xfId="11" applyFont="1" applyFill="1" applyAlignment="1">
      <alignment horizontal="left" vertical="center" wrapText="1"/>
    </xf>
    <xf numFmtId="0" fontId="63" fillId="2" borderId="0" xfId="11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3" fillId="2" borderId="75" xfId="11" applyFont="1" applyFill="1" applyBorder="1" applyAlignment="1">
      <alignment horizontal="center" vertical="center" wrapText="1"/>
    </xf>
    <xf numFmtId="0" fontId="63" fillId="2" borderId="102" xfId="11" applyFont="1" applyFill="1" applyBorder="1" applyAlignment="1">
      <alignment horizontal="left" vertical="center" wrapText="1"/>
    </xf>
    <xf numFmtId="0" fontId="2" fillId="2" borderId="102" xfId="11" applyFont="1" applyFill="1" applyBorder="1" applyAlignment="1">
      <alignment horizontal="center" vertical="center" wrapText="1"/>
    </xf>
    <xf numFmtId="10" fontId="3" fillId="2" borderId="44" xfId="11" applyNumberFormat="1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79" fillId="0" borderId="2" xfId="11" applyFont="1" applyBorder="1" applyAlignment="1" applyProtection="1">
      <alignment horizontal="center" vertical="center" wrapText="1"/>
      <protection locked="0"/>
    </xf>
    <xf numFmtId="49" fontId="73" fillId="2" borderId="51" xfId="11" applyNumberFormat="1" applyFont="1" applyFill="1" applyBorder="1" applyAlignment="1">
      <alignment horizontal="center" vertical="center" wrapText="1"/>
    </xf>
    <xf numFmtId="49" fontId="94" fillId="2" borderId="84" xfId="11" applyNumberFormat="1" applyFont="1" applyFill="1" applyBorder="1" applyAlignment="1">
      <alignment horizontal="center" vertical="center" wrapText="1"/>
    </xf>
    <xf numFmtId="49" fontId="3" fillId="2" borderId="2" xfId="11" applyNumberFormat="1" applyFont="1" applyFill="1" applyBorder="1" applyAlignment="1">
      <alignment horizontal="center" vertical="center" wrapText="1"/>
    </xf>
    <xf numFmtId="0" fontId="100" fillId="2" borderId="0" xfId="11" applyFont="1" applyFill="1" applyAlignment="1">
      <alignment horizontal="left" vertical="center" wrapText="1"/>
    </xf>
    <xf numFmtId="0" fontId="63" fillId="2" borderId="111" xfId="11" applyFont="1" applyFill="1" applyBorder="1" applyAlignment="1">
      <alignment horizontal="center" vertical="center" wrapText="1"/>
    </xf>
    <xf numFmtId="0" fontId="63" fillId="2" borderId="108" xfId="11" applyFont="1" applyFill="1" applyBorder="1" applyAlignment="1">
      <alignment horizontal="left" vertical="center" wrapText="1"/>
    </xf>
    <xf numFmtId="187" fontId="2" fillId="2" borderId="108" xfId="11" applyNumberFormat="1" applyFont="1" applyFill="1" applyBorder="1" applyAlignment="1">
      <alignment horizontal="center" vertical="center" wrapText="1"/>
    </xf>
    <xf numFmtId="49" fontId="3" fillId="2" borderId="108" xfId="11" applyNumberFormat="1" applyFont="1" applyFill="1" applyBorder="1" applyAlignment="1">
      <alignment horizontal="center" vertical="center" wrapText="1"/>
    </xf>
    <xf numFmtId="49" fontId="1" fillId="2" borderId="81" xfId="11" applyNumberFormat="1" applyFont="1" applyFill="1" applyBorder="1" applyAlignment="1">
      <alignment horizontal="center" vertical="center" wrapText="1"/>
    </xf>
    <xf numFmtId="0" fontId="1" fillId="2" borderId="55" xfId="11" applyFont="1" applyFill="1" applyBorder="1" applyAlignment="1">
      <alignment horizontal="center" vertical="center" wrapText="1"/>
    </xf>
    <xf numFmtId="0" fontId="1" fillId="2" borderId="101" xfId="11" applyFont="1" applyFill="1" applyBorder="1" applyAlignment="1">
      <alignment horizontal="center" vertical="center" wrapText="1"/>
    </xf>
    <xf numFmtId="49" fontId="1" fillId="2" borderId="56" xfId="11" applyNumberFormat="1" applyFont="1" applyFill="1" applyBorder="1" applyAlignment="1">
      <alignment horizontal="center" vertical="center" wrapText="1"/>
    </xf>
    <xf numFmtId="9" fontId="2" fillId="2" borderId="2" xfId="11" applyNumberFormat="1" applyFont="1" applyFill="1" applyBorder="1" applyAlignment="1">
      <alignment horizontal="center" vertical="center" wrapText="1"/>
    </xf>
    <xf numFmtId="9" fontId="2" fillId="0" borderId="2" xfId="11" applyNumberFormat="1" applyFont="1" applyBorder="1" applyAlignment="1" applyProtection="1">
      <alignment horizontal="center" vertical="center" wrapText="1"/>
      <protection locked="0"/>
    </xf>
    <xf numFmtId="0" fontId="63" fillId="2" borderId="110" xfId="11" applyFont="1" applyFill="1" applyBorder="1" applyAlignment="1">
      <alignment horizontal="center" vertical="center" wrapText="1"/>
    </xf>
    <xf numFmtId="0" fontId="1" fillId="2" borderId="2" xfId="11" applyFont="1" applyFill="1" applyBorder="1" applyAlignment="1">
      <alignment horizontal="left" vertical="center" wrapText="1" shrinkToFit="1"/>
    </xf>
    <xf numFmtId="0" fontId="2" fillId="0" borderId="2" xfId="11" applyFont="1" applyBorder="1" applyAlignment="1" applyProtection="1">
      <alignment horizontal="center" vertical="center" wrapText="1"/>
      <protection locked="0"/>
    </xf>
    <xf numFmtId="0" fontId="63" fillId="2" borderId="78" xfId="11" applyFont="1" applyFill="1" applyBorder="1" applyAlignment="1">
      <alignment horizontal="center" vertical="center" wrapText="1"/>
    </xf>
    <xf numFmtId="9" fontId="2" fillId="2" borderId="99" xfId="11" applyNumberFormat="1" applyFont="1" applyFill="1" applyBorder="1" applyAlignment="1">
      <alignment horizontal="center" vertical="center" wrapText="1"/>
    </xf>
    <xf numFmtId="0" fontId="63" fillId="2" borderId="101" xfId="11" applyFont="1" applyFill="1" applyBorder="1" applyAlignment="1">
      <alignment horizontal="left" vertical="center" wrapText="1"/>
    </xf>
    <xf numFmtId="0" fontId="2" fillId="2" borderId="101" xfId="11" applyFont="1" applyFill="1" applyBorder="1" applyAlignment="1">
      <alignment horizontal="center" vertical="center" wrapText="1"/>
    </xf>
    <xf numFmtId="0" fontId="2" fillId="2" borderId="108" xfId="1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/>
    </xf>
    <xf numFmtId="0" fontId="103" fillId="0" borderId="2" xfId="11" applyFont="1" applyBorder="1" applyAlignment="1">
      <alignment horizontal="center" vertical="center"/>
    </xf>
    <xf numFmtId="0" fontId="65" fillId="0" borderId="82" xfId="11" applyFont="1" applyBorder="1" applyAlignment="1">
      <alignment horizontal="left" vertical="center"/>
    </xf>
    <xf numFmtId="0" fontId="104" fillId="0" borderId="2" xfId="11" applyFont="1" applyBorder="1" applyAlignment="1">
      <alignment horizontal="left" vertical="center"/>
    </xf>
    <xf numFmtId="0" fontId="24" fillId="0" borderId="2" xfId="11" applyFont="1" applyBorder="1" applyAlignment="1">
      <alignment horizontal="center" vertical="center"/>
    </xf>
    <xf numFmtId="0" fontId="43" fillId="0" borderId="2" xfId="11" applyFont="1" applyBorder="1" applyAlignment="1">
      <alignment horizontal="left" vertical="center"/>
    </xf>
    <xf numFmtId="0" fontId="43" fillId="0" borderId="0" xfId="11" applyFont="1" applyAlignment="1">
      <alignment horizontal="left" vertical="center"/>
    </xf>
    <xf numFmtId="0" fontId="24" fillId="0" borderId="0" xfId="11" applyFont="1" applyAlignment="1">
      <alignment horizontal="center" vertical="center"/>
    </xf>
    <xf numFmtId="0" fontId="63" fillId="2" borderId="0" xfId="11" applyFont="1" applyFill="1" applyAlignment="1">
      <alignment vertical="center" wrapText="1"/>
    </xf>
    <xf numFmtId="0" fontId="58" fillId="2" borderId="60" xfId="0" applyFont="1" applyFill="1" applyBorder="1" applyAlignment="1">
      <alignment horizontal="left" vertical="center"/>
    </xf>
    <xf numFmtId="0" fontId="59" fillId="2" borderId="61" xfId="0" applyFont="1" applyFill="1" applyBorder="1" applyAlignment="1">
      <alignment horizontal="center"/>
    </xf>
    <xf numFmtId="49" fontId="1" fillId="2" borderId="0" xfId="11" applyNumberFormat="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vertical="center" wrapText="1"/>
    </xf>
    <xf numFmtId="49" fontId="58" fillId="2" borderId="60" xfId="0" applyNumberFormat="1" applyFont="1" applyFill="1" applyBorder="1" applyAlignment="1">
      <alignment horizontal="left" vertical="center"/>
    </xf>
    <xf numFmtId="0" fontId="49" fillId="2" borderId="61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95" fillId="2" borderId="0" xfId="11" applyFont="1" applyFill="1" applyAlignment="1">
      <alignment horizontal="left" vertical="center"/>
    </xf>
    <xf numFmtId="0" fontId="49" fillId="2" borderId="2" xfId="0" applyFont="1" applyFill="1" applyBorder="1" applyAlignment="1">
      <alignment horizontal="center" vertical="center"/>
    </xf>
    <xf numFmtId="49" fontId="63" fillId="2" borderId="0" xfId="11" applyNumberFormat="1" applyFont="1" applyFill="1" applyAlignment="1">
      <alignment horizontal="left" vertical="center"/>
    </xf>
    <xf numFmtId="49" fontId="1" fillId="2" borderId="0" xfId="11" applyNumberFormat="1" applyFont="1" applyFill="1" applyAlignment="1">
      <alignment horizontal="left" vertical="center" wrapText="1"/>
    </xf>
    <xf numFmtId="0" fontId="94" fillId="2" borderId="0" xfId="1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horizontal="left" vertical="center"/>
    </xf>
    <xf numFmtId="0" fontId="1" fillId="2" borderId="0" xfId="11" applyFont="1" applyFill="1" applyAlignment="1">
      <alignment vertical="center" wrapText="1"/>
    </xf>
    <xf numFmtId="0" fontId="63" fillId="2" borderId="0" xfId="11" applyFont="1" applyFill="1" applyAlignment="1">
      <alignment horizontal="left" vertical="center"/>
    </xf>
    <xf numFmtId="0" fontId="1" fillId="2" borderId="0" xfId="11" applyFont="1" applyFill="1" applyAlignment="1">
      <alignment horizontal="left" vertical="center" wrapText="1"/>
    </xf>
    <xf numFmtId="49" fontId="63" fillId="2" borderId="0" xfId="11" applyNumberFormat="1" applyFont="1" applyFill="1" applyAlignment="1">
      <alignment horizontal="left" vertical="center" wrapText="1"/>
    </xf>
    <xf numFmtId="0" fontId="63" fillId="2" borderId="53" xfId="11" applyFont="1" applyFill="1" applyBorder="1" applyAlignment="1" applyProtection="1">
      <alignment horizontal="center" vertical="center" wrapText="1"/>
      <protection locked="0"/>
    </xf>
    <xf numFmtId="0" fontId="63" fillId="2" borderId="54" xfId="11" applyFont="1" applyFill="1" applyBorder="1" applyAlignment="1" applyProtection="1">
      <alignment horizontal="center" vertical="center" wrapText="1"/>
      <protection locked="0"/>
    </xf>
    <xf numFmtId="0" fontId="63" fillId="2" borderId="0" xfId="11" applyFont="1" applyFill="1" applyAlignment="1">
      <alignment horizontal="center" vertical="center"/>
    </xf>
    <xf numFmtId="0" fontId="63" fillId="2" borderId="59" xfId="11" applyFont="1" applyFill="1" applyBorder="1" applyAlignment="1" applyProtection="1">
      <alignment horizontal="center" vertical="center" wrapText="1"/>
      <protection locked="0"/>
    </xf>
    <xf numFmtId="9" fontId="63" fillId="0" borderId="0" xfId="11" applyNumberFormat="1" applyFont="1" applyAlignment="1" applyProtection="1">
      <alignment horizontal="center" vertical="center" wrapText="1"/>
      <protection locked="0"/>
    </xf>
    <xf numFmtId="0" fontId="63" fillId="2" borderId="62" xfId="11" applyFont="1" applyFill="1" applyBorder="1" applyAlignment="1" applyProtection="1">
      <alignment horizontal="center" vertical="center" wrapText="1"/>
      <protection locked="0"/>
    </xf>
    <xf numFmtId="9" fontId="63" fillId="2" borderId="16" xfId="11" applyNumberFormat="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 wrapText="1"/>
    </xf>
    <xf numFmtId="9" fontId="59" fillId="2" borderId="2" xfId="11" applyNumberFormat="1" applyFont="1" applyFill="1" applyBorder="1" applyAlignment="1">
      <alignment horizontal="center" vertical="center" wrapText="1"/>
    </xf>
    <xf numFmtId="0" fontId="63" fillId="2" borderId="123" xfId="11" applyFont="1" applyFill="1" applyBorder="1" applyAlignment="1" applyProtection="1">
      <alignment horizontal="center" vertical="center" wrapText="1"/>
      <protection locked="0"/>
    </xf>
    <xf numFmtId="9" fontId="63" fillId="0" borderId="110" xfId="11" applyNumberFormat="1" applyFont="1" applyBorder="1" applyAlignment="1" applyProtection="1">
      <alignment horizontal="center" vertical="center" wrapText="1"/>
      <protection locked="0"/>
    </xf>
    <xf numFmtId="9" fontId="63" fillId="2" borderId="80" xfId="11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5" fillId="4" borderId="0" xfId="0" applyFont="1" applyFill="1" applyProtection="1">
      <alignment vertical="center"/>
      <protection locked="0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60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148" xfId="0" applyFont="1" applyFill="1" applyBorder="1" applyAlignment="1">
      <alignment horizontal="center" vertical="center" wrapText="1"/>
    </xf>
    <xf numFmtId="0" fontId="109" fillId="2" borderId="6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61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189" fontId="108" fillId="2" borderId="67" xfId="0" applyNumberFormat="1" applyFont="1" applyFill="1" applyBorder="1">
      <alignment vertical="center"/>
    </xf>
    <xf numFmtId="0" fontId="109" fillId="2" borderId="111" xfId="0" applyFont="1" applyFill="1" applyBorder="1" applyAlignment="1">
      <alignment horizontal="center" vertical="center" wrapText="1"/>
    </xf>
    <xf numFmtId="0" fontId="110" fillId="0" borderId="82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1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4" borderId="87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82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89" xfId="0" applyFont="1" applyFill="1" applyBorder="1" applyProtection="1">
      <alignment vertical="center"/>
      <protection locked="0"/>
    </xf>
    <xf numFmtId="0" fontId="105" fillId="0" borderId="89" xfId="0" applyFont="1" applyBorder="1" applyProtection="1">
      <alignment vertical="center"/>
      <protection locked="0"/>
    </xf>
    <xf numFmtId="0" fontId="112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77" xfId="0" applyFont="1" applyFill="1" applyBorder="1" applyAlignment="1" applyProtection="1">
      <alignment horizontal="right" vertical="center"/>
      <protection locked="0"/>
    </xf>
    <xf numFmtId="0" fontId="112" fillId="12" borderId="30" xfId="0" applyFont="1" applyFill="1" applyBorder="1" applyAlignment="1" applyProtection="1">
      <alignment horizontal="left" vertical="center"/>
      <protection locked="0"/>
    </xf>
    <xf numFmtId="0" fontId="105" fillId="12" borderId="30" xfId="0" applyFont="1" applyFill="1" applyBorder="1" applyProtection="1">
      <alignment vertical="center"/>
      <protection locked="0"/>
    </xf>
    <xf numFmtId="0" fontId="112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2" fillId="12" borderId="0" xfId="0" applyFont="1" applyFill="1" applyAlignment="1" applyProtection="1">
      <alignment vertical="center" wrapText="1"/>
      <protection locked="0"/>
    </xf>
    <xf numFmtId="0" fontId="105" fillId="2" borderId="93" xfId="0" applyFont="1" applyFill="1" applyBorder="1">
      <alignment vertical="center"/>
    </xf>
    <xf numFmtId="0" fontId="105" fillId="4" borderId="89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93" xfId="0" applyFont="1" applyFill="1" applyBorder="1" applyAlignment="1">
      <alignment horizontal="center" vertical="center"/>
    </xf>
    <xf numFmtId="0" fontId="116" fillId="2" borderId="120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0" fontId="117" fillId="0" borderId="84" xfId="0" applyFont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76" xfId="0" applyFont="1" applyFill="1" applyBorder="1" applyAlignment="1">
      <alignment horizontal="center" vertical="center" wrapText="1"/>
    </xf>
    <xf numFmtId="49" fontId="117" fillId="0" borderId="61" xfId="0" applyNumberFormat="1" applyFont="1" applyBorder="1" applyAlignment="1" applyProtection="1">
      <alignment horizontal="center" vertical="center" wrapText="1"/>
      <protection locked="0"/>
    </xf>
    <xf numFmtId="49" fontId="116" fillId="2" borderId="121" xfId="0" applyNumberFormat="1" applyFont="1" applyFill="1" applyBorder="1" applyAlignment="1">
      <alignment vertical="center" wrapText="1"/>
    </xf>
    <xf numFmtId="0" fontId="114" fillId="2" borderId="60" xfId="0" applyFont="1" applyFill="1" applyBorder="1" applyAlignment="1">
      <alignment horizontal="center" vertical="center" wrapText="1"/>
    </xf>
    <xf numFmtId="0" fontId="117" fillId="0" borderId="61" xfId="0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0" borderId="61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61" xfId="0" applyFont="1" applyFill="1" applyBorder="1" applyAlignment="1" applyProtection="1">
      <alignment horizontal="center" vertical="center" wrapText="1"/>
      <protection locked="0"/>
    </xf>
    <xf numFmtId="49" fontId="116" fillId="2" borderId="122" xfId="0" applyNumberFormat="1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4" fillId="0" borderId="81" xfId="0" applyFont="1" applyBorder="1" applyAlignment="1" applyProtection="1">
      <alignment horizontal="center" vertical="center" wrapText="1"/>
      <protection locked="0"/>
    </xf>
    <xf numFmtId="0" fontId="116" fillId="2" borderId="122" xfId="0" applyFont="1" applyFill="1" applyBorder="1" applyAlignment="1">
      <alignment vertical="center" wrapText="1"/>
    </xf>
    <xf numFmtId="0" fontId="117" fillId="0" borderId="8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89" xfId="0" applyFont="1" applyFill="1" applyBorder="1" applyAlignment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5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6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10" fillId="0" borderId="0" xfId="0" applyFont="1">
      <alignment vertical="center"/>
    </xf>
    <xf numFmtId="178" fontId="2" fillId="12" borderId="0" xfId="2" applyNumberFormat="1" applyFont="1" applyFill="1" applyAlignment="1">
      <alignment horizontal="left" vertical="center"/>
    </xf>
    <xf numFmtId="0" fontId="2" fillId="12" borderId="11" xfId="2" applyFont="1" applyFill="1" applyBorder="1" applyAlignment="1">
      <alignment horizontal="left" vertical="center" wrapText="1"/>
    </xf>
    <xf numFmtId="0" fontId="2" fillId="12" borderId="12" xfId="2" applyFont="1" applyFill="1" applyBorder="1" applyAlignment="1">
      <alignment horizontal="left" vertical="center" wrapText="1"/>
    </xf>
    <xf numFmtId="0" fontId="2" fillId="12" borderId="0" xfId="2" applyFont="1" applyFill="1" applyAlignment="1">
      <alignment horizontal="left" vertical="center"/>
    </xf>
    <xf numFmtId="10" fontId="2" fillId="12" borderId="17" xfId="2" applyNumberFormat="1" applyFont="1" applyFill="1" applyBorder="1" applyAlignment="1">
      <alignment horizontal="left" vertical="center"/>
    </xf>
    <xf numFmtId="10" fontId="2" fillId="12" borderId="0" xfId="2" applyNumberFormat="1" applyFont="1" applyFill="1" applyAlignment="1">
      <alignment horizontal="left" vertical="center"/>
    </xf>
    <xf numFmtId="179" fontId="2" fillId="12" borderId="0" xfId="2" applyNumberFormat="1" applyFont="1" applyFill="1" applyAlignment="1">
      <alignment horizontal="left" vertical="center"/>
    </xf>
    <xf numFmtId="10" fontId="2" fillId="12" borderId="31" xfId="2" applyNumberFormat="1" applyFont="1" applyFill="1" applyBorder="1" applyAlignment="1">
      <alignment horizontal="left" vertical="center"/>
    </xf>
    <xf numFmtId="10" fontId="2" fillId="12" borderId="32" xfId="2" applyNumberFormat="1" applyFont="1" applyFill="1" applyBorder="1" applyAlignment="1">
      <alignment horizontal="left" vertical="center"/>
    </xf>
    <xf numFmtId="0" fontId="19" fillId="7" borderId="45" xfId="0" applyFont="1" applyFill="1" applyBorder="1" applyAlignment="1">
      <alignment horizontal="left" vertical="center"/>
    </xf>
    <xf numFmtId="0" fontId="19" fillId="7" borderId="52" xfId="0" applyFont="1" applyFill="1" applyBorder="1" applyAlignment="1">
      <alignment horizontal="left" vertical="center"/>
    </xf>
    <xf numFmtId="0" fontId="19" fillId="17" borderId="3" xfId="0" applyFont="1" applyFill="1" applyBorder="1" applyAlignment="1">
      <alignment horizontal="left" vertical="center"/>
    </xf>
    <xf numFmtId="0" fontId="107" fillId="2" borderId="0" xfId="0" applyFont="1" applyFill="1" applyAlignment="1">
      <alignment horizontal="center" vertical="center" wrapText="1"/>
    </xf>
    <xf numFmtId="0" fontId="109" fillId="2" borderId="55" xfId="0" applyFont="1" applyFill="1" applyBorder="1" applyAlignment="1">
      <alignment horizontal="center" vertical="center" wrapText="1"/>
    </xf>
    <xf numFmtId="0" fontId="109" fillId="2" borderId="101" xfId="0" applyFont="1" applyFill="1" applyBorder="1" applyAlignment="1">
      <alignment horizontal="center" vertical="center" wrapText="1"/>
    </xf>
    <xf numFmtId="0" fontId="109" fillId="2" borderId="154" xfId="0" applyFont="1" applyFill="1" applyBorder="1" applyAlignment="1">
      <alignment horizontal="center" vertical="center" wrapText="1"/>
    </xf>
    <xf numFmtId="0" fontId="109" fillId="2" borderId="57" xfId="0" applyFont="1" applyFill="1" applyBorder="1" applyAlignment="1">
      <alignment horizontal="center" vertical="center" wrapText="1"/>
    </xf>
    <xf numFmtId="0" fontId="109" fillId="2" borderId="56" xfId="0" applyFont="1" applyFill="1" applyBorder="1" applyAlignment="1">
      <alignment horizontal="center" vertical="center" wrapText="1"/>
    </xf>
    <xf numFmtId="0" fontId="109" fillId="2" borderId="152" xfId="0" applyFont="1" applyFill="1" applyBorder="1" applyAlignment="1">
      <alignment horizontal="center" vertical="center" wrapText="1"/>
    </xf>
    <xf numFmtId="0" fontId="109" fillId="2" borderId="46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6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61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6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81" xfId="0" applyFont="1" applyFill="1" applyBorder="1" applyAlignment="1">
      <alignment horizontal="justify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49" fontId="1" fillId="2" borderId="79" xfId="11" applyNumberFormat="1" applyFont="1" applyFill="1" applyBorder="1" applyAlignment="1">
      <alignment horizontal="center" vertical="center" wrapText="1"/>
    </xf>
    <xf numFmtId="49" fontId="1" fillId="2" borderId="96" xfId="11" applyNumberFormat="1" applyFont="1" applyFill="1" applyBorder="1" applyAlignment="1">
      <alignment horizontal="center" vertical="center" wrapText="1"/>
    </xf>
    <xf numFmtId="0" fontId="77" fillId="2" borderId="59" xfId="11" applyFont="1" applyFill="1" applyBorder="1" applyAlignment="1">
      <alignment horizontal="left" vertical="center" wrapText="1"/>
    </xf>
    <xf numFmtId="0" fontId="86" fillId="2" borderId="62" xfId="11" applyFont="1" applyFill="1" applyBorder="1" applyAlignment="1">
      <alignment horizontal="center" vertical="center" wrapText="1"/>
    </xf>
    <xf numFmtId="0" fontId="86" fillId="2" borderId="16" xfId="11" applyFont="1" applyFill="1" applyBorder="1" applyAlignment="1">
      <alignment horizontal="center" vertical="center" wrapText="1"/>
    </xf>
    <xf numFmtId="0" fontId="86" fillId="2" borderId="80" xfId="11" applyFont="1" applyFill="1" applyBorder="1" applyAlignment="1">
      <alignment horizontal="center" vertical="center" wrapText="1"/>
    </xf>
    <xf numFmtId="0" fontId="86" fillId="2" borderId="66" xfId="11" applyFont="1" applyFill="1" applyBorder="1" applyAlignment="1">
      <alignment horizontal="center" vertical="center" wrapText="1"/>
    </xf>
    <xf numFmtId="0" fontId="86" fillId="2" borderId="67" xfId="11" applyFont="1" applyFill="1" applyBorder="1" applyAlignment="1">
      <alignment horizontal="center" vertical="center" wrapText="1"/>
    </xf>
    <xf numFmtId="0" fontId="86" fillId="2" borderId="93" xfId="11" applyFont="1" applyFill="1" applyBorder="1" applyAlignment="1">
      <alignment horizontal="center" vertical="center" wrapText="1"/>
    </xf>
    <xf numFmtId="49" fontId="1" fillId="2" borderId="58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horizontal="center" vertical="center" wrapText="1"/>
    </xf>
    <xf numFmtId="0" fontId="1" fillId="2" borderId="150" xfId="0" applyFont="1" applyFill="1" applyBorder="1" applyAlignment="1">
      <alignment horizontal="center" vertical="center" wrapText="1"/>
    </xf>
    <xf numFmtId="0" fontId="1" fillId="2" borderId="151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72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center" vertical="center" wrapText="1"/>
    </xf>
    <xf numFmtId="0" fontId="99" fillId="2" borderId="44" xfId="0" applyFont="1" applyFill="1" applyBorder="1" applyAlignment="1">
      <alignment vertical="center" wrapText="1"/>
    </xf>
    <xf numFmtId="0" fontId="99" fillId="2" borderId="102" xfId="0" applyFont="1" applyFill="1" applyBorder="1" applyAlignment="1">
      <alignment vertical="center" wrapText="1"/>
    </xf>
    <xf numFmtId="0" fontId="99" fillId="2" borderId="51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57" fillId="2" borderId="63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3" fillId="2" borderId="120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24" fillId="2" borderId="122" xfId="0" applyFont="1" applyFill="1" applyBorder="1" applyAlignment="1">
      <alignment horizontal="center" vertical="center" wrapText="1"/>
    </xf>
    <xf numFmtId="0" fontId="56" fillId="2" borderId="63" xfId="0" applyFont="1" applyFill="1" applyBorder="1" applyAlignment="1">
      <alignment horizontal="center" vertical="center" wrapText="1"/>
    </xf>
    <xf numFmtId="0" fontId="56" fillId="2" borderId="75" xfId="0" applyFont="1" applyFill="1" applyBorder="1" applyAlignment="1">
      <alignment horizontal="center" vertical="center" wrapText="1"/>
    </xf>
    <xf numFmtId="0" fontId="56" fillId="2" borderId="76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1" xfId="0" applyFont="1" applyFill="1" applyBorder="1" applyAlignment="1" applyProtection="1">
      <alignment horizontal="center" vertical="center" wrapText="1"/>
      <protection locked="0"/>
    </xf>
    <xf numFmtId="0" fontId="56" fillId="2" borderId="99" xfId="0" applyFont="1" applyFill="1" applyBorder="1" applyAlignment="1" applyProtection="1">
      <alignment horizontal="center" vertical="center" wrapText="1"/>
      <protection locked="0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40" fillId="0" borderId="60" xfId="0" applyFont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 applyProtection="1">
      <alignment horizontal="center" vertical="center" wrapText="1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40" fillId="0" borderId="63" xfId="0" applyFont="1" applyBorder="1" applyAlignment="1" applyProtection="1">
      <alignment horizontal="center" vertical="center" wrapText="1"/>
      <protection locked="0"/>
    </xf>
    <xf numFmtId="0" fontId="40" fillId="0" borderId="64" xfId="0" applyFont="1" applyBorder="1" applyAlignment="1" applyProtection="1">
      <alignment horizontal="center" vertical="center" wrapText="1"/>
      <protection locked="0"/>
    </xf>
    <xf numFmtId="0" fontId="40" fillId="0" borderId="65" xfId="0" applyFont="1" applyBorder="1" applyAlignment="1" applyProtection="1">
      <alignment horizontal="center" vertical="center" wrapText="1"/>
      <protection locked="0"/>
    </xf>
    <xf numFmtId="0" fontId="40" fillId="0" borderId="45" xfId="0" applyFont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textRotation="255" wrapText="1"/>
    </xf>
    <xf numFmtId="0" fontId="5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178" fontId="39" fillId="2" borderId="2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3" borderId="19" xfId="2" applyFont="1" applyFill="1" applyBorder="1" applyAlignment="1">
      <alignment horizontal="left" vertical="center" wrapText="1"/>
    </xf>
    <xf numFmtId="0" fontId="18" fillId="3" borderId="21" xfId="2" applyFont="1" applyFill="1" applyBorder="1" applyAlignment="1">
      <alignment horizontal="left" vertical="center" wrapText="1"/>
    </xf>
    <xf numFmtId="0" fontId="18" fillId="3" borderId="22" xfId="2" applyFont="1" applyFill="1" applyBorder="1" applyAlignment="1">
      <alignment horizontal="left" vertical="center" wrapText="1"/>
    </xf>
    <xf numFmtId="0" fontId="18" fillId="3" borderId="23" xfId="2" applyFont="1" applyFill="1" applyBorder="1" applyAlignment="1">
      <alignment horizontal="left" vertical="center" wrapText="1"/>
    </xf>
    <xf numFmtId="0" fontId="18" fillId="3" borderId="24" xfId="2" applyFont="1" applyFill="1" applyBorder="1" applyAlignment="1">
      <alignment horizontal="left" vertical="center" wrapText="1"/>
    </xf>
    <xf numFmtId="0" fontId="2" fillId="3" borderId="24" xfId="2" applyFont="1" applyFill="1" applyBorder="1" applyAlignment="1">
      <alignment horizontal="left" vertical="center" wrapText="1"/>
    </xf>
    <xf numFmtId="0" fontId="2" fillId="3" borderId="19" xfId="2" applyFont="1" applyFill="1" applyBorder="1" applyAlignment="1">
      <alignment horizontal="left" vertical="center" wrapText="1"/>
    </xf>
    <xf numFmtId="0" fontId="2" fillId="3" borderId="23" xfId="2" applyFont="1" applyFill="1" applyBorder="1" applyAlignment="1">
      <alignment horizontal="left" vertical="center" wrapText="1"/>
    </xf>
  </cellXfs>
  <cellStyles count="17">
    <cellStyle name="百分比 2" xfId="1" xr:uid="{00000000-0005-0000-0000-00000D000000}"/>
    <cellStyle name="常规" xfId="0" builtinId="0"/>
    <cellStyle name="常规 16" xfId="6" xr:uid="{00000000-0005-0000-0000-000025000000}"/>
    <cellStyle name="常规 2" xfId="11" xr:uid="{00000000-0005-0000-0000-00003B000000}"/>
    <cellStyle name="常规 2 2" xfId="10" xr:uid="{00000000-0005-0000-0000-000035000000}"/>
    <cellStyle name="常规 2 2 2 2 3" xfId="7" xr:uid="{00000000-0005-0000-0000-000026000000}"/>
    <cellStyle name="常规 3" xfId="12" xr:uid="{00000000-0005-0000-0000-00003C000000}"/>
    <cellStyle name="常规 3 2" xfId="9" xr:uid="{00000000-0005-0000-0000-000030000000}"/>
    <cellStyle name="常规 4" xfId="13" xr:uid="{00000000-0005-0000-0000-00003D000000}"/>
    <cellStyle name="常规 5" xfId="14" xr:uid="{00000000-0005-0000-0000-00003E000000}"/>
    <cellStyle name="常规 6" xfId="2" xr:uid="{00000000-0005-0000-0000-00000F000000}"/>
    <cellStyle name="常规 6 2" xfId="3" xr:uid="{00000000-0005-0000-0000-000015000000}"/>
    <cellStyle name="常规 6 2 2" xfId="8" xr:uid="{00000000-0005-0000-0000-000028000000}"/>
    <cellStyle name="常规 6 3" xfId="5" xr:uid="{00000000-0005-0000-0000-000018000000}"/>
    <cellStyle name="常规 7" xfId="15" xr:uid="{00000000-0005-0000-0000-00003F000000}"/>
    <cellStyle name="常规 8" xfId="4" xr:uid="{00000000-0005-0000-0000-000016000000}"/>
    <cellStyle name="常规 9" xfId="16" xr:uid="{00000000-0005-0000-0000-000040000000}"/>
  </cellStyles>
  <dxfs count="18"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20</xdr:col>
      <xdr:colOff>361950</xdr:colOff>
      <xdr:row>81</xdr:row>
      <xdr:rowOff>167005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28625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data\&#19968;&#37096;&#36164;&#26009;&#24211;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pane="bottomLeft" activeCell="C26" sqref="C26"/>
    </sheetView>
  </sheetViews>
  <sheetFormatPr defaultColWidth="14.5" defaultRowHeight="14.25"/>
  <cols>
    <col min="1" max="1" width="14.5" style="1622" customWidth="1"/>
    <col min="2" max="2" width="20.75" style="1623" customWidth="1"/>
    <col min="3" max="16384" width="14.5" style="1623"/>
  </cols>
  <sheetData>
    <row r="1" spans="1:7" s="1621" customFormat="1" ht="18.75">
      <c r="A1" s="1624" t="s">
        <v>0</v>
      </c>
    </row>
    <row r="3" spans="1:7">
      <c r="A3" s="1625" t="s">
        <v>1</v>
      </c>
      <c r="B3" s="1623" t="s">
        <v>2</v>
      </c>
      <c r="G3" s="112"/>
    </row>
    <row r="4" spans="1:7">
      <c r="G4" s="112"/>
    </row>
    <row r="5" spans="1:7">
      <c r="A5" s="1626" t="s">
        <v>3</v>
      </c>
      <c r="B5" s="1623" t="s">
        <v>4</v>
      </c>
      <c r="G5" s="112"/>
    </row>
    <row r="6" spans="1:7">
      <c r="G6" s="112"/>
    </row>
    <row r="7" spans="1:7">
      <c r="A7" s="1627" t="s">
        <v>5</v>
      </c>
      <c r="B7" s="1623" t="s">
        <v>6</v>
      </c>
      <c r="G7" s="112"/>
    </row>
    <row r="8" spans="1:7">
      <c r="G8" s="112"/>
    </row>
    <row r="9" spans="1:7">
      <c r="A9" s="1628" t="s">
        <v>7</v>
      </c>
      <c r="B9" s="1623" t="s">
        <v>8</v>
      </c>
    </row>
    <row r="11" spans="1:7">
      <c r="A11" s="1629" t="s">
        <v>9</v>
      </c>
      <c r="B11" s="1630" t="s">
        <v>10</v>
      </c>
    </row>
    <row r="13" spans="1:7">
      <c r="A13" s="1631" t="s">
        <v>11</v>
      </c>
    </row>
    <row r="15" spans="1:7" ht="13.5">
      <c r="A15" s="1647" t="s">
        <v>12</v>
      </c>
      <c r="B15" s="1632" t="s">
        <v>13</v>
      </c>
    </row>
    <row r="16" spans="1:7" ht="13.5">
      <c r="A16" s="1648"/>
      <c r="B16" s="1633" t="s">
        <v>14</v>
      </c>
    </row>
    <row r="17" spans="1:2" ht="13.5">
      <c r="A17" s="1634" t="s">
        <v>15</v>
      </c>
      <c r="B17" s="1635"/>
    </row>
    <row r="18" spans="1:2" ht="13.5">
      <c r="A18" s="1649" t="s">
        <v>16</v>
      </c>
      <c r="B18" s="1632" t="s">
        <v>17</v>
      </c>
    </row>
    <row r="19" spans="1:2" ht="13.5">
      <c r="A19" s="1649"/>
      <c r="B19" s="1632" t="s">
        <v>18</v>
      </c>
    </row>
    <row r="20" spans="1:2" ht="13.5">
      <c r="A20" s="1649"/>
      <c r="B20" s="1632" t="s">
        <v>19</v>
      </c>
    </row>
    <row r="21" spans="1:2" ht="13.5">
      <c r="A21" s="1649"/>
      <c r="B21" s="1636" t="s">
        <v>20</v>
      </c>
    </row>
    <row r="22" spans="1:2" ht="13.5">
      <c r="A22" s="1649"/>
      <c r="B22" s="1636" t="s">
        <v>21</v>
      </c>
    </row>
    <row r="23" spans="1:2">
      <c r="A23" s="1637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59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>
      <c r="A1" s="1059" t="s">
        <v>25</v>
      </c>
      <c r="B1" s="1060" t="s">
        <v>49</v>
      </c>
      <c r="C1" s="1060" t="s">
        <v>63</v>
      </c>
      <c r="D1" s="1060" t="s">
        <v>75</v>
      </c>
      <c r="E1" s="1060" t="s">
        <v>87</v>
      </c>
      <c r="F1" s="1060" t="s">
        <v>96</v>
      </c>
      <c r="G1" s="1060" t="s">
        <v>103</v>
      </c>
      <c r="H1" s="1060" t="s">
        <v>108</v>
      </c>
      <c r="I1" s="1060" t="s">
        <v>113</v>
      </c>
      <c r="J1" s="1060" t="s">
        <v>116</v>
      </c>
      <c r="K1" s="1060" t="s">
        <v>118</v>
      </c>
      <c r="L1" s="1060" t="s">
        <v>120</v>
      </c>
      <c r="M1" s="1099" t="s">
        <v>122</v>
      </c>
    </row>
    <row r="2" spans="1:13" ht="19.5" customHeight="1">
      <c r="A2" s="1061" t="s">
        <v>377</v>
      </c>
      <c r="B2" s="1062">
        <v>3.5</v>
      </c>
      <c r="C2" s="1062">
        <v>3.5</v>
      </c>
      <c r="D2" s="1063">
        <v>2.5</v>
      </c>
      <c r="E2" s="1063">
        <v>2.5</v>
      </c>
      <c r="F2" s="1063">
        <v>2.5</v>
      </c>
      <c r="G2" s="1063">
        <v>2.5</v>
      </c>
      <c r="H2" s="1063">
        <v>2.5</v>
      </c>
      <c r="I2" s="1062">
        <v>2</v>
      </c>
      <c r="J2" s="1062">
        <v>2</v>
      </c>
      <c r="K2" s="1062">
        <v>2</v>
      </c>
      <c r="L2" s="1062">
        <v>2</v>
      </c>
      <c r="M2" s="1100">
        <v>2</v>
      </c>
    </row>
    <row r="3" spans="1:13" ht="19.5" customHeight="1">
      <c r="A3" s="1064" t="s">
        <v>78</v>
      </c>
      <c r="B3" s="1065">
        <v>3.5</v>
      </c>
      <c r="C3" s="1065">
        <v>3.5</v>
      </c>
      <c r="D3" s="1066">
        <v>2.5</v>
      </c>
      <c r="E3" s="1066">
        <v>2.5</v>
      </c>
      <c r="F3" s="1066">
        <v>2.5</v>
      </c>
      <c r="G3" s="1066">
        <v>2.5</v>
      </c>
      <c r="H3" s="1066">
        <v>2.5</v>
      </c>
      <c r="I3" s="1065">
        <v>2</v>
      </c>
      <c r="J3" s="1065">
        <v>2</v>
      </c>
      <c r="K3" s="1065">
        <v>2</v>
      </c>
      <c r="L3" s="1065">
        <v>2</v>
      </c>
      <c r="M3" s="1101">
        <v>2</v>
      </c>
    </row>
    <row r="4" spans="1:13" ht="19.5" customHeight="1">
      <c r="A4" s="1064" t="s">
        <v>53</v>
      </c>
      <c r="B4" s="1066">
        <v>2.5</v>
      </c>
      <c r="C4" s="1066">
        <v>2.5</v>
      </c>
      <c r="D4" s="1066">
        <v>2.5</v>
      </c>
      <c r="E4" s="1066">
        <v>2.5</v>
      </c>
      <c r="F4" s="1066">
        <v>2.5</v>
      </c>
      <c r="G4" s="1066">
        <v>2.5</v>
      </c>
      <c r="H4" s="1066">
        <v>2.5</v>
      </c>
      <c r="I4" s="1065">
        <v>1.5</v>
      </c>
      <c r="J4" s="1065">
        <v>1.5</v>
      </c>
      <c r="K4" s="1065">
        <v>1.5</v>
      </c>
      <c r="L4" s="1065">
        <v>1.5</v>
      </c>
      <c r="M4" s="1101">
        <v>1.5</v>
      </c>
    </row>
    <row r="5" spans="1:13" ht="19.5" customHeight="1">
      <c r="A5" s="1067" t="s">
        <v>137</v>
      </c>
      <c r="B5" s="1068">
        <v>1.5</v>
      </c>
      <c r="C5" s="1068">
        <v>1.5</v>
      </c>
      <c r="D5" s="1068">
        <v>1.5</v>
      </c>
      <c r="E5" s="1068">
        <v>1.5</v>
      </c>
      <c r="F5" s="1068">
        <v>1.5</v>
      </c>
      <c r="G5" s="1078">
        <v>1.2</v>
      </c>
      <c r="H5" s="1078">
        <v>1.2</v>
      </c>
      <c r="I5" s="1078">
        <v>1</v>
      </c>
      <c r="J5" s="1078">
        <v>1</v>
      </c>
      <c r="K5" s="1078">
        <v>1</v>
      </c>
      <c r="L5" s="1078">
        <v>1</v>
      </c>
      <c r="M5" s="1102">
        <v>1</v>
      </c>
    </row>
    <row r="6" spans="1:13" ht="19.5" customHeight="1">
      <c r="A6" s="1079" t="s">
        <v>805</v>
      </c>
      <c r="B6" s="1080">
        <v>80</v>
      </c>
      <c r="C6" s="1080">
        <v>80</v>
      </c>
      <c r="D6" s="1080">
        <v>65</v>
      </c>
      <c r="E6" s="1080">
        <v>65</v>
      </c>
      <c r="F6" s="1080">
        <v>65</v>
      </c>
      <c r="G6" s="1080">
        <v>65</v>
      </c>
      <c r="H6" s="1080">
        <v>65</v>
      </c>
      <c r="I6" s="1080">
        <v>50</v>
      </c>
      <c r="J6" s="1080">
        <v>50</v>
      </c>
      <c r="K6" s="1080">
        <v>50</v>
      </c>
      <c r="L6" s="1080">
        <v>50</v>
      </c>
      <c r="M6" s="1103">
        <v>50</v>
      </c>
    </row>
    <row r="7" spans="1:13" ht="19.5" customHeight="1">
      <c r="A7" s="1006" t="s">
        <v>806</v>
      </c>
      <c r="B7" s="1007">
        <v>70</v>
      </c>
      <c r="C7" s="1007">
        <v>70</v>
      </c>
      <c r="D7" s="1007">
        <v>55</v>
      </c>
      <c r="E7" s="1007">
        <v>55</v>
      </c>
      <c r="F7" s="1007">
        <v>55</v>
      </c>
      <c r="G7" s="1007">
        <v>55</v>
      </c>
      <c r="H7" s="1007">
        <v>55</v>
      </c>
      <c r="I7" s="1007">
        <v>40</v>
      </c>
      <c r="J7" s="1007">
        <v>40</v>
      </c>
      <c r="K7" s="1007">
        <v>40</v>
      </c>
      <c r="L7" s="1007">
        <v>40</v>
      </c>
      <c r="M7" s="1104">
        <v>40</v>
      </c>
    </row>
    <row r="8" spans="1:13" ht="19.5" customHeight="1">
      <c r="A8" s="1006" t="s">
        <v>807</v>
      </c>
      <c r="B8" s="1007">
        <v>20</v>
      </c>
      <c r="C8" s="1007">
        <v>20</v>
      </c>
      <c r="D8" s="1007">
        <v>15</v>
      </c>
      <c r="E8" s="1007">
        <v>15</v>
      </c>
      <c r="F8" s="1007">
        <v>15</v>
      </c>
      <c r="G8" s="1007">
        <v>15</v>
      </c>
      <c r="H8" s="1007">
        <v>15</v>
      </c>
      <c r="I8" s="1007">
        <v>10</v>
      </c>
      <c r="J8" s="1007">
        <v>10</v>
      </c>
      <c r="K8" s="1007">
        <v>10</v>
      </c>
      <c r="L8" s="1007">
        <v>10</v>
      </c>
      <c r="M8" s="1104">
        <v>10</v>
      </c>
    </row>
    <row r="9" spans="1:13" ht="19.5" customHeight="1">
      <c r="A9" s="1006" t="s">
        <v>808</v>
      </c>
      <c r="B9" s="1007">
        <v>30</v>
      </c>
      <c r="C9" s="1007">
        <v>30</v>
      </c>
      <c r="D9" s="1007">
        <v>25</v>
      </c>
      <c r="E9" s="1007">
        <v>25</v>
      </c>
      <c r="F9" s="1007">
        <v>25</v>
      </c>
      <c r="G9" s="1007">
        <v>25</v>
      </c>
      <c r="H9" s="1007">
        <v>25</v>
      </c>
      <c r="I9" s="1007">
        <v>20</v>
      </c>
      <c r="J9" s="1007">
        <v>20</v>
      </c>
      <c r="K9" s="1007">
        <v>20</v>
      </c>
      <c r="L9" s="1007">
        <v>20</v>
      </c>
      <c r="M9" s="1104">
        <v>20</v>
      </c>
    </row>
    <row r="10" spans="1:13" ht="19.5" customHeight="1">
      <c r="A10" s="1006" t="s">
        <v>809</v>
      </c>
      <c r="B10" s="1007">
        <v>45</v>
      </c>
      <c r="C10" s="1007">
        <v>45</v>
      </c>
      <c r="D10" s="1007">
        <v>35</v>
      </c>
      <c r="E10" s="1007">
        <v>35</v>
      </c>
      <c r="F10" s="1007">
        <v>35</v>
      </c>
      <c r="G10" s="1007">
        <v>35</v>
      </c>
      <c r="H10" s="1007">
        <v>35</v>
      </c>
      <c r="I10" s="1007">
        <v>25</v>
      </c>
      <c r="J10" s="1007">
        <v>25</v>
      </c>
      <c r="K10" s="1007">
        <v>25</v>
      </c>
      <c r="L10" s="1007">
        <v>25</v>
      </c>
      <c r="M10" s="1104">
        <v>25</v>
      </c>
    </row>
    <row r="11" spans="1:13" ht="19.5" customHeight="1">
      <c r="A11" s="1006" t="s">
        <v>810</v>
      </c>
      <c r="B11" s="1007">
        <v>60</v>
      </c>
      <c r="C11" s="1007">
        <v>60</v>
      </c>
      <c r="D11" s="1007">
        <v>50</v>
      </c>
      <c r="E11" s="1007">
        <v>50</v>
      </c>
      <c r="F11" s="1007">
        <v>50</v>
      </c>
      <c r="G11" s="1007">
        <v>50</v>
      </c>
      <c r="H11" s="1007">
        <v>50</v>
      </c>
      <c r="I11" s="1007">
        <v>40</v>
      </c>
      <c r="J11" s="1007">
        <v>40</v>
      </c>
      <c r="K11" s="1007">
        <v>40</v>
      </c>
      <c r="L11" s="1007">
        <v>40</v>
      </c>
      <c r="M11" s="1104">
        <v>40</v>
      </c>
    </row>
    <row r="12" spans="1:13" ht="19.5" customHeight="1">
      <c r="A12" s="1006" t="s">
        <v>811</v>
      </c>
      <c r="B12" s="1007">
        <v>50</v>
      </c>
      <c r="C12" s="1007">
        <v>50</v>
      </c>
      <c r="D12" s="1007">
        <v>40</v>
      </c>
      <c r="E12" s="1007">
        <v>40</v>
      </c>
      <c r="F12" s="1007">
        <v>40</v>
      </c>
      <c r="G12" s="1007">
        <v>40</v>
      </c>
      <c r="H12" s="1007">
        <v>40</v>
      </c>
      <c r="I12" s="1007">
        <v>30</v>
      </c>
      <c r="J12" s="1007">
        <v>30</v>
      </c>
      <c r="K12" s="1007">
        <v>30</v>
      </c>
      <c r="L12" s="1007">
        <v>30</v>
      </c>
      <c r="M12" s="1104">
        <v>30</v>
      </c>
    </row>
    <row r="13" spans="1:13" ht="19.5" customHeight="1">
      <c r="A13" s="1081" t="s">
        <v>812</v>
      </c>
      <c r="B13" s="1024">
        <v>20</v>
      </c>
      <c r="C13" s="1024">
        <v>20</v>
      </c>
      <c r="D13" s="1024">
        <v>15</v>
      </c>
      <c r="E13" s="1024">
        <v>15</v>
      </c>
      <c r="F13" s="1024">
        <v>15</v>
      </c>
      <c r="G13" s="1024">
        <v>15</v>
      </c>
      <c r="H13" s="1024">
        <v>15</v>
      </c>
      <c r="I13" s="1024">
        <v>10</v>
      </c>
      <c r="J13" s="1024">
        <v>10</v>
      </c>
      <c r="K13" s="1024">
        <v>10</v>
      </c>
      <c r="L13" s="1024">
        <v>10</v>
      </c>
      <c r="M13" s="1105">
        <v>10</v>
      </c>
    </row>
    <row r="14" spans="1:13" ht="19.5" customHeight="1">
      <c r="A14" s="1007" t="s">
        <v>48</v>
      </c>
      <c r="B14" s="875">
        <v>0</v>
      </c>
      <c r="C14" s="875">
        <v>0</v>
      </c>
      <c r="D14" s="875">
        <v>0</v>
      </c>
      <c r="E14" s="875">
        <v>0</v>
      </c>
      <c r="F14" s="875">
        <v>0</v>
      </c>
      <c r="G14" s="875">
        <v>0</v>
      </c>
      <c r="H14" s="875">
        <v>0</v>
      </c>
      <c r="I14" s="875">
        <v>0</v>
      </c>
      <c r="J14" s="875">
        <v>0</v>
      </c>
      <c r="K14" s="875">
        <v>0</v>
      </c>
      <c r="L14" s="875">
        <v>0</v>
      </c>
      <c r="M14" s="875">
        <v>0</v>
      </c>
    </row>
    <row r="15" spans="1:13" ht="19.5" customHeight="1">
      <c r="A15" s="1007" t="s">
        <v>370</v>
      </c>
      <c r="B15" s="875">
        <f>SUM(B6:B13)</f>
        <v>375</v>
      </c>
      <c r="C15" s="875">
        <f t="shared" ref="C15:H15" si="0">SUM(C6:C13)</f>
        <v>375</v>
      </c>
      <c r="D15" s="875">
        <f t="shared" si="0"/>
        <v>300</v>
      </c>
      <c r="E15" s="875">
        <f t="shared" si="0"/>
        <v>300</v>
      </c>
      <c r="F15" s="875">
        <f t="shared" si="0"/>
        <v>300</v>
      </c>
      <c r="G15" s="875">
        <f t="shared" si="0"/>
        <v>300</v>
      </c>
      <c r="H15" s="875">
        <f t="shared" si="0"/>
        <v>300</v>
      </c>
      <c r="I15" s="875">
        <f>SUM(I6:I10,I13)</f>
        <v>155</v>
      </c>
      <c r="J15" s="875">
        <f t="shared" ref="J15:M15" si="1">SUM(J6:J10,J13)</f>
        <v>155</v>
      </c>
      <c r="K15" s="875">
        <f t="shared" si="1"/>
        <v>155</v>
      </c>
      <c r="L15" s="875">
        <f t="shared" si="1"/>
        <v>155</v>
      </c>
      <c r="M15" s="875">
        <f t="shared" si="1"/>
        <v>155</v>
      </c>
    </row>
    <row r="16" spans="1:13" ht="19.5" customHeight="1">
      <c r="A16" s="1082" t="s">
        <v>813</v>
      </c>
      <c r="B16" s="1082"/>
      <c r="C16" s="1083"/>
      <c r="D16" s="1083"/>
      <c r="E16" s="1082"/>
      <c r="F16" s="1083"/>
      <c r="G16" s="1083"/>
    </row>
    <row r="17" spans="1:7" ht="19.5" customHeight="1">
      <c r="A17" s="1007" t="s">
        <v>376</v>
      </c>
      <c r="B17" s="1084" t="s">
        <v>814</v>
      </c>
      <c r="C17" s="1084" t="s">
        <v>815</v>
      </c>
      <c r="D17" s="1085"/>
      <c r="E17" s="1007" t="s">
        <v>816</v>
      </c>
      <c r="F17" s="1086"/>
      <c r="G17" s="1086"/>
    </row>
    <row r="18" spans="1:7" ht="19.5" customHeight="1">
      <c r="A18" s="1697" t="s">
        <v>377</v>
      </c>
      <c r="B18" s="1087" t="s">
        <v>817</v>
      </c>
      <c r="C18" s="1088" t="s">
        <v>337</v>
      </c>
      <c r="D18" s="1089"/>
      <c r="E18" s="1087">
        <v>1</v>
      </c>
      <c r="F18" s="1090" t="s">
        <v>818</v>
      </c>
      <c r="G18" s="1091"/>
    </row>
    <row r="19" spans="1:7" ht="19.5" customHeight="1">
      <c r="A19" s="1697"/>
      <c r="B19" s="1697" t="s">
        <v>819</v>
      </c>
      <c r="C19" s="1088" t="s">
        <v>820</v>
      </c>
      <c r="D19" s="1089"/>
      <c r="E19" s="1087">
        <v>0.9</v>
      </c>
      <c r="F19" s="1090" t="s">
        <v>821</v>
      </c>
      <c r="G19" s="1091"/>
    </row>
    <row r="20" spans="1:7" ht="19.5" customHeight="1">
      <c r="A20" s="1697"/>
      <c r="B20" s="1697"/>
      <c r="C20" s="1088" t="s">
        <v>822</v>
      </c>
      <c r="D20" s="1089"/>
      <c r="E20" s="1087">
        <v>1.1000000000000001</v>
      </c>
      <c r="F20" s="1090" t="s">
        <v>823</v>
      </c>
      <c r="G20" s="1091"/>
    </row>
    <row r="21" spans="1:7" ht="19.5" customHeight="1">
      <c r="A21" s="1697"/>
      <c r="B21" s="1697"/>
      <c r="C21" s="1088" t="s">
        <v>824</v>
      </c>
      <c r="D21" s="1089"/>
      <c r="E21" s="1087">
        <v>0.8</v>
      </c>
      <c r="F21" s="1090" t="s">
        <v>825</v>
      </c>
      <c r="G21" s="1091"/>
    </row>
    <row r="22" spans="1:7" ht="19.5" customHeight="1">
      <c r="A22" s="1697"/>
      <c r="B22" s="1697"/>
      <c r="C22" s="1088" t="s">
        <v>826</v>
      </c>
      <c r="D22" s="1089"/>
      <c r="E22" s="1087">
        <v>0.5</v>
      </c>
      <c r="F22" s="1090"/>
      <c r="G22" s="1091"/>
    </row>
    <row r="23" spans="1:7" ht="19.5" customHeight="1">
      <c r="A23" s="1697" t="s">
        <v>78</v>
      </c>
      <c r="B23" s="1087" t="s">
        <v>817</v>
      </c>
      <c r="C23" s="1088" t="s">
        <v>827</v>
      </c>
      <c r="D23" s="1089"/>
      <c r="E23" s="1087">
        <v>1</v>
      </c>
      <c r="F23" s="1090" t="s">
        <v>828</v>
      </c>
      <c r="G23" s="1091"/>
    </row>
    <row r="24" spans="1:7" ht="19.5" customHeight="1">
      <c r="A24" s="1697"/>
      <c r="B24" s="1697" t="s">
        <v>819</v>
      </c>
      <c r="C24" s="1088" t="s">
        <v>829</v>
      </c>
      <c r="D24" s="1089"/>
      <c r="E24" s="1087">
        <v>0.5</v>
      </c>
      <c r="F24" s="1090"/>
      <c r="G24" s="1091"/>
    </row>
    <row r="25" spans="1:7" ht="19.5" customHeight="1">
      <c r="A25" s="1697"/>
      <c r="B25" s="1697"/>
      <c r="C25" s="1088" t="s">
        <v>830</v>
      </c>
      <c r="D25" s="1089"/>
      <c r="E25" s="1087">
        <v>1.1000000000000001</v>
      </c>
      <c r="F25" s="1090"/>
      <c r="G25" s="1091"/>
    </row>
    <row r="26" spans="1:7" ht="19.5" customHeight="1">
      <c r="A26" s="1697"/>
      <c r="B26" s="1697"/>
      <c r="C26" s="1088" t="s">
        <v>831</v>
      </c>
      <c r="D26" s="1089"/>
      <c r="E26" s="1087">
        <v>1.1000000000000001</v>
      </c>
      <c r="F26" s="1090"/>
      <c r="G26" s="1091"/>
    </row>
    <row r="27" spans="1:7" ht="19.5" customHeight="1">
      <c r="A27" s="1697"/>
      <c r="B27" s="1697"/>
      <c r="C27" s="1088" t="s">
        <v>832</v>
      </c>
      <c r="D27" s="1089"/>
      <c r="E27" s="1087">
        <v>0.9</v>
      </c>
      <c r="F27" s="1090" t="s">
        <v>833</v>
      </c>
      <c r="G27" s="1091"/>
    </row>
    <row r="28" spans="1:7" ht="19.5" customHeight="1">
      <c r="A28" s="1697"/>
      <c r="B28" s="1697"/>
      <c r="C28" s="1088" t="s">
        <v>834</v>
      </c>
      <c r="D28" s="1089"/>
      <c r="E28" s="1087">
        <v>0.9</v>
      </c>
      <c r="F28" s="1090" t="s">
        <v>835</v>
      </c>
      <c r="G28" s="1091"/>
    </row>
    <row r="29" spans="1:7" ht="19.5" customHeight="1">
      <c r="A29" s="1697"/>
      <c r="B29" s="1697"/>
      <c r="C29" s="1088" t="s">
        <v>836</v>
      </c>
      <c r="D29" s="1089"/>
      <c r="E29" s="1087">
        <v>0.9</v>
      </c>
      <c r="F29" s="1090" t="s">
        <v>837</v>
      </c>
      <c r="G29" s="1091"/>
    </row>
    <row r="30" spans="1:7" ht="19.5" customHeight="1">
      <c r="A30" s="1697"/>
      <c r="B30" s="1697"/>
      <c r="C30" s="1088" t="s">
        <v>838</v>
      </c>
      <c r="D30" s="1089"/>
      <c r="E30" s="1087">
        <v>0.9</v>
      </c>
      <c r="F30" s="1090" t="s">
        <v>839</v>
      </c>
      <c r="G30" s="1091"/>
    </row>
    <row r="31" spans="1:7" ht="19.5" customHeight="1">
      <c r="A31" s="1697"/>
      <c r="B31" s="1697"/>
      <c r="C31" s="1088" t="s">
        <v>840</v>
      </c>
      <c r="D31" s="1089"/>
      <c r="E31" s="1087">
        <v>0.8</v>
      </c>
      <c r="F31" s="1090" t="s">
        <v>841</v>
      </c>
      <c r="G31" s="1091"/>
    </row>
    <row r="32" spans="1:7" ht="19.5" customHeight="1">
      <c r="A32" s="1697"/>
      <c r="B32" s="1697"/>
      <c r="C32" s="1088" t="s">
        <v>842</v>
      </c>
      <c r="D32" s="1089"/>
      <c r="E32" s="1087">
        <v>0.8</v>
      </c>
      <c r="F32" s="1090" t="s">
        <v>843</v>
      </c>
      <c r="G32" s="1091"/>
    </row>
    <row r="33" spans="1:8" ht="19.5" customHeight="1">
      <c r="A33" s="1697" t="s">
        <v>53</v>
      </c>
      <c r="B33" s="1087" t="s">
        <v>817</v>
      </c>
      <c r="C33" s="1088" t="s">
        <v>844</v>
      </c>
      <c r="D33" s="1089"/>
      <c r="E33" s="1087">
        <v>1</v>
      </c>
      <c r="F33" s="1090" t="s">
        <v>845</v>
      </c>
      <c r="G33" s="1091"/>
    </row>
    <row r="34" spans="1:8" ht="19.5" customHeight="1">
      <c r="A34" s="1697"/>
      <c r="B34" s="1087" t="s">
        <v>819</v>
      </c>
      <c r="C34" s="1088" t="s">
        <v>846</v>
      </c>
      <c r="D34" s="1089"/>
      <c r="E34" s="1087">
        <v>1.5</v>
      </c>
      <c r="F34" s="1090" t="s">
        <v>847</v>
      </c>
      <c r="G34" s="1091"/>
    </row>
    <row r="35" spans="1:8" ht="19.5" customHeight="1">
      <c r="A35" s="1697" t="s">
        <v>137</v>
      </c>
      <c r="B35" s="1087" t="s">
        <v>817</v>
      </c>
      <c r="C35" s="1088" t="s">
        <v>848</v>
      </c>
      <c r="D35" s="1089"/>
      <c r="E35" s="1087">
        <v>1</v>
      </c>
      <c r="F35" s="1090" t="s">
        <v>849</v>
      </c>
      <c r="G35" s="1091"/>
    </row>
    <row r="36" spans="1:8" ht="19.5" customHeight="1">
      <c r="A36" s="1697"/>
      <c r="B36" s="1697" t="s">
        <v>819</v>
      </c>
      <c r="C36" s="1088" t="s">
        <v>850</v>
      </c>
      <c r="D36" s="1089"/>
      <c r="E36" s="1087">
        <v>1</v>
      </c>
      <c r="F36" s="1090" t="s">
        <v>851</v>
      </c>
      <c r="G36" s="1091"/>
    </row>
    <row r="37" spans="1:8" ht="19.5" customHeight="1">
      <c r="A37" s="1697"/>
      <c r="B37" s="1697"/>
      <c r="C37" s="1088" t="s">
        <v>852</v>
      </c>
      <c r="D37" s="1089"/>
      <c r="E37" s="1087">
        <v>1.5</v>
      </c>
      <c r="F37" s="1090" t="s">
        <v>853</v>
      </c>
      <c r="G37" s="1091"/>
    </row>
    <row r="38" spans="1:8" ht="19.5" customHeight="1">
      <c r="A38" s="1697"/>
      <c r="B38" s="1697"/>
      <c r="C38" s="1088" t="s">
        <v>854</v>
      </c>
      <c r="D38" s="1089"/>
      <c r="E38" s="1087">
        <v>1</v>
      </c>
      <c r="F38" s="1090" t="s">
        <v>855</v>
      </c>
      <c r="G38" s="1091"/>
    </row>
    <row r="39" spans="1:8" ht="19.5" customHeight="1">
      <c r="A39" s="1697"/>
      <c r="B39" s="1697"/>
      <c r="C39" s="1088" t="s">
        <v>856</v>
      </c>
      <c r="D39" s="1089"/>
      <c r="E39" s="1087">
        <v>1</v>
      </c>
      <c r="F39" s="1090" t="s">
        <v>857</v>
      </c>
      <c r="G39" s="1091"/>
    </row>
    <row r="40" spans="1:8" ht="19.5" customHeight="1">
      <c r="A40" s="1092" t="s">
        <v>858</v>
      </c>
      <c r="B40" s="1092"/>
      <c r="C40" s="1092"/>
      <c r="D40" s="1092"/>
      <c r="E40" s="1092"/>
      <c r="F40" s="1093"/>
      <c r="G40" s="1093"/>
    </row>
    <row r="42" spans="1:8" ht="19.5" customHeight="1">
      <c r="A42" s="1094"/>
      <c r="B42" s="1007" t="s">
        <v>859</v>
      </c>
      <c r="C42" s="1007" t="s">
        <v>859</v>
      </c>
      <c r="D42" s="1007" t="s">
        <v>859</v>
      </c>
      <c r="E42" s="1024" t="s">
        <v>859</v>
      </c>
      <c r="F42" s="1024" t="s">
        <v>859</v>
      </c>
      <c r="G42" s="1024" t="s">
        <v>418</v>
      </c>
      <c r="H42" s="1024" t="s">
        <v>859</v>
      </c>
    </row>
    <row r="43" spans="1:8" ht="19.5" customHeight="1">
      <c r="A43" s="1095"/>
      <c r="B43" s="1024" t="s">
        <v>377</v>
      </c>
      <c r="C43" s="1024" t="s">
        <v>377</v>
      </c>
      <c r="D43" s="1024" t="s">
        <v>377</v>
      </c>
      <c r="E43" s="1024" t="s">
        <v>377</v>
      </c>
      <c r="F43" s="1007" t="s">
        <v>78</v>
      </c>
      <c r="G43" s="1007" t="s">
        <v>137</v>
      </c>
      <c r="H43" s="1007" t="s">
        <v>860</v>
      </c>
    </row>
    <row r="44" spans="1:8" ht="19.5" customHeight="1">
      <c r="A44" s="1096"/>
      <c r="B44" s="1007">
        <v>1</v>
      </c>
      <c r="C44" s="1007">
        <v>2</v>
      </c>
      <c r="D44" s="1007">
        <v>3</v>
      </c>
      <c r="E44" s="1024">
        <v>4</v>
      </c>
      <c r="F44" s="1085" t="s">
        <v>861</v>
      </c>
      <c r="G44" s="1085" t="s">
        <v>861</v>
      </c>
      <c r="H44" s="1085" t="s">
        <v>861</v>
      </c>
    </row>
    <row r="45" spans="1:8" ht="19.5" customHeight="1">
      <c r="A45" s="1097" t="s">
        <v>49</v>
      </c>
      <c r="B45" s="1007">
        <v>0.8</v>
      </c>
      <c r="C45" s="1007">
        <v>0.5</v>
      </c>
      <c r="D45" s="1007">
        <v>0.36</v>
      </c>
      <c r="E45" s="1007">
        <v>0.3</v>
      </c>
      <c r="F45" s="1085">
        <v>0.3</v>
      </c>
      <c r="G45" s="1007">
        <v>0.3</v>
      </c>
      <c r="H45" s="1007">
        <v>0.25</v>
      </c>
    </row>
    <row r="46" spans="1:8" ht="19.5" customHeight="1">
      <c r="A46" s="1097" t="s">
        <v>63</v>
      </c>
      <c r="B46" s="1007">
        <v>0.8</v>
      </c>
      <c r="C46" s="1007">
        <v>0.5</v>
      </c>
      <c r="D46" s="1007">
        <v>0.36</v>
      </c>
      <c r="E46" s="1007">
        <v>0.3</v>
      </c>
      <c r="F46" s="1007">
        <v>0.3</v>
      </c>
      <c r="G46" s="1007">
        <v>0.3</v>
      </c>
      <c r="H46" s="1007">
        <v>0.25</v>
      </c>
    </row>
    <row r="47" spans="1:8" ht="19.5" customHeight="1">
      <c r="A47" s="1097" t="s">
        <v>75</v>
      </c>
      <c r="B47" s="1007">
        <v>0.7</v>
      </c>
      <c r="C47" s="1007">
        <v>0.4</v>
      </c>
      <c r="D47" s="1007">
        <v>0.28000000000000003</v>
      </c>
      <c r="E47" s="1007">
        <v>0.25</v>
      </c>
      <c r="F47" s="1007">
        <v>0.25</v>
      </c>
      <c r="G47" s="1007">
        <v>0.25</v>
      </c>
      <c r="H47" s="1007">
        <v>0.2</v>
      </c>
    </row>
    <row r="48" spans="1:8" ht="19.5" customHeight="1">
      <c r="A48" s="1097" t="s">
        <v>87</v>
      </c>
      <c r="B48" s="1007">
        <v>0.7</v>
      </c>
      <c r="C48" s="1007">
        <v>0.4</v>
      </c>
      <c r="D48" s="1007">
        <v>0.28000000000000003</v>
      </c>
      <c r="E48" s="1007">
        <v>0.25</v>
      </c>
      <c r="F48" s="1007">
        <v>0.25</v>
      </c>
      <c r="G48" s="1007">
        <v>0.25</v>
      </c>
      <c r="H48" s="1007">
        <v>0.2</v>
      </c>
    </row>
    <row r="49" spans="1:8" s="59" customFormat="1" ht="19.5" customHeight="1">
      <c r="A49" s="1097" t="s">
        <v>96</v>
      </c>
      <c r="B49" s="1007">
        <v>0.7</v>
      </c>
      <c r="C49" s="1007">
        <v>0.4</v>
      </c>
      <c r="D49" s="1007">
        <v>0.28000000000000003</v>
      </c>
      <c r="E49" s="1007">
        <v>0.25</v>
      </c>
      <c r="F49" s="1007">
        <v>0.25</v>
      </c>
      <c r="G49" s="1007">
        <v>0.25</v>
      </c>
      <c r="H49" s="1007">
        <v>0.2</v>
      </c>
    </row>
    <row r="50" spans="1:8" s="59" customFormat="1" ht="19.5" customHeight="1">
      <c r="A50" s="1097" t="s">
        <v>103</v>
      </c>
      <c r="B50" s="1007">
        <v>0.7</v>
      </c>
      <c r="C50" s="1007">
        <v>0.4</v>
      </c>
      <c r="D50" s="1007">
        <v>0.28000000000000003</v>
      </c>
      <c r="E50" s="1007">
        <v>0.25</v>
      </c>
      <c r="F50" s="1007">
        <v>0.25</v>
      </c>
      <c r="G50" s="1007">
        <v>0.25</v>
      </c>
      <c r="H50" s="1007">
        <v>0.2</v>
      </c>
    </row>
    <row r="51" spans="1:8" s="59" customFormat="1" ht="19.5" customHeight="1">
      <c r="A51" s="1097" t="s">
        <v>108</v>
      </c>
      <c r="B51" s="1007">
        <v>0.7</v>
      </c>
      <c r="C51" s="1007">
        <v>0.4</v>
      </c>
      <c r="D51" s="1007">
        <v>0.28000000000000003</v>
      </c>
      <c r="E51" s="1007">
        <v>0.25</v>
      </c>
      <c r="F51" s="1007">
        <v>0.25</v>
      </c>
      <c r="G51" s="1007">
        <v>0.25</v>
      </c>
      <c r="H51" s="1007">
        <v>0.2</v>
      </c>
    </row>
    <row r="52" spans="1:8" s="59" customFormat="1" ht="19.5" customHeight="1">
      <c r="A52" s="1097" t="s">
        <v>113</v>
      </c>
      <c r="B52" s="1007">
        <v>0.6</v>
      </c>
      <c r="C52" s="1007">
        <v>0.3</v>
      </c>
      <c r="D52" s="1007">
        <v>0.2</v>
      </c>
      <c r="E52" s="1007">
        <v>0.2</v>
      </c>
      <c r="F52" s="1007">
        <v>0.2</v>
      </c>
      <c r="G52" s="1007">
        <v>0.2</v>
      </c>
      <c r="H52" s="1007">
        <v>0.15</v>
      </c>
    </row>
    <row r="53" spans="1:8" s="59" customFormat="1" ht="19.5" customHeight="1">
      <c r="A53" s="1097" t="s">
        <v>116</v>
      </c>
      <c r="B53" s="1007">
        <v>0.6</v>
      </c>
      <c r="C53" s="1007">
        <v>0.3</v>
      </c>
      <c r="D53" s="1007">
        <v>0.2</v>
      </c>
      <c r="E53" s="1007">
        <v>0.2</v>
      </c>
      <c r="F53" s="1007">
        <v>0.2</v>
      </c>
      <c r="G53" s="1007">
        <v>0.2</v>
      </c>
      <c r="H53" s="1007">
        <v>0.15</v>
      </c>
    </row>
    <row r="54" spans="1:8" s="59" customFormat="1" ht="19.5" customHeight="1">
      <c r="A54" s="1097" t="s">
        <v>118</v>
      </c>
      <c r="B54" s="1007">
        <v>0.6</v>
      </c>
      <c r="C54" s="1007">
        <v>0.3</v>
      </c>
      <c r="D54" s="1007">
        <v>0.2</v>
      </c>
      <c r="E54" s="1007">
        <v>0.2</v>
      </c>
      <c r="F54" s="1007">
        <v>0.2</v>
      </c>
      <c r="G54" s="1007">
        <v>0.2</v>
      </c>
      <c r="H54" s="1007">
        <v>0.15</v>
      </c>
    </row>
    <row r="55" spans="1:8" s="59" customFormat="1" ht="19.5" customHeight="1">
      <c r="A55" s="1097" t="s">
        <v>120</v>
      </c>
      <c r="B55" s="1007">
        <v>0.6</v>
      </c>
      <c r="C55" s="1007">
        <v>0.3</v>
      </c>
      <c r="D55" s="1007">
        <v>0.2</v>
      </c>
      <c r="E55" s="1007">
        <v>0.2</v>
      </c>
      <c r="F55" s="1007">
        <v>0.2</v>
      </c>
      <c r="G55" s="1007">
        <v>0.2</v>
      </c>
      <c r="H55" s="1007">
        <v>0.15</v>
      </c>
    </row>
    <row r="56" spans="1:8" s="59" customFormat="1" ht="19.5" customHeight="1">
      <c r="A56" s="1097" t="s">
        <v>122</v>
      </c>
      <c r="B56" s="1007">
        <v>0.6</v>
      </c>
      <c r="C56" s="1007">
        <v>0.3</v>
      </c>
      <c r="D56" s="1007">
        <v>0.2</v>
      </c>
      <c r="E56" s="1007">
        <v>0.2</v>
      </c>
      <c r="F56" s="1007">
        <v>0.2</v>
      </c>
      <c r="G56" s="1007">
        <v>0.2</v>
      </c>
      <c r="H56" s="1007">
        <v>0.15</v>
      </c>
    </row>
    <row r="58" spans="1:8" s="59" customFormat="1" ht="19.5" customHeight="1">
      <c r="A58" s="1091"/>
      <c r="B58" s="1082"/>
      <c r="C58" s="1082"/>
      <c r="D58" s="1082" t="s">
        <v>862</v>
      </c>
      <c r="E58" s="1082"/>
      <c r="F58" s="1082"/>
    </row>
    <row r="59" spans="1:8" s="59" customFormat="1" ht="19.5" customHeight="1">
      <c r="A59" s="1087" t="s">
        <v>234</v>
      </c>
      <c r="B59" s="1087" t="s">
        <v>863</v>
      </c>
      <c r="C59" s="1087" t="s">
        <v>864</v>
      </c>
      <c r="D59" s="1087" t="s">
        <v>865</v>
      </c>
      <c r="E59" s="1087" t="s">
        <v>349</v>
      </c>
      <c r="F59" s="1087" t="s">
        <v>866</v>
      </c>
    </row>
    <row r="60" spans="1:8" ht="13.5">
      <c r="A60" s="1087"/>
      <c r="B60" s="1087"/>
      <c r="C60" s="1087" t="s">
        <v>867</v>
      </c>
      <c r="D60" s="1087"/>
      <c r="E60" s="1098" t="s">
        <v>48</v>
      </c>
      <c r="F60" s="1087" t="s">
        <v>48</v>
      </c>
    </row>
    <row r="61" spans="1:8" s="59" customFormat="1" ht="24">
      <c r="A61" s="1087">
        <v>1</v>
      </c>
      <c r="B61" s="1697" t="s">
        <v>868</v>
      </c>
      <c r="C61" s="1007" t="s">
        <v>869</v>
      </c>
      <c r="D61" s="1007" t="s">
        <v>870</v>
      </c>
      <c r="E61" s="1098">
        <v>0.5</v>
      </c>
      <c r="F61" s="1087">
        <v>80</v>
      </c>
    </row>
    <row r="62" spans="1:8" s="59" customFormat="1" ht="24">
      <c r="A62" s="1087">
        <v>2</v>
      </c>
      <c r="B62" s="1697"/>
      <c r="C62" s="1007" t="s">
        <v>871</v>
      </c>
      <c r="D62" s="1007" t="s">
        <v>872</v>
      </c>
      <c r="E62" s="1098">
        <v>0.5</v>
      </c>
      <c r="F62" s="1087">
        <v>80</v>
      </c>
    </row>
    <row r="63" spans="1:8" s="59" customFormat="1" ht="36">
      <c r="A63" s="1087">
        <v>3</v>
      </c>
      <c r="B63" s="1697"/>
      <c r="C63" s="1007" t="s">
        <v>873</v>
      </c>
      <c r="D63" s="1007" t="s">
        <v>874</v>
      </c>
      <c r="E63" s="1098">
        <v>0.5</v>
      </c>
      <c r="F63" s="1087">
        <v>80</v>
      </c>
    </row>
    <row r="64" spans="1:8" s="59" customFormat="1" ht="36">
      <c r="A64" s="1087">
        <v>4</v>
      </c>
      <c r="B64" s="1697"/>
      <c r="C64" s="1007" t="s">
        <v>875</v>
      </c>
      <c r="D64" s="1007" t="s">
        <v>876</v>
      </c>
      <c r="E64" s="1098">
        <v>0.4</v>
      </c>
      <c r="F64" s="1087">
        <v>60</v>
      </c>
    </row>
    <row r="65" spans="1:6" s="59" customFormat="1" ht="36">
      <c r="A65" s="1087">
        <v>5</v>
      </c>
      <c r="B65" s="1697"/>
      <c r="C65" s="1007" t="s">
        <v>877</v>
      </c>
      <c r="D65" s="1007" t="s">
        <v>878</v>
      </c>
      <c r="E65" s="1098">
        <v>0.2</v>
      </c>
      <c r="F65" s="1087">
        <v>30</v>
      </c>
    </row>
    <row r="66" spans="1:6" s="59" customFormat="1" ht="36">
      <c r="A66" s="1087">
        <v>6</v>
      </c>
      <c r="B66" s="1697"/>
      <c r="C66" s="1007" t="s">
        <v>879</v>
      </c>
      <c r="D66" s="1007" t="s">
        <v>880</v>
      </c>
      <c r="E66" s="1098">
        <v>0.3</v>
      </c>
      <c r="F66" s="1087">
        <v>50</v>
      </c>
    </row>
    <row r="67" spans="1:6" s="59" customFormat="1" ht="36">
      <c r="A67" s="1087">
        <v>7</v>
      </c>
      <c r="B67" s="1697"/>
      <c r="C67" s="1007" t="s">
        <v>881</v>
      </c>
      <c r="D67" s="1007" t="s">
        <v>882</v>
      </c>
      <c r="E67" s="1098">
        <v>0.2</v>
      </c>
      <c r="F67" s="1087">
        <v>30</v>
      </c>
    </row>
    <row r="68" spans="1:6" s="59" customFormat="1" ht="36">
      <c r="A68" s="1087">
        <v>8</v>
      </c>
      <c r="B68" s="1697"/>
      <c r="C68" s="1007" t="s">
        <v>883</v>
      </c>
      <c r="D68" s="1007" t="s">
        <v>884</v>
      </c>
      <c r="E68" s="1098">
        <v>0.2</v>
      </c>
      <c r="F68" s="1087">
        <v>30</v>
      </c>
    </row>
    <row r="69" spans="1:6" s="59" customFormat="1" ht="36">
      <c r="A69" s="1087">
        <v>9</v>
      </c>
      <c r="B69" s="1697"/>
      <c r="C69" s="1007" t="s">
        <v>885</v>
      </c>
      <c r="D69" s="1007" t="s">
        <v>886</v>
      </c>
      <c r="E69" s="1098">
        <v>0.2</v>
      </c>
      <c r="F69" s="1087">
        <v>30</v>
      </c>
    </row>
    <row r="70" spans="1:6" s="59" customFormat="1" ht="48">
      <c r="A70" s="1087">
        <v>10</v>
      </c>
      <c r="B70" s="1697"/>
      <c r="C70" s="1007" t="s">
        <v>887</v>
      </c>
      <c r="D70" s="1007" t="s">
        <v>888</v>
      </c>
      <c r="E70" s="1098">
        <v>0.2</v>
      </c>
      <c r="F70" s="1087">
        <v>30</v>
      </c>
    </row>
    <row r="71" spans="1:6" s="59" customFormat="1" ht="48">
      <c r="A71" s="1087">
        <v>11</v>
      </c>
      <c r="B71" s="1697"/>
      <c r="C71" s="1007" t="s">
        <v>889</v>
      </c>
      <c r="D71" s="1007" t="s">
        <v>890</v>
      </c>
      <c r="E71" s="1098">
        <v>0.2</v>
      </c>
      <c r="F71" s="1087">
        <v>30</v>
      </c>
    </row>
    <row r="72" spans="1:6" s="59" customFormat="1" ht="36">
      <c r="A72" s="1087">
        <v>12</v>
      </c>
      <c r="B72" s="1697"/>
      <c r="C72" s="1007" t="s">
        <v>891</v>
      </c>
      <c r="D72" s="1007" t="s">
        <v>892</v>
      </c>
      <c r="E72" s="1098">
        <v>0.5</v>
      </c>
      <c r="F72" s="1087">
        <v>80</v>
      </c>
    </row>
    <row r="73" spans="1:6" s="59" customFormat="1" ht="24">
      <c r="A73" s="1087">
        <v>13</v>
      </c>
      <c r="B73" s="1697"/>
      <c r="C73" s="1007" t="s">
        <v>893</v>
      </c>
      <c r="D73" s="1007" t="s">
        <v>894</v>
      </c>
      <c r="E73" s="1098">
        <v>0.4</v>
      </c>
      <c r="F73" s="1087">
        <v>60</v>
      </c>
    </row>
    <row r="74" spans="1:6" s="59" customFormat="1" ht="24">
      <c r="A74" s="1087">
        <v>14</v>
      </c>
      <c r="B74" s="1697"/>
      <c r="C74" s="1007" t="s">
        <v>895</v>
      </c>
      <c r="D74" s="1007" t="s">
        <v>896</v>
      </c>
      <c r="E74" s="1098">
        <v>0.2</v>
      </c>
      <c r="F74" s="1087">
        <v>30</v>
      </c>
    </row>
    <row r="75" spans="1:6" s="59" customFormat="1" ht="24">
      <c r="A75" s="1087">
        <v>15</v>
      </c>
      <c r="B75" s="1697"/>
      <c r="C75" s="1007" t="s">
        <v>897</v>
      </c>
      <c r="D75" s="1007" t="s">
        <v>898</v>
      </c>
      <c r="E75" s="1098">
        <v>0.2</v>
      </c>
      <c r="F75" s="1087">
        <v>30</v>
      </c>
    </row>
    <row r="76" spans="1:6" s="59" customFormat="1" ht="24">
      <c r="A76" s="1087">
        <v>16</v>
      </c>
      <c r="B76" s="1697" t="s">
        <v>899</v>
      </c>
      <c r="C76" s="1007" t="s">
        <v>900</v>
      </c>
      <c r="D76" s="1007" t="s">
        <v>901</v>
      </c>
      <c r="E76" s="1098">
        <v>0.5</v>
      </c>
      <c r="F76" s="1087">
        <v>80</v>
      </c>
    </row>
    <row r="77" spans="1:6" s="59" customFormat="1" ht="24">
      <c r="A77" s="1087">
        <v>17</v>
      </c>
      <c r="B77" s="1697"/>
      <c r="C77" s="1007" t="s">
        <v>902</v>
      </c>
      <c r="D77" s="1007" t="s">
        <v>903</v>
      </c>
      <c r="E77" s="1098">
        <v>0.5</v>
      </c>
      <c r="F77" s="1087">
        <v>80</v>
      </c>
    </row>
    <row r="78" spans="1:6" s="59" customFormat="1" ht="24">
      <c r="A78" s="1087">
        <v>18</v>
      </c>
      <c r="B78" s="1697"/>
      <c r="C78" s="1007" t="s">
        <v>904</v>
      </c>
      <c r="D78" s="1007" t="s">
        <v>905</v>
      </c>
      <c r="E78" s="1098">
        <v>0.2</v>
      </c>
      <c r="F78" s="1087">
        <v>30</v>
      </c>
    </row>
    <row r="79" spans="1:6" s="59" customFormat="1" ht="24">
      <c r="A79" s="1087">
        <v>19</v>
      </c>
      <c r="B79" s="1697"/>
      <c r="C79" s="1007" t="s">
        <v>906</v>
      </c>
      <c r="D79" s="1007" t="s">
        <v>907</v>
      </c>
      <c r="E79" s="1098">
        <v>0.5</v>
      </c>
      <c r="F79" s="1087">
        <v>80</v>
      </c>
    </row>
    <row r="80" spans="1:6" s="59" customFormat="1" ht="36">
      <c r="A80" s="1087">
        <v>20</v>
      </c>
      <c r="B80" s="1697"/>
      <c r="C80" s="1007" t="s">
        <v>908</v>
      </c>
      <c r="D80" s="1007" t="s">
        <v>909</v>
      </c>
      <c r="E80" s="1098">
        <v>0.2</v>
      </c>
      <c r="F80" s="1087">
        <v>30</v>
      </c>
    </row>
    <row r="81" spans="1:6" s="59" customFormat="1" ht="36">
      <c r="A81" s="1087">
        <v>21</v>
      </c>
      <c r="B81" s="1697"/>
      <c r="C81" s="1007" t="s">
        <v>910</v>
      </c>
      <c r="D81" s="1007" t="s">
        <v>911</v>
      </c>
      <c r="E81" s="1098">
        <v>0.2</v>
      </c>
      <c r="F81" s="1087">
        <v>30</v>
      </c>
    </row>
    <row r="82" spans="1:6" s="59" customFormat="1" ht="48">
      <c r="A82" s="1087">
        <v>22</v>
      </c>
      <c r="B82" s="1697"/>
      <c r="C82" s="1007" t="s">
        <v>912</v>
      </c>
      <c r="D82" s="1007" t="s">
        <v>913</v>
      </c>
      <c r="E82" s="1098">
        <v>0.2</v>
      </c>
      <c r="F82" s="1087">
        <v>30</v>
      </c>
    </row>
    <row r="83" spans="1:6" s="59" customFormat="1" ht="48">
      <c r="A83" s="1087">
        <v>23</v>
      </c>
      <c r="B83" s="1697"/>
      <c r="C83" s="1007" t="s">
        <v>914</v>
      </c>
      <c r="D83" s="1007" t="s">
        <v>915</v>
      </c>
      <c r="E83" s="1098">
        <v>0.2</v>
      </c>
      <c r="F83" s="1087">
        <v>30</v>
      </c>
    </row>
    <row r="84" spans="1:6" s="59" customFormat="1" ht="36">
      <c r="A84" s="1087">
        <v>24</v>
      </c>
      <c r="B84" s="1697"/>
      <c r="C84" s="1007" t="s">
        <v>916</v>
      </c>
      <c r="D84" s="1007" t="s">
        <v>917</v>
      </c>
      <c r="E84" s="1098">
        <v>0.2</v>
      </c>
      <c r="F84" s="1087">
        <v>30</v>
      </c>
    </row>
    <row r="85" spans="1:6" s="59" customFormat="1" ht="36">
      <c r="A85" s="1087">
        <v>25</v>
      </c>
      <c r="B85" s="1697"/>
      <c r="C85" s="1007" t="s">
        <v>918</v>
      </c>
      <c r="D85" s="1007" t="s">
        <v>919</v>
      </c>
      <c r="E85" s="1098">
        <v>0.5</v>
      </c>
      <c r="F85" s="1087">
        <v>80</v>
      </c>
    </row>
    <row r="86" spans="1:6" s="59" customFormat="1" ht="36">
      <c r="A86" s="1087">
        <v>26</v>
      </c>
      <c r="B86" s="1697"/>
      <c r="C86" s="1007" t="s">
        <v>920</v>
      </c>
      <c r="D86" s="1007" t="s">
        <v>921</v>
      </c>
      <c r="E86" s="1098">
        <v>0.2</v>
      </c>
      <c r="F86" s="1087">
        <v>30</v>
      </c>
    </row>
    <row r="87" spans="1:6" s="59" customFormat="1" ht="36">
      <c r="A87" s="1087">
        <v>27</v>
      </c>
      <c r="B87" s="1697"/>
      <c r="C87" s="1007" t="s">
        <v>922</v>
      </c>
      <c r="D87" s="1007" t="s">
        <v>923</v>
      </c>
      <c r="E87" s="1098">
        <v>0.2</v>
      </c>
      <c r="F87" s="1087">
        <v>30</v>
      </c>
    </row>
    <row r="88" spans="1:6" s="59" customFormat="1" ht="36">
      <c r="A88" s="1087">
        <v>28</v>
      </c>
      <c r="B88" s="1697"/>
      <c r="C88" s="1007" t="s">
        <v>924</v>
      </c>
      <c r="D88" s="1007" t="s">
        <v>925</v>
      </c>
      <c r="E88" s="1098">
        <v>0.2</v>
      </c>
      <c r="F88" s="1087">
        <v>30</v>
      </c>
    </row>
    <row r="89" spans="1:6" s="59" customFormat="1" ht="24">
      <c r="A89" s="1087">
        <v>29</v>
      </c>
      <c r="B89" s="1697"/>
      <c r="C89" s="1007" t="s">
        <v>926</v>
      </c>
      <c r="D89" s="1007" t="s">
        <v>927</v>
      </c>
      <c r="E89" s="1098">
        <v>0.2</v>
      </c>
      <c r="F89" s="1087">
        <v>30</v>
      </c>
    </row>
    <row r="90" spans="1:6" s="59" customFormat="1" ht="24">
      <c r="A90" s="1087">
        <v>30</v>
      </c>
      <c r="B90" s="1697"/>
      <c r="C90" s="1007" t="s">
        <v>928</v>
      </c>
      <c r="D90" s="1007" t="s">
        <v>929</v>
      </c>
      <c r="E90" s="1098">
        <v>0.2</v>
      </c>
      <c r="F90" s="1087">
        <v>30</v>
      </c>
    </row>
    <row r="91" spans="1:6" s="59" customFormat="1" ht="36">
      <c r="A91" s="1087">
        <v>31</v>
      </c>
      <c r="B91" s="1697"/>
      <c r="C91" s="1007" t="s">
        <v>930</v>
      </c>
      <c r="D91" s="1007" t="s">
        <v>931</v>
      </c>
      <c r="E91" s="1098">
        <v>0.2</v>
      </c>
      <c r="F91" s="1087">
        <v>30</v>
      </c>
    </row>
    <row r="92" spans="1:6" s="59" customFormat="1" ht="24">
      <c r="A92" s="1087">
        <v>32</v>
      </c>
      <c r="B92" s="1697" t="s">
        <v>932</v>
      </c>
      <c r="C92" s="1087" t="s">
        <v>933</v>
      </c>
      <c r="D92" s="1007" t="s">
        <v>934</v>
      </c>
      <c r="E92" s="1098">
        <v>0.2</v>
      </c>
      <c r="F92" s="1087">
        <v>30</v>
      </c>
    </row>
    <row r="93" spans="1:6" s="59" customFormat="1" ht="36">
      <c r="A93" s="1087">
        <v>33</v>
      </c>
      <c r="B93" s="1697"/>
      <c r="C93" s="1087" t="s">
        <v>935</v>
      </c>
      <c r="D93" s="1007" t="s">
        <v>936</v>
      </c>
      <c r="E93" s="1098">
        <v>0.2</v>
      </c>
      <c r="F93" s="1087">
        <v>30</v>
      </c>
    </row>
    <row r="94" spans="1:6" s="59" customFormat="1" ht="48">
      <c r="A94" s="1087">
        <v>34</v>
      </c>
      <c r="B94" s="1697"/>
      <c r="C94" s="1087" t="s">
        <v>937</v>
      </c>
      <c r="D94" s="1007" t="s">
        <v>938</v>
      </c>
      <c r="E94" s="1098">
        <v>0.2</v>
      </c>
      <c r="F94" s="1087">
        <v>30</v>
      </c>
    </row>
    <row r="95" spans="1:6" s="59" customFormat="1" ht="36">
      <c r="A95" s="1087">
        <v>35</v>
      </c>
      <c r="B95" s="1697"/>
      <c r="C95" s="1087" t="s">
        <v>939</v>
      </c>
      <c r="D95" s="1007" t="s">
        <v>940</v>
      </c>
      <c r="E95" s="1098">
        <v>0.2</v>
      </c>
      <c r="F95" s="1087">
        <v>30</v>
      </c>
    </row>
    <row r="96" spans="1:6" s="59" customFormat="1" ht="48">
      <c r="A96" s="1087">
        <v>36</v>
      </c>
      <c r="B96" s="1697"/>
      <c r="C96" s="1007" t="s">
        <v>941</v>
      </c>
      <c r="D96" s="1007" t="s">
        <v>942</v>
      </c>
      <c r="E96" s="1098">
        <v>0.2</v>
      </c>
      <c r="F96" s="1087">
        <v>30</v>
      </c>
    </row>
    <row r="97" spans="1:6" s="59" customFormat="1" ht="36">
      <c r="A97" s="1087">
        <v>37</v>
      </c>
      <c r="B97" s="1697"/>
      <c r="C97" s="1087" t="s">
        <v>943</v>
      </c>
      <c r="D97" s="1007" t="s">
        <v>944</v>
      </c>
      <c r="E97" s="1098">
        <v>0.2</v>
      </c>
      <c r="F97" s="1087">
        <v>30</v>
      </c>
    </row>
    <row r="98" spans="1:6" s="59" customFormat="1" ht="36">
      <c r="A98" s="1087">
        <v>38</v>
      </c>
      <c r="B98" s="1697"/>
      <c r="C98" s="1087" t="s">
        <v>945</v>
      </c>
      <c r="D98" s="1007" t="s">
        <v>946</v>
      </c>
      <c r="E98" s="1098">
        <v>0.2</v>
      </c>
      <c r="F98" s="1087">
        <v>30</v>
      </c>
    </row>
    <row r="99" spans="1:6" s="59" customFormat="1" ht="36">
      <c r="A99" s="1087">
        <v>39</v>
      </c>
      <c r="B99" s="1697" t="s">
        <v>947</v>
      </c>
      <c r="C99" s="1087" t="s">
        <v>948</v>
      </c>
      <c r="D99" s="1007" t="s">
        <v>949</v>
      </c>
      <c r="E99" s="1098">
        <v>0.3</v>
      </c>
      <c r="F99" s="1087">
        <v>50</v>
      </c>
    </row>
    <row r="100" spans="1:6" s="59" customFormat="1" ht="24">
      <c r="A100" s="1087">
        <v>40</v>
      </c>
      <c r="B100" s="1697"/>
      <c r="C100" s="1087" t="s">
        <v>950</v>
      </c>
      <c r="D100" s="1007" t="s">
        <v>951</v>
      </c>
      <c r="E100" s="1098">
        <v>0.2</v>
      </c>
      <c r="F100" s="1087">
        <v>30</v>
      </c>
    </row>
    <row r="101" spans="1:6" s="59" customFormat="1" ht="36">
      <c r="A101" s="1087">
        <v>41</v>
      </c>
      <c r="B101" s="1697"/>
      <c r="C101" s="1087" t="s">
        <v>952</v>
      </c>
      <c r="D101" s="1007" t="s">
        <v>949</v>
      </c>
      <c r="E101" s="1098">
        <v>0.2</v>
      </c>
      <c r="F101" s="1087">
        <v>30</v>
      </c>
    </row>
    <row r="102" spans="1:6" s="59" customFormat="1" ht="48">
      <c r="A102" s="1087">
        <v>42</v>
      </c>
      <c r="B102" s="1087" t="s">
        <v>953</v>
      </c>
      <c r="C102" s="1007" t="s">
        <v>954</v>
      </c>
      <c r="D102" s="1007" t="s">
        <v>955</v>
      </c>
      <c r="E102" s="1098">
        <v>0.2</v>
      </c>
      <c r="F102" s="1087">
        <v>30</v>
      </c>
    </row>
    <row r="103" spans="1:6" s="59" customFormat="1" ht="24">
      <c r="A103" s="1087">
        <v>43</v>
      </c>
      <c r="B103" s="1087" t="s">
        <v>956</v>
      </c>
      <c r="C103" s="1087" t="s">
        <v>957</v>
      </c>
      <c r="D103" s="1007" t="s">
        <v>958</v>
      </c>
      <c r="E103" s="1098">
        <v>0.2</v>
      </c>
      <c r="F103" s="1087">
        <v>30</v>
      </c>
    </row>
    <row r="104" spans="1:6" s="59" customFormat="1" ht="36">
      <c r="A104" s="1087">
        <v>44</v>
      </c>
      <c r="B104" s="1087" t="s">
        <v>959</v>
      </c>
      <c r="C104" s="1087" t="s">
        <v>960</v>
      </c>
      <c r="D104" s="1007" t="s">
        <v>961</v>
      </c>
      <c r="E104" s="1098">
        <v>0.2</v>
      </c>
      <c r="F104" s="1087">
        <v>30</v>
      </c>
    </row>
    <row r="105" spans="1:6" s="59" customFormat="1" ht="36">
      <c r="A105" s="1087">
        <v>45</v>
      </c>
      <c r="B105" s="1697" t="s">
        <v>962</v>
      </c>
      <c r="C105" s="1087" t="s">
        <v>963</v>
      </c>
      <c r="D105" s="1007" t="s">
        <v>964</v>
      </c>
      <c r="E105" s="1098">
        <v>0.2</v>
      </c>
      <c r="F105" s="1087">
        <v>30</v>
      </c>
    </row>
    <row r="106" spans="1:6" s="59" customFormat="1" ht="36">
      <c r="A106" s="1087">
        <v>46</v>
      </c>
      <c r="B106" s="1697"/>
      <c r="C106" s="1087" t="s">
        <v>965</v>
      </c>
      <c r="D106" s="1007" t="s">
        <v>966</v>
      </c>
      <c r="E106" s="1098">
        <v>0.2</v>
      </c>
      <c r="F106" s="1087">
        <v>30</v>
      </c>
    </row>
    <row r="107" spans="1:6" s="59" customFormat="1" ht="36">
      <c r="A107" s="1087">
        <v>47</v>
      </c>
      <c r="B107" s="1697" t="s">
        <v>967</v>
      </c>
      <c r="C107" s="1087" t="s">
        <v>968</v>
      </c>
      <c r="D107" s="1007" t="s">
        <v>969</v>
      </c>
      <c r="E107" s="1098">
        <v>0.3</v>
      </c>
      <c r="F107" s="1087">
        <v>50</v>
      </c>
    </row>
    <row r="108" spans="1:6" s="59" customFormat="1" ht="36">
      <c r="A108" s="1087">
        <v>48</v>
      </c>
      <c r="B108" s="1697"/>
      <c r="C108" s="1087" t="s">
        <v>970</v>
      </c>
      <c r="D108" s="1007" t="s">
        <v>971</v>
      </c>
      <c r="E108" s="1098">
        <v>0.2</v>
      </c>
      <c r="F108" s="1087">
        <v>30</v>
      </c>
    </row>
    <row r="109" spans="1:6" s="59" customFormat="1" ht="36">
      <c r="A109" s="1087">
        <v>49</v>
      </c>
      <c r="B109" s="1087" t="s">
        <v>972</v>
      </c>
      <c r="C109" s="1087" t="s">
        <v>973</v>
      </c>
      <c r="D109" s="1007" t="s">
        <v>974</v>
      </c>
      <c r="E109" s="1098">
        <v>0.2</v>
      </c>
      <c r="F109" s="1087">
        <v>30</v>
      </c>
    </row>
    <row r="110" spans="1:6" s="59" customFormat="1" ht="36">
      <c r="A110" s="1087">
        <v>50</v>
      </c>
      <c r="B110" s="1087" t="s">
        <v>975</v>
      </c>
      <c r="C110" s="1087" t="s">
        <v>976</v>
      </c>
      <c r="D110" s="1007" t="s">
        <v>977</v>
      </c>
      <c r="E110" s="1098">
        <v>0.2</v>
      </c>
      <c r="F110" s="1087">
        <v>30</v>
      </c>
    </row>
    <row r="111" spans="1:6" s="59" customFormat="1" ht="36">
      <c r="A111" s="1087">
        <v>51</v>
      </c>
      <c r="B111" s="1697" t="s">
        <v>978</v>
      </c>
      <c r="C111" s="1087" t="s">
        <v>979</v>
      </c>
      <c r="D111" s="1007" t="s">
        <v>980</v>
      </c>
      <c r="E111" s="1098">
        <v>0.2</v>
      </c>
      <c r="F111" s="1087">
        <v>30</v>
      </c>
    </row>
    <row r="112" spans="1:6" s="59" customFormat="1" ht="24">
      <c r="A112" s="1087">
        <v>52</v>
      </c>
      <c r="B112" s="1697"/>
      <c r="C112" s="1087" t="s">
        <v>981</v>
      </c>
      <c r="D112" s="1007" t="s">
        <v>982</v>
      </c>
      <c r="E112" s="1098">
        <v>0.2</v>
      </c>
      <c r="F112" s="1087">
        <v>30</v>
      </c>
    </row>
    <row r="113" spans="1:6" s="59" customFormat="1" ht="24">
      <c r="A113" s="1087">
        <v>53</v>
      </c>
      <c r="B113" s="1697"/>
      <c r="C113" s="1087" t="s">
        <v>983</v>
      </c>
      <c r="D113" s="1007" t="s">
        <v>984</v>
      </c>
      <c r="E113" s="1098">
        <v>0.2</v>
      </c>
      <c r="F113" s="1087">
        <v>30</v>
      </c>
    </row>
    <row r="114" spans="1:6" ht="36">
      <c r="A114" s="1087">
        <v>54</v>
      </c>
      <c r="B114" s="1087" t="s">
        <v>985</v>
      </c>
      <c r="C114" s="1087" t="s">
        <v>986</v>
      </c>
      <c r="D114" s="1007" t="s">
        <v>987</v>
      </c>
      <c r="E114" s="1098">
        <v>0.2</v>
      </c>
      <c r="F114" s="1087">
        <v>30</v>
      </c>
    </row>
    <row r="115" spans="1:6" ht="24">
      <c r="A115" s="1087">
        <v>55</v>
      </c>
      <c r="B115" s="1087" t="s">
        <v>988</v>
      </c>
      <c r="C115" s="1087" t="s">
        <v>989</v>
      </c>
      <c r="D115" s="1007" t="s">
        <v>990</v>
      </c>
      <c r="E115" s="1098">
        <v>0.2</v>
      </c>
      <c r="F115" s="1087">
        <v>30</v>
      </c>
    </row>
    <row r="116" spans="1:6" ht="24">
      <c r="A116" s="1087">
        <v>56</v>
      </c>
      <c r="B116" s="1697" t="s">
        <v>991</v>
      </c>
      <c r="C116" s="1087" t="s">
        <v>992</v>
      </c>
      <c r="D116" s="1007" t="s">
        <v>993</v>
      </c>
      <c r="E116" s="1098">
        <v>0.2</v>
      </c>
      <c r="F116" s="1087">
        <v>30</v>
      </c>
    </row>
    <row r="117" spans="1:6" ht="36">
      <c r="A117" s="1087">
        <v>57</v>
      </c>
      <c r="B117" s="1697"/>
      <c r="C117" s="1087" t="s">
        <v>994</v>
      </c>
      <c r="D117" s="1007" t="s">
        <v>995</v>
      </c>
      <c r="E117" s="1098">
        <v>0.2</v>
      </c>
      <c r="F117" s="1087">
        <v>30</v>
      </c>
    </row>
    <row r="118" spans="1:6" ht="36">
      <c r="A118" s="1087">
        <v>58</v>
      </c>
      <c r="B118" s="1087" t="s">
        <v>996</v>
      </c>
      <c r="C118" s="1087" t="s">
        <v>997</v>
      </c>
      <c r="D118" s="1007" t="s">
        <v>998</v>
      </c>
      <c r="E118" s="1098">
        <v>0.2</v>
      </c>
      <c r="F118" s="1087">
        <v>30</v>
      </c>
    </row>
    <row r="119" spans="1:6" ht="13.5">
      <c r="A119" s="1087"/>
      <c r="B119" s="1087"/>
      <c r="C119" s="1087" t="s">
        <v>867</v>
      </c>
      <c r="D119" s="1087"/>
      <c r="E119" s="1098" t="s">
        <v>48</v>
      </c>
      <c r="F119" s="1087" t="s">
        <v>48</v>
      </c>
    </row>
  </sheetData>
  <sheetProtection sheet="1" objects="1" scenarios="1" formatCells="0" formatColumns="0" formatRows="0"/>
  <mergeCells count="15">
    <mergeCell ref="B107:B108"/>
    <mergeCell ref="B111:B113"/>
    <mergeCell ref="B116:B117"/>
    <mergeCell ref="B61:B75"/>
    <mergeCell ref="B76:B91"/>
    <mergeCell ref="B92:B98"/>
    <mergeCell ref="B99:B101"/>
    <mergeCell ref="B105:B106"/>
    <mergeCell ref="A18:A22"/>
    <mergeCell ref="A23:A32"/>
    <mergeCell ref="A33:A34"/>
    <mergeCell ref="A35:A39"/>
    <mergeCell ref="B19:B22"/>
    <mergeCell ref="B24:B32"/>
    <mergeCell ref="B36:B39"/>
  </mergeCells>
  <phoneticPr fontId="14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1069"/>
  </cols>
  <sheetData>
    <row r="1" spans="1:14" ht="14.25">
      <c r="A1" s="1070" t="s">
        <v>999</v>
      </c>
      <c r="B1" s="1071"/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</row>
    <row r="2" spans="1:14">
      <c r="A2" s="1072" t="s">
        <v>254</v>
      </c>
      <c r="B2" s="1073" t="s">
        <v>49</v>
      </c>
      <c r="C2" s="1073" t="s">
        <v>63</v>
      </c>
      <c r="D2" s="1073" t="s">
        <v>75</v>
      </c>
      <c r="E2" s="1073" t="s">
        <v>87</v>
      </c>
      <c r="F2" s="1073" t="s">
        <v>96</v>
      </c>
      <c r="G2" s="1073" t="s">
        <v>103</v>
      </c>
      <c r="H2" s="1074" t="s">
        <v>108</v>
      </c>
      <c r="I2" s="1074" t="s">
        <v>113</v>
      </c>
      <c r="J2" s="1077" t="s">
        <v>116</v>
      </c>
      <c r="K2" s="1077" t="s">
        <v>118</v>
      </c>
      <c r="L2" s="1077" t="s">
        <v>120</v>
      </c>
      <c r="M2" s="1077" t="s">
        <v>122</v>
      </c>
    </row>
    <row r="3" spans="1:14">
      <c r="A3" s="1072">
        <v>0.1</v>
      </c>
      <c r="B3" s="1075">
        <v>15.052</v>
      </c>
      <c r="C3" s="1075">
        <v>15.052</v>
      </c>
      <c r="D3" s="1075">
        <v>14.263</v>
      </c>
      <c r="E3" s="1075">
        <v>14.263</v>
      </c>
      <c r="F3" s="1075">
        <v>14.263</v>
      </c>
      <c r="G3" s="1075">
        <v>14.263</v>
      </c>
      <c r="H3" s="1075">
        <v>14.263</v>
      </c>
      <c r="I3" s="1075">
        <v>14.097</v>
      </c>
      <c r="J3" s="1075">
        <v>14.097</v>
      </c>
      <c r="K3" s="1075">
        <v>14.097</v>
      </c>
      <c r="L3" s="1075">
        <v>14.097</v>
      </c>
      <c r="M3" s="1075">
        <v>14.097</v>
      </c>
    </row>
    <row r="4" spans="1:14">
      <c r="A4" s="1072">
        <v>0.2</v>
      </c>
      <c r="B4" s="1075">
        <v>7.5259999999999998</v>
      </c>
      <c r="C4" s="1075">
        <v>7.5259999999999998</v>
      </c>
      <c r="D4" s="1075">
        <v>7.1315</v>
      </c>
      <c r="E4" s="1075">
        <v>7.1315</v>
      </c>
      <c r="F4" s="1075">
        <v>7.1315</v>
      </c>
      <c r="G4" s="1075">
        <v>7.1315</v>
      </c>
      <c r="H4" s="1075">
        <v>7.1315</v>
      </c>
      <c r="I4" s="1075">
        <v>7.0484999999999998</v>
      </c>
      <c r="J4" s="1075">
        <v>7.0484999999999998</v>
      </c>
      <c r="K4" s="1075">
        <v>7.0484999999999998</v>
      </c>
      <c r="L4" s="1075">
        <v>7.0484999999999998</v>
      </c>
      <c r="M4" s="1075">
        <v>7.0484999999999998</v>
      </c>
    </row>
    <row r="5" spans="1:14">
      <c r="A5" s="1072">
        <v>0.3</v>
      </c>
      <c r="B5" s="1075">
        <v>5.0172999999999996</v>
      </c>
      <c r="C5" s="1075">
        <v>5.0172999999999996</v>
      </c>
      <c r="D5" s="1075">
        <v>4.7542999999999997</v>
      </c>
      <c r="E5" s="1075">
        <v>4.7542999999999997</v>
      </c>
      <c r="F5" s="1075">
        <v>4.7542999999999997</v>
      </c>
      <c r="G5" s="1075">
        <v>4.7542999999999997</v>
      </c>
      <c r="H5" s="1075">
        <v>4.7542999999999997</v>
      </c>
      <c r="I5" s="1075">
        <v>4.6989999999999998</v>
      </c>
      <c r="J5" s="1075">
        <v>4.6989999999999998</v>
      </c>
      <c r="K5" s="1075">
        <v>4.6989999999999998</v>
      </c>
      <c r="L5" s="1075">
        <v>4.6989999999999998</v>
      </c>
      <c r="M5" s="1075">
        <v>4.6989999999999998</v>
      </c>
    </row>
    <row r="6" spans="1:14">
      <c r="A6" s="1072">
        <v>0.4</v>
      </c>
      <c r="B6" s="1075">
        <v>3.7629999999999999</v>
      </c>
      <c r="C6" s="1075">
        <v>3.7629999999999999</v>
      </c>
      <c r="D6" s="1075">
        <v>3.5657999999999999</v>
      </c>
      <c r="E6" s="1075">
        <v>3.5657999999999999</v>
      </c>
      <c r="F6" s="1075">
        <v>3.5657999999999999</v>
      </c>
      <c r="G6" s="1075">
        <v>3.5657999999999999</v>
      </c>
      <c r="H6" s="1075">
        <v>3.5657999999999999</v>
      </c>
      <c r="I6" s="1075">
        <v>3.5243000000000002</v>
      </c>
      <c r="J6" s="1075">
        <v>3.5243000000000002</v>
      </c>
      <c r="K6" s="1075">
        <v>3.5243000000000002</v>
      </c>
      <c r="L6" s="1075">
        <v>3.5243000000000002</v>
      </c>
      <c r="M6" s="1075">
        <v>3.5243000000000002</v>
      </c>
    </row>
    <row r="7" spans="1:14">
      <c r="A7" s="1072">
        <v>0.5</v>
      </c>
      <c r="B7" s="1075">
        <v>3.0104000000000002</v>
      </c>
      <c r="C7" s="1075">
        <v>3.0104000000000002</v>
      </c>
      <c r="D7" s="1075">
        <v>2.8525999999999998</v>
      </c>
      <c r="E7" s="1075">
        <v>2.8525999999999998</v>
      </c>
      <c r="F7" s="1075">
        <v>2.8525999999999998</v>
      </c>
      <c r="G7" s="1075">
        <v>2.8525999999999998</v>
      </c>
      <c r="H7" s="1075">
        <v>2.8525999999999998</v>
      </c>
      <c r="I7" s="1075">
        <v>2.8193999999999999</v>
      </c>
      <c r="J7" s="1075">
        <v>2.8193999999999999</v>
      </c>
      <c r="K7" s="1075">
        <v>2.8193999999999999</v>
      </c>
      <c r="L7" s="1075">
        <v>2.8193999999999999</v>
      </c>
      <c r="M7" s="1075">
        <v>2.8193999999999999</v>
      </c>
    </row>
    <row r="8" spans="1:14">
      <c r="A8" s="1072">
        <v>0.6</v>
      </c>
      <c r="B8" s="1075">
        <v>2.5087000000000002</v>
      </c>
      <c r="C8" s="1075">
        <v>2.5087000000000002</v>
      </c>
      <c r="D8" s="1075">
        <v>2.3772000000000002</v>
      </c>
      <c r="E8" s="1075">
        <v>2.3772000000000002</v>
      </c>
      <c r="F8" s="1075">
        <v>2.3772000000000002</v>
      </c>
      <c r="G8" s="1075">
        <v>2.3772000000000002</v>
      </c>
      <c r="H8" s="1075">
        <v>2.3772000000000002</v>
      </c>
      <c r="I8" s="1075">
        <v>2.3494999999999999</v>
      </c>
      <c r="J8" s="1075">
        <v>2.3494999999999999</v>
      </c>
      <c r="K8" s="1075">
        <v>2.3494999999999999</v>
      </c>
      <c r="L8" s="1075">
        <v>2.3494999999999999</v>
      </c>
      <c r="M8" s="1075">
        <v>2.3494999999999999</v>
      </c>
    </row>
    <row r="9" spans="1:14">
      <c r="A9" s="1072">
        <v>0.7</v>
      </c>
      <c r="B9" s="1075">
        <v>2.1503000000000001</v>
      </c>
      <c r="C9" s="1075">
        <v>2.1503000000000001</v>
      </c>
      <c r="D9" s="1075">
        <v>2.0375999999999999</v>
      </c>
      <c r="E9" s="1075">
        <v>2.0375999999999999</v>
      </c>
      <c r="F9" s="1075">
        <v>2.0375999999999999</v>
      </c>
      <c r="G9" s="1075">
        <v>2.0375999999999999</v>
      </c>
      <c r="H9" s="1075">
        <v>2.0375999999999999</v>
      </c>
      <c r="I9" s="1075">
        <v>2.0139</v>
      </c>
      <c r="J9" s="1075">
        <v>2.0139</v>
      </c>
      <c r="K9" s="1075">
        <v>2.0139</v>
      </c>
      <c r="L9" s="1075">
        <v>2.0139</v>
      </c>
      <c r="M9" s="1075">
        <v>2.0139</v>
      </c>
    </row>
    <row r="10" spans="1:14">
      <c r="A10" s="1072">
        <v>0.8</v>
      </c>
      <c r="B10" s="1075">
        <v>1.8815</v>
      </c>
      <c r="C10" s="1075">
        <v>1.8815</v>
      </c>
      <c r="D10" s="1075">
        <v>1.7828999999999999</v>
      </c>
      <c r="E10" s="1075">
        <v>1.7828999999999999</v>
      </c>
      <c r="F10" s="1075">
        <v>1.7828999999999999</v>
      </c>
      <c r="G10" s="1075">
        <v>1.7828999999999999</v>
      </c>
      <c r="H10" s="1075">
        <v>1.7828999999999999</v>
      </c>
      <c r="I10" s="1075">
        <v>1.7621</v>
      </c>
      <c r="J10" s="1075">
        <v>1.7621</v>
      </c>
      <c r="K10" s="1075">
        <v>1.7621</v>
      </c>
      <c r="L10" s="1075">
        <v>1.7621</v>
      </c>
      <c r="M10" s="1075">
        <v>1.7621</v>
      </c>
    </row>
    <row r="11" spans="1:14">
      <c r="A11" s="1072">
        <v>0.9</v>
      </c>
      <c r="B11" s="1075">
        <v>1.6724000000000001</v>
      </c>
      <c r="C11" s="1075">
        <v>1.6724000000000001</v>
      </c>
      <c r="D11" s="1075">
        <v>1.5848</v>
      </c>
      <c r="E11" s="1075">
        <v>1.5848</v>
      </c>
      <c r="F11" s="1075">
        <v>1.5848</v>
      </c>
      <c r="G11" s="1075">
        <v>1.5848</v>
      </c>
      <c r="H11" s="1075">
        <v>1.5848</v>
      </c>
      <c r="I11" s="1075">
        <v>1.5663</v>
      </c>
      <c r="J11" s="1075">
        <v>1.5663</v>
      </c>
      <c r="K11" s="1075">
        <v>1.5663</v>
      </c>
      <c r="L11" s="1075">
        <v>1.5663</v>
      </c>
      <c r="M11" s="1075">
        <v>1.5663</v>
      </c>
    </row>
    <row r="12" spans="1:14">
      <c r="A12" s="1072">
        <v>1</v>
      </c>
      <c r="B12" s="1075">
        <v>1.5052000000000001</v>
      </c>
      <c r="C12" s="1075">
        <v>1.5052000000000001</v>
      </c>
      <c r="D12" s="1075">
        <v>1.4262999999999999</v>
      </c>
      <c r="E12" s="1075">
        <v>1.4262999999999999</v>
      </c>
      <c r="F12" s="1075">
        <v>1.4262999999999999</v>
      </c>
      <c r="G12" s="1075">
        <v>1.4262999999999999</v>
      </c>
      <c r="H12" s="1075">
        <v>1.4262999999999999</v>
      </c>
      <c r="I12" s="1075">
        <v>1.4097</v>
      </c>
      <c r="J12" s="1075">
        <v>1.4097</v>
      </c>
      <c r="K12" s="1075">
        <v>1.4097</v>
      </c>
      <c r="L12" s="1075">
        <v>1.4097</v>
      </c>
      <c r="M12" s="1075">
        <v>1.4097</v>
      </c>
    </row>
    <row r="13" spans="1:14">
      <c r="A13" s="1072">
        <v>1.1000000000000001</v>
      </c>
      <c r="B13" s="1075">
        <v>1.4509000000000001</v>
      </c>
      <c r="C13" s="1075">
        <v>1.4509000000000001</v>
      </c>
      <c r="D13" s="1075">
        <v>1.3697999999999999</v>
      </c>
      <c r="E13" s="1075">
        <v>1.3697999999999999</v>
      </c>
      <c r="F13" s="1075">
        <v>1.3697999999999999</v>
      </c>
      <c r="G13" s="1075">
        <v>1.3697999999999999</v>
      </c>
      <c r="H13" s="1075">
        <v>1.3697999999999999</v>
      </c>
      <c r="I13" s="1075">
        <v>1.343</v>
      </c>
      <c r="J13" s="1075">
        <v>1.343</v>
      </c>
      <c r="K13" s="1075">
        <v>1.343</v>
      </c>
      <c r="L13" s="1075">
        <v>1.343</v>
      </c>
      <c r="M13" s="1075">
        <v>1.343</v>
      </c>
    </row>
    <row r="14" spans="1:14">
      <c r="A14" s="1072">
        <v>1.2</v>
      </c>
      <c r="B14" s="1075">
        <v>1.4035</v>
      </c>
      <c r="C14" s="1075">
        <v>1.4035</v>
      </c>
      <c r="D14" s="1075">
        <v>1.3205</v>
      </c>
      <c r="E14" s="1075">
        <v>1.3205</v>
      </c>
      <c r="F14" s="1075">
        <v>1.3205</v>
      </c>
      <c r="G14" s="1075">
        <v>1.3205</v>
      </c>
      <c r="H14" s="1075">
        <v>1.3205</v>
      </c>
      <c r="I14" s="1075">
        <v>1.2845</v>
      </c>
      <c r="J14" s="1075">
        <v>1.2845</v>
      </c>
      <c r="K14" s="1075">
        <v>1.2845</v>
      </c>
      <c r="L14" s="1075">
        <v>1.2845</v>
      </c>
      <c r="M14" s="1075">
        <v>1.2845</v>
      </c>
    </row>
    <row r="15" spans="1:14">
      <c r="A15" s="1072">
        <v>1.3</v>
      </c>
      <c r="B15" s="1075">
        <v>1.3622000000000001</v>
      </c>
      <c r="C15" s="1075">
        <v>1.3622000000000001</v>
      </c>
      <c r="D15" s="1075">
        <v>1.2775000000000001</v>
      </c>
      <c r="E15" s="1075">
        <v>1.2775000000000001</v>
      </c>
      <c r="F15" s="1075">
        <v>1.2775000000000001</v>
      </c>
      <c r="G15" s="1075">
        <v>1.2775000000000001</v>
      </c>
      <c r="H15" s="1075">
        <v>1.2775000000000001</v>
      </c>
      <c r="I15" s="1075">
        <v>1.2332000000000001</v>
      </c>
      <c r="J15" s="1075">
        <v>1.2332000000000001</v>
      </c>
      <c r="K15" s="1075">
        <v>1.2332000000000001</v>
      </c>
      <c r="L15" s="1075">
        <v>1.2332000000000001</v>
      </c>
      <c r="M15" s="1075">
        <v>1.2332000000000001</v>
      </c>
    </row>
    <row r="16" spans="1:14">
      <c r="A16" s="1072">
        <v>1.4</v>
      </c>
      <c r="B16" s="1075">
        <v>1.3262</v>
      </c>
      <c r="C16" s="1075">
        <v>1.3262</v>
      </c>
      <c r="D16" s="1075">
        <v>1.2402</v>
      </c>
      <c r="E16" s="1075">
        <v>1.2402</v>
      </c>
      <c r="F16" s="1075">
        <v>1.2402</v>
      </c>
      <c r="G16" s="1075">
        <v>1.2402</v>
      </c>
      <c r="H16" s="1075">
        <v>1.2402</v>
      </c>
      <c r="I16" s="1075">
        <v>1.1881999999999999</v>
      </c>
      <c r="J16" s="1075">
        <v>1.1881999999999999</v>
      </c>
      <c r="K16" s="1075">
        <v>1.1881999999999999</v>
      </c>
      <c r="L16" s="1075">
        <v>1.1881999999999999</v>
      </c>
      <c r="M16" s="1075">
        <v>1.1881999999999999</v>
      </c>
    </row>
    <row r="17" spans="1:13">
      <c r="A17" s="1072">
        <v>1.5</v>
      </c>
      <c r="B17" s="1075">
        <v>1.2948</v>
      </c>
      <c r="C17" s="1075">
        <v>1.2948</v>
      </c>
      <c r="D17" s="1075">
        <v>1.2075</v>
      </c>
      <c r="E17" s="1075">
        <v>1.2075</v>
      </c>
      <c r="F17" s="1075">
        <v>1.2075</v>
      </c>
      <c r="G17" s="1075">
        <v>1.2075</v>
      </c>
      <c r="H17" s="1075">
        <v>1.2075</v>
      </c>
      <c r="I17" s="1075">
        <v>1.1486000000000001</v>
      </c>
      <c r="J17" s="1075">
        <v>1.1486000000000001</v>
      </c>
      <c r="K17" s="1075">
        <v>1.1486000000000001</v>
      </c>
      <c r="L17" s="1075">
        <v>1.1486000000000001</v>
      </c>
      <c r="M17" s="1075">
        <v>1.1486000000000001</v>
      </c>
    </row>
    <row r="18" spans="1:13">
      <c r="A18" s="1072">
        <v>1.6</v>
      </c>
      <c r="B18" s="1075">
        <v>1.2673000000000001</v>
      </c>
      <c r="C18" s="1075">
        <v>1.2673000000000001</v>
      </c>
      <c r="D18" s="1075">
        <v>1.1789000000000001</v>
      </c>
      <c r="E18" s="1075">
        <v>1.1789000000000001</v>
      </c>
      <c r="F18" s="1075">
        <v>1.1789000000000001</v>
      </c>
      <c r="G18" s="1075">
        <v>1.1789000000000001</v>
      </c>
      <c r="H18" s="1075">
        <v>1.1789000000000001</v>
      </c>
      <c r="I18" s="1075">
        <v>1.1134999999999999</v>
      </c>
      <c r="J18" s="1075">
        <v>1.1134999999999999</v>
      </c>
      <c r="K18" s="1075">
        <v>1.1134999999999999</v>
      </c>
      <c r="L18" s="1075">
        <v>1.1134999999999999</v>
      </c>
      <c r="M18" s="1075">
        <v>1.1134999999999999</v>
      </c>
    </row>
    <row r="19" spans="1:13">
      <c r="A19" s="1072">
        <v>1.7</v>
      </c>
      <c r="B19" s="1075">
        <v>1.2428999999999999</v>
      </c>
      <c r="C19" s="1075">
        <v>1.2428999999999999</v>
      </c>
      <c r="D19" s="1075">
        <v>1.1534</v>
      </c>
      <c r="E19" s="1075">
        <v>1.1534</v>
      </c>
      <c r="F19" s="1075">
        <v>1.1534</v>
      </c>
      <c r="G19" s="1075">
        <v>1.1534</v>
      </c>
      <c r="H19" s="1075">
        <v>1.1534</v>
      </c>
      <c r="I19" s="1075">
        <v>1.0820000000000001</v>
      </c>
      <c r="J19" s="1075">
        <v>1.0820000000000001</v>
      </c>
      <c r="K19" s="1075">
        <v>1.0820000000000001</v>
      </c>
      <c r="L19" s="1075">
        <v>1.0820000000000001</v>
      </c>
      <c r="M19" s="1075">
        <v>1.0820000000000001</v>
      </c>
    </row>
    <row r="20" spans="1:13">
      <c r="A20" s="1072">
        <v>1.8</v>
      </c>
      <c r="B20" s="1075">
        <v>1.2206999999999999</v>
      </c>
      <c r="C20" s="1075">
        <v>1.2206999999999999</v>
      </c>
      <c r="D20" s="1075">
        <v>1.1304000000000001</v>
      </c>
      <c r="E20" s="1075">
        <v>1.1304000000000001</v>
      </c>
      <c r="F20" s="1075">
        <v>1.1304000000000001</v>
      </c>
      <c r="G20" s="1075">
        <v>1.1304000000000001</v>
      </c>
      <c r="H20" s="1075">
        <v>1.1304000000000001</v>
      </c>
      <c r="I20" s="1075">
        <v>1.0531999999999999</v>
      </c>
      <c r="J20" s="1075">
        <v>1.0531999999999999</v>
      </c>
      <c r="K20" s="1075">
        <v>1.0531999999999999</v>
      </c>
      <c r="L20" s="1075">
        <v>1.0531999999999999</v>
      </c>
      <c r="M20" s="1075">
        <v>1.0531999999999999</v>
      </c>
    </row>
    <row r="21" spans="1:13">
      <c r="A21" s="1072">
        <v>1.9</v>
      </c>
      <c r="B21" s="1075">
        <v>1.2</v>
      </c>
      <c r="C21" s="1075">
        <v>1.2</v>
      </c>
      <c r="D21" s="1075">
        <v>1.1089</v>
      </c>
      <c r="E21" s="1075">
        <v>1.1089</v>
      </c>
      <c r="F21" s="1075">
        <v>1.1089</v>
      </c>
      <c r="G21" s="1075">
        <v>1.1089</v>
      </c>
      <c r="H21" s="1075">
        <v>1.1089</v>
      </c>
      <c r="I21" s="1075">
        <v>1.0261</v>
      </c>
      <c r="J21" s="1075">
        <v>1.0261</v>
      </c>
      <c r="K21" s="1075">
        <v>1.0261</v>
      </c>
      <c r="L21" s="1075">
        <v>1.0261</v>
      </c>
      <c r="M21" s="1075">
        <v>1.0261</v>
      </c>
    </row>
    <row r="22" spans="1:13">
      <c r="A22" s="1072">
        <v>2</v>
      </c>
      <c r="B22" s="1075">
        <v>1.1800999999999999</v>
      </c>
      <c r="C22" s="1075">
        <v>1.1800999999999999</v>
      </c>
      <c r="D22" s="1075">
        <v>1.0883</v>
      </c>
      <c r="E22" s="1075">
        <v>1.0883</v>
      </c>
      <c r="F22" s="1075">
        <v>1.0883</v>
      </c>
      <c r="G22" s="1075">
        <v>1.0883</v>
      </c>
      <c r="H22" s="1075">
        <v>1.0883</v>
      </c>
      <c r="I22" s="1075">
        <v>1</v>
      </c>
      <c r="J22" s="1075">
        <v>1</v>
      </c>
      <c r="K22" s="1075">
        <v>1</v>
      </c>
      <c r="L22" s="1075">
        <v>1</v>
      </c>
      <c r="M22" s="1075">
        <v>1</v>
      </c>
    </row>
    <row r="23" spans="1:13">
      <c r="A23" s="1076">
        <v>2.1</v>
      </c>
      <c r="B23" s="1075">
        <v>1.1616</v>
      </c>
      <c r="C23" s="1075">
        <v>1.1616</v>
      </c>
      <c r="D23" s="1075">
        <v>1.0685</v>
      </c>
      <c r="E23" s="1075">
        <v>1.0685</v>
      </c>
      <c r="F23" s="1075">
        <v>1.0685</v>
      </c>
      <c r="G23" s="1075">
        <v>1.0685</v>
      </c>
      <c r="H23" s="1075">
        <v>1.0685</v>
      </c>
      <c r="I23" s="1075">
        <v>0.97550000000000003</v>
      </c>
      <c r="J23" s="1075">
        <v>0.97550000000000003</v>
      </c>
      <c r="K23" s="1075">
        <v>0.97550000000000003</v>
      </c>
      <c r="L23" s="1075">
        <v>0.97550000000000003</v>
      </c>
      <c r="M23" s="1075">
        <v>0.97550000000000003</v>
      </c>
    </row>
    <row r="24" spans="1:13">
      <c r="A24" s="1076">
        <v>2.2000000000000002</v>
      </c>
      <c r="B24" s="1075">
        <v>1.1440999999999999</v>
      </c>
      <c r="C24" s="1075">
        <v>1.1440999999999999</v>
      </c>
      <c r="D24" s="1075">
        <v>1.0497000000000001</v>
      </c>
      <c r="E24" s="1075">
        <v>1.0497000000000001</v>
      </c>
      <c r="F24" s="1075">
        <v>1.0497000000000001</v>
      </c>
      <c r="G24" s="1075">
        <v>1.0497000000000001</v>
      </c>
      <c r="H24" s="1075">
        <v>1.0497000000000001</v>
      </c>
      <c r="I24" s="1075">
        <v>0.95230000000000004</v>
      </c>
      <c r="J24" s="1075">
        <v>0.95230000000000004</v>
      </c>
      <c r="K24" s="1075">
        <v>0.95230000000000004</v>
      </c>
      <c r="L24" s="1075">
        <v>0.95230000000000004</v>
      </c>
      <c r="M24" s="1075">
        <v>0.95230000000000004</v>
      </c>
    </row>
    <row r="25" spans="1:13">
      <c r="A25" s="1076">
        <v>2.2999999999999998</v>
      </c>
      <c r="B25" s="1075">
        <v>1.1275999999999999</v>
      </c>
      <c r="C25" s="1075">
        <v>1.1275999999999999</v>
      </c>
      <c r="D25" s="1075">
        <v>1.032</v>
      </c>
      <c r="E25" s="1075">
        <v>1.032</v>
      </c>
      <c r="F25" s="1075">
        <v>1.032</v>
      </c>
      <c r="G25" s="1075">
        <v>1.032</v>
      </c>
      <c r="H25" s="1075">
        <v>1.032</v>
      </c>
      <c r="I25" s="1075">
        <v>0.9304</v>
      </c>
      <c r="J25" s="1075">
        <v>0.9304</v>
      </c>
      <c r="K25" s="1075">
        <v>0.9304</v>
      </c>
      <c r="L25" s="1075">
        <v>0.9304</v>
      </c>
      <c r="M25" s="1075">
        <v>0.9304</v>
      </c>
    </row>
    <row r="26" spans="1:13">
      <c r="A26" s="1076">
        <v>2.4</v>
      </c>
      <c r="B26" s="1075">
        <v>1.1121000000000001</v>
      </c>
      <c r="C26" s="1075">
        <v>1.1121000000000001</v>
      </c>
      <c r="D26" s="1075">
        <v>1.0155000000000001</v>
      </c>
      <c r="E26" s="1075">
        <v>1.0155000000000001</v>
      </c>
      <c r="F26" s="1075">
        <v>1.0155000000000001</v>
      </c>
      <c r="G26" s="1075">
        <v>1.0155000000000001</v>
      </c>
      <c r="H26" s="1075">
        <v>1.0155000000000001</v>
      </c>
      <c r="I26" s="1075">
        <v>0.91</v>
      </c>
      <c r="J26" s="1075">
        <v>0.91</v>
      </c>
      <c r="K26" s="1075">
        <v>0.91</v>
      </c>
      <c r="L26" s="1075">
        <v>0.91</v>
      </c>
      <c r="M26" s="1075">
        <v>0.91</v>
      </c>
    </row>
    <row r="27" spans="1:13">
      <c r="A27" s="1076">
        <v>2.5</v>
      </c>
      <c r="B27" s="1075">
        <v>1.0975999999999999</v>
      </c>
      <c r="C27" s="1075">
        <v>1.0975999999999999</v>
      </c>
      <c r="D27" s="1075">
        <v>1</v>
      </c>
      <c r="E27" s="1075">
        <v>1</v>
      </c>
      <c r="F27" s="1075">
        <v>1</v>
      </c>
      <c r="G27" s="1075">
        <v>1</v>
      </c>
      <c r="H27" s="1075">
        <v>1</v>
      </c>
      <c r="I27" s="1075">
        <v>0.89080000000000004</v>
      </c>
      <c r="J27" s="1075">
        <v>0.89080000000000004</v>
      </c>
      <c r="K27" s="1075">
        <v>0.89080000000000004</v>
      </c>
      <c r="L27" s="1075">
        <v>0.89080000000000004</v>
      </c>
      <c r="M27" s="1075">
        <v>0.89080000000000004</v>
      </c>
    </row>
    <row r="28" spans="1:13">
      <c r="A28" s="1076">
        <v>2.6</v>
      </c>
      <c r="B28" s="1075">
        <v>1.0841000000000001</v>
      </c>
      <c r="C28" s="1075">
        <v>1.0841000000000001</v>
      </c>
      <c r="D28" s="1075">
        <v>0.98619999999999997</v>
      </c>
      <c r="E28" s="1075">
        <v>0.98619999999999997</v>
      </c>
      <c r="F28" s="1075">
        <v>0.98619999999999997</v>
      </c>
      <c r="G28" s="1075">
        <v>0.98619999999999997</v>
      </c>
      <c r="H28" s="1075">
        <v>0.98619999999999997</v>
      </c>
      <c r="I28" s="1075">
        <v>0.873</v>
      </c>
      <c r="J28" s="1075">
        <v>0.873</v>
      </c>
      <c r="K28" s="1075">
        <v>0.873</v>
      </c>
      <c r="L28" s="1075">
        <v>0.873</v>
      </c>
      <c r="M28" s="1075">
        <v>0.873</v>
      </c>
    </row>
    <row r="29" spans="1:13">
      <c r="A29" s="1076">
        <v>2.7</v>
      </c>
      <c r="B29" s="1075">
        <v>1.0716000000000001</v>
      </c>
      <c r="C29" s="1075">
        <v>1.0716000000000001</v>
      </c>
      <c r="D29" s="1075">
        <v>0.97330000000000005</v>
      </c>
      <c r="E29" s="1075">
        <v>0.97330000000000005</v>
      </c>
      <c r="F29" s="1075">
        <v>0.97330000000000005</v>
      </c>
      <c r="G29" s="1075">
        <v>0.97330000000000005</v>
      </c>
      <c r="H29" s="1075">
        <v>0.97330000000000005</v>
      </c>
      <c r="I29" s="1075">
        <v>0.85670000000000002</v>
      </c>
      <c r="J29" s="1075">
        <v>0.85670000000000002</v>
      </c>
      <c r="K29" s="1075">
        <v>0.85670000000000002</v>
      </c>
      <c r="L29" s="1075">
        <v>0.85670000000000002</v>
      </c>
      <c r="M29" s="1075">
        <v>0.85670000000000002</v>
      </c>
    </row>
    <row r="30" spans="1:13">
      <c r="A30" s="1076">
        <v>2.8</v>
      </c>
      <c r="B30" s="1075">
        <v>1.0602</v>
      </c>
      <c r="C30" s="1075">
        <v>1.0602</v>
      </c>
      <c r="D30" s="1075">
        <v>0.96160000000000001</v>
      </c>
      <c r="E30" s="1075">
        <v>0.96160000000000001</v>
      </c>
      <c r="F30" s="1075">
        <v>0.96160000000000001</v>
      </c>
      <c r="G30" s="1075">
        <v>0.96160000000000001</v>
      </c>
      <c r="H30" s="1075">
        <v>0.96160000000000001</v>
      </c>
      <c r="I30" s="1075">
        <v>0.8417</v>
      </c>
      <c r="J30" s="1075">
        <v>0.8417</v>
      </c>
      <c r="K30" s="1075">
        <v>0.8417</v>
      </c>
      <c r="L30" s="1075">
        <v>0.8417</v>
      </c>
      <c r="M30" s="1075">
        <v>0.8417</v>
      </c>
    </row>
    <row r="31" spans="1:13">
      <c r="A31" s="1076">
        <v>2.9</v>
      </c>
      <c r="B31" s="1075">
        <v>1.0497000000000001</v>
      </c>
      <c r="C31" s="1075">
        <v>1.0497000000000001</v>
      </c>
      <c r="D31" s="1075">
        <v>0.95089999999999997</v>
      </c>
      <c r="E31" s="1075">
        <v>0.95089999999999997</v>
      </c>
      <c r="F31" s="1075">
        <v>0.95089999999999997</v>
      </c>
      <c r="G31" s="1075">
        <v>0.95089999999999997</v>
      </c>
      <c r="H31" s="1075">
        <v>0.95089999999999997</v>
      </c>
      <c r="I31" s="1075">
        <v>0.82809999999999995</v>
      </c>
      <c r="J31" s="1075">
        <v>0.82809999999999995</v>
      </c>
      <c r="K31" s="1075">
        <v>0.82809999999999995</v>
      </c>
      <c r="L31" s="1075">
        <v>0.82809999999999995</v>
      </c>
      <c r="M31" s="1075">
        <v>0.82809999999999995</v>
      </c>
    </row>
    <row r="32" spans="1:13">
      <c r="A32" s="1076">
        <v>3</v>
      </c>
      <c r="B32" s="1075">
        <v>1.0401</v>
      </c>
      <c r="C32" s="1075">
        <v>1.0401</v>
      </c>
      <c r="D32" s="1075">
        <v>0.94089999999999996</v>
      </c>
      <c r="E32" s="1075">
        <v>0.94089999999999996</v>
      </c>
      <c r="F32" s="1075">
        <v>0.94089999999999996</v>
      </c>
      <c r="G32" s="1075">
        <v>0.94089999999999996</v>
      </c>
      <c r="H32" s="1075">
        <v>0.94089999999999996</v>
      </c>
      <c r="I32" s="1075">
        <v>0.81579999999999997</v>
      </c>
      <c r="J32" s="1075">
        <v>0.81579999999999997</v>
      </c>
      <c r="K32" s="1075">
        <v>0.81579999999999997</v>
      </c>
      <c r="L32" s="1075">
        <v>0.81579999999999997</v>
      </c>
      <c r="M32" s="1075">
        <v>0.81579999999999997</v>
      </c>
    </row>
    <row r="33" spans="1:13">
      <c r="A33" s="1076">
        <v>3.1</v>
      </c>
      <c r="B33" s="1075">
        <v>1.0314000000000001</v>
      </c>
      <c r="C33" s="1075">
        <v>1.0314000000000001</v>
      </c>
      <c r="D33" s="1075">
        <v>0.93169999999999997</v>
      </c>
      <c r="E33" s="1075">
        <v>0.93169999999999997</v>
      </c>
      <c r="F33" s="1075">
        <v>0.93169999999999997</v>
      </c>
      <c r="G33" s="1075">
        <v>0.93169999999999997</v>
      </c>
      <c r="H33" s="1075">
        <v>0.93169999999999997</v>
      </c>
      <c r="I33" s="1075">
        <v>0.80410000000000004</v>
      </c>
      <c r="J33" s="1075">
        <v>0.80410000000000004</v>
      </c>
      <c r="K33" s="1075">
        <v>0.80410000000000004</v>
      </c>
      <c r="L33" s="1075">
        <v>0.80410000000000004</v>
      </c>
      <c r="M33" s="1075">
        <v>0.80410000000000004</v>
      </c>
    </row>
    <row r="34" spans="1:13">
      <c r="A34" s="1076">
        <v>3.2</v>
      </c>
      <c r="B34" s="1075">
        <v>1.0229999999999999</v>
      </c>
      <c r="C34" s="1075">
        <v>1.0229999999999999</v>
      </c>
      <c r="D34" s="1075">
        <v>0.92279999999999995</v>
      </c>
      <c r="E34" s="1075">
        <v>0.92279999999999995</v>
      </c>
      <c r="F34" s="1075">
        <v>0.92279999999999995</v>
      </c>
      <c r="G34" s="1075">
        <v>0.92279999999999995</v>
      </c>
      <c r="H34" s="1075">
        <v>0.92279999999999995</v>
      </c>
      <c r="I34" s="1075">
        <v>0.79300000000000004</v>
      </c>
      <c r="J34" s="1075">
        <v>0.79300000000000004</v>
      </c>
      <c r="K34" s="1075">
        <v>0.79300000000000004</v>
      </c>
      <c r="L34" s="1075">
        <v>0.79300000000000004</v>
      </c>
      <c r="M34" s="1075">
        <v>0.79300000000000004</v>
      </c>
    </row>
    <row r="35" spans="1:13">
      <c r="A35" s="1076">
        <v>3.3</v>
      </c>
      <c r="B35" s="1075">
        <v>1.0149999999999999</v>
      </c>
      <c r="C35" s="1075">
        <v>1.0149999999999999</v>
      </c>
      <c r="D35" s="1075">
        <v>0.91439999999999999</v>
      </c>
      <c r="E35" s="1075">
        <v>0.91439999999999999</v>
      </c>
      <c r="F35" s="1075">
        <v>0.91439999999999999</v>
      </c>
      <c r="G35" s="1075">
        <v>0.91439999999999999</v>
      </c>
      <c r="H35" s="1075">
        <v>0.91439999999999999</v>
      </c>
      <c r="I35" s="1075">
        <v>0.78220000000000001</v>
      </c>
      <c r="J35" s="1075">
        <v>0.78220000000000001</v>
      </c>
      <c r="K35" s="1075">
        <v>0.78220000000000001</v>
      </c>
      <c r="L35" s="1075">
        <v>0.78220000000000001</v>
      </c>
      <c r="M35" s="1075">
        <v>0.78220000000000001</v>
      </c>
    </row>
    <row r="36" spans="1:13">
      <c r="A36" s="1076">
        <v>3.4</v>
      </c>
      <c r="B36" s="1075">
        <v>1.0073000000000001</v>
      </c>
      <c r="C36" s="1075">
        <v>1.0073000000000001</v>
      </c>
      <c r="D36" s="1075">
        <v>0.90629999999999999</v>
      </c>
      <c r="E36" s="1075">
        <v>0.90629999999999999</v>
      </c>
      <c r="F36" s="1075">
        <v>0.90629999999999999</v>
      </c>
      <c r="G36" s="1075">
        <v>0.90629999999999999</v>
      </c>
      <c r="H36" s="1075">
        <v>0.90629999999999999</v>
      </c>
      <c r="I36" s="1075">
        <v>0.77210000000000001</v>
      </c>
      <c r="J36" s="1075">
        <v>0.77210000000000001</v>
      </c>
      <c r="K36" s="1075">
        <v>0.77210000000000001</v>
      </c>
      <c r="L36" s="1075">
        <v>0.77210000000000001</v>
      </c>
      <c r="M36" s="1075">
        <v>0.77210000000000001</v>
      </c>
    </row>
    <row r="37" spans="1:13">
      <c r="A37" s="1076">
        <v>3.5</v>
      </c>
      <c r="B37" s="1075">
        <v>1</v>
      </c>
      <c r="C37" s="1075">
        <v>1</v>
      </c>
      <c r="D37" s="1075">
        <v>0.89870000000000005</v>
      </c>
      <c r="E37" s="1075">
        <v>0.89870000000000005</v>
      </c>
      <c r="F37" s="1075">
        <v>0.89870000000000005</v>
      </c>
      <c r="G37" s="1075">
        <v>0.89870000000000005</v>
      </c>
      <c r="H37" s="1075">
        <v>0.89870000000000005</v>
      </c>
      <c r="I37" s="1075">
        <v>0.76239999999999997</v>
      </c>
      <c r="J37" s="1075">
        <v>0.76239999999999997</v>
      </c>
      <c r="K37" s="1075">
        <v>0.76239999999999997</v>
      </c>
      <c r="L37" s="1075">
        <v>0.76239999999999997</v>
      </c>
      <c r="M37" s="1075">
        <v>0.76239999999999997</v>
      </c>
    </row>
    <row r="38" spans="1:13">
      <c r="A38" s="1076">
        <v>3.6</v>
      </c>
      <c r="B38" s="1075">
        <v>0.99329999999999996</v>
      </c>
      <c r="C38" s="1075">
        <v>0.99329999999999996</v>
      </c>
      <c r="D38" s="1075">
        <v>0.89139999999999997</v>
      </c>
      <c r="E38" s="1075">
        <v>0.89139999999999997</v>
      </c>
      <c r="F38" s="1075">
        <v>0.89139999999999997</v>
      </c>
      <c r="G38" s="1075">
        <v>0.89139999999999997</v>
      </c>
      <c r="H38" s="1075">
        <v>0.89139999999999997</v>
      </c>
      <c r="I38" s="1075">
        <v>0.75319999999999998</v>
      </c>
      <c r="J38" s="1075">
        <v>0.75319999999999998</v>
      </c>
      <c r="K38" s="1075">
        <v>0.75319999999999998</v>
      </c>
      <c r="L38" s="1075">
        <v>0.75319999999999998</v>
      </c>
      <c r="M38" s="1075">
        <v>0.75319999999999998</v>
      </c>
    </row>
    <row r="39" spans="1:13">
      <c r="A39" s="1076">
        <v>3.7</v>
      </c>
      <c r="B39" s="1075">
        <v>0.9869</v>
      </c>
      <c r="C39" s="1075">
        <v>0.9869</v>
      </c>
      <c r="D39" s="1075">
        <v>0.88449999999999995</v>
      </c>
      <c r="E39" s="1075">
        <v>0.88449999999999995</v>
      </c>
      <c r="F39" s="1075">
        <v>0.88449999999999995</v>
      </c>
      <c r="G39" s="1075">
        <v>0.88449999999999995</v>
      </c>
      <c r="H39" s="1075">
        <v>0.88449999999999995</v>
      </c>
      <c r="I39" s="1075">
        <v>0.74460000000000004</v>
      </c>
      <c r="J39" s="1075">
        <v>0.74460000000000004</v>
      </c>
      <c r="K39" s="1075">
        <v>0.74460000000000004</v>
      </c>
      <c r="L39" s="1075">
        <v>0.74460000000000004</v>
      </c>
      <c r="M39" s="1075">
        <v>0.74460000000000004</v>
      </c>
    </row>
    <row r="40" spans="1:13">
      <c r="A40" s="1076">
        <v>3.8</v>
      </c>
      <c r="B40" s="1075">
        <v>0.98080000000000001</v>
      </c>
      <c r="C40" s="1075">
        <v>0.98080000000000001</v>
      </c>
      <c r="D40" s="1075">
        <v>0.87809999999999999</v>
      </c>
      <c r="E40" s="1075">
        <v>0.87809999999999999</v>
      </c>
      <c r="F40" s="1075">
        <v>0.87809999999999999</v>
      </c>
      <c r="G40" s="1075">
        <v>0.87809999999999999</v>
      </c>
      <c r="H40" s="1075">
        <v>0.87809999999999999</v>
      </c>
      <c r="I40" s="1075">
        <v>0.73640000000000005</v>
      </c>
      <c r="J40" s="1075">
        <v>0.73640000000000005</v>
      </c>
      <c r="K40" s="1075">
        <v>0.73640000000000005</v>
      </c>
      <c r="L40" s="1075">
        <v>0.73640000000000005</v>
      </c>
      <c r="M40" s="1075">
        <v>0.73640000000000005</v>
      </c>
    </row>
    <row r="41" spans="1:13">
      <c r="A41" s="1076">
        <v>3.9</v>
      </c>
      <c r="B41" s="1075">
        <v>0.97509999999999997</v>
      </c>
      <c r="C41" s="1075">
        <v>0.97509999999999997</v>
      </c>
      <c r="D41" s="1075">
        <v>0.87209999999999999</v>
      </c>
      <c r="E41" s="1075">
        <v>0.87209999999999999</v>
      </c>
      <c r="F41" s="1075">
        <v>0.87209999999999999</v>
      </c>
      <c r="G41" s="1075">
        <v>0.87209999999999999</v>
      </c>
      <c r="H41" s="1075">
        <v>0.87209999999999999</v>
      </c>
      <c r="I41" s="1075">
        <v>0.7288</v>
      </c>
      <c r="J41" s="1075">
        <v>0.7288</v>
      </c>
      <c r="K41" s="1075">
        <v>0.7288</v>
      </c>
      <c r="L41" s="1075">
        <v>0.7288</v>
      </c>
      <c r="M41" s="1075">
        <v>0.7288</v>
      </c>
    </row>
    <row r="42" spans="1:13">
      <c r="A42" s="1076">
        <v>4</v>
      </c>
      <c r="B42" s="1075">
        <v>0.96989999999999998</v>
      </c>
      <c r="C42" s="1075">
        <v>0.96989999999999998</v>
      </c>
      <c r="D42" s="1075">
        <v>0.86650000000000005</v>
      </c>
      <c r="E42" s="1075">
        <v>0.86650000000000005</v>
      </c>
      <c r="F42" s="1075">
        <v>0.86650000000000005</v>
      </c>
      <c r="G42" s="1075">
        <v>0.86650000000000005</v>
      </c>
      <c r="H42" s="1075">
        <v>0.86650000000000005</v>
      </c>
      <c r="I42" s="1075">
        <v>0.7218</v>
      </c>
      <c r="J42" s="1075">
        <v>0.7218</v>
      </c>
      <c r="K42" s="1075">
        <v>0.7218</v>
      </c>
      <c r="L42" s="1075">
        <v>0.7218</v>
      </c>
      <c r="M42" s="1075">
        <v>0.7218</v>
      </c>
    </row>
    <row r="43" spans="1:13">
      <c r="A43" s="1076">
        <v>4.0999999999999996</v>
      </c>
      <c r="B43" s="1075">
        <v>0.96479999999999999</v>
      </c>
      <c r="C43" s="1075">
        <v>0.96479999999999999</v>
      </c>
      <c r="D43" s="1075">
        <v>0.86109999999999998</v>
      </c>
      <c r="E43" s="1075">
        <v>0.86109999999999998</v>
      </c>
      <c r="F43" s="1075">
        <v>0.86109999999999998</v>
      </c>
      <c r="G43" s="1075">
        <v>0.86109999999999998</v>
      </c>
      <c r="H43" s="1075">
        <v>0.86109999999999998</v>
      </c>
      <c r="I43" s="1075">
        <v>0.71499999999999997</v>
      </c>
      <c r="J43" s="1075">
        <v>0.71499999999999997</v>
      </c>
      <c r="K43" s="1075">
        <v>0.71499999999999997</v>
      </c>
      <c r="L43" s="1075">
        <v>0.71499999999999997</v>
      </c>
      <c r="M43" s="1075">
        <v>0.71499999999999997</v>
      </c>
    </row>
    <row r="44" spans="1:13">
      <c r="A44" s="1076">
        <v>4.2</v>
      </c>
      <c r="B44" s="1075">
        <v>0.96</v>
      </c>
      <c r="C44" s="1075">
        <v>0.96</v>
      </c>
      <c r="D44" s="1075">
        <v>0.85599999999999998</v>
      </c>
      <c r="E44" s="1075">
        <v>0.85599999999999998</v>
      </c>
      <c r="F44" s="1075">
        <v>0.85599999999999998</v>
      </c>
      <c r="G44" s="1075">
        <v>0.85599999999999998</v>
      </c>
      <c r="H44" s="1075">
        <v>0.85599999999999998</v>
      </c>
      <c r="I44" s="1075">
        <v>0.70840000000000003</v>
      </c>
      <c r="J44" s="1075">
        <v>0.70840000000000003</v>
      </c>
      <c r="K44" s="1075">
        <v>0.70840000000000003</v>
      </c>
      <c r="L44" s="1075">
        <v>0.70840000000000003</v>
      </c>
      <c r="M44" s="1075">
        <v>0.70840000000000003</v>
      </c>
    </row>
    <row r="45" spans="1:13">
      <c r="A45" s="1076">
        <v>4.3</v>
      </c>
      <c r="B45" s="1075">
        <v>0.95530000000000004</v>
      </c>
      <c r="C45" s="1075">
        <v>0.95530000000000004</v>
      </c>
      <c r="D45" s="1075">
        <v>0.85099999999999998</v>
      </c>
      <c r="E45" s="1075">
        <v>0.85099999999999998</v>
      </c>
      <c r="F45" s="1075">
        <v>0.85099999999999998</v>
      </c>
      <c r="G45" s="1075">
        <v>0.85099999999999998</v>
      </c>
      <c r="H45" s="1075">
        <v>0.85099999999999998</v>
      </c>
      <c r="I45" s="1075">
        <v>0.70199999999999996</v>
      </c>
      <c r="J45" s="1075">
        <v>0.70199999999999996</v>
      </c>
      <c r="K45" s="1075">
        <v>0.70199999999999996</v>
      </c>
      <c r="L45" s="1075">
        <v>0.70199999999999996</v>
      </c>
      <c r="M45" s="1075">
        <v>0.70199999999999996</v>
      </c>
    </row>
    <row r="46" spans="1:13">
      <c r="A46" s="1076">
        <v>4.4000000000000004</v>
      </c>
      <c r="B46" s="1075">
        <v>0.95079999999999998</v>
      </c>
      <c r="C46" s="1075">
        <v>0.95079999999999998</v>
      </c>
      <c r="D46" s="1075">
        <v>0.84619999999999995</v>
      </c>
      <c r="E46" s="1075">
        <v>0.84619999999999995</v>
      </c>
      <c r="F46" s="1075">
        <v>0.84619999999999995</v>
      </c>
      <c r="G46" s="1075">
        <v>0.84619999999999995</v>
      </c>
      <c r="H46" s="1075">
        <v>0.84619999999999995</v>
      </c>
      <c r="I46" s="1075">
        <v>0.69579999999999997</v>
      </c>
      <c r="J46" s="1075">
        <v>0.69579999999999997</v>
      </c>
      <c r="K46" s="1075">
        <v>0.69579999999999997</v>
      </c>
      <c r="L46" s="1075">
        <v>0.69579999999999997</v>
      </c>
      <c r="M46" s="1075">
        <v>0.69579999999999997</v>
      </c>
    </row>
    <row r="47" spans="1:13">
      <c r="A47" s="1076">
        <v>4.5</v>
      </c>
      <c r="B47" s="1075">
        <v>0.94640000000000002</v>
      </c>
      <c r="C47" s="1075">
        <v>0.94640000000000002</v>
      </c>
      <c r="D47" s="1075">
        <v>0.84150000000000003</v>
      </c>
      <c r="E47" s="1075">
        <v>0.84150000000000003</v>
      </c>
      <c r="F47" s="1075">
        <v>0.84150000000000003</v>
      </c>
      <c r="G47" s="1075">
        <v>0.84150000000000003</v>
      </c>
      <c r="H47" s="1075">
        <v>0.84150000000000003</v>
      </c>
      <c r="I47" s="1075">
        <v>0.68989999999999996</v>
      </c>
      <c r="J47" s="1075">
        <v>0.68989999999999996</v>
      </c>
      <c r="K47" s="1075">
        <v>0.68989999999999996</v>
      </c>
      <c r="L47" s="1075">
        <v>0.68989999999999996</v>
      </c>
      <c r="M47" s="1075">
        <v>0.68989999999999996</v>
      </c>
    </row>
    <row r="48" spans="1:13">
      <c r="A48" s="1076">
        <v>4.5999999999999996</v>
      </c>
      <c r="B48" s="1075">
        <v>0.94230000000000003</v>
      </c>
      <c r="C48" s="1075">
        <v>0.94230000000000003</v>
      </c>
      <c r="D48" s="1075">
        <v>0.83709999999999996</v>
      </c>
      <c r="E48" s="1075">
        <v>0.83709999999999996</v>
      </c>
      <c r="F48" s="1075">
        <v>0.83709999999999996</v>
      </c>
      <c r="G48" s="1075">
        <v>0.83709999999999996</v>
      </c>
      <c r="H48" s="1075">
        <v>0.83709999999999996</v>
      </c>
      <c r="I48" s="1075">
        <v>0.68430000000000002</v>
      </c>
      <c r="J48" s="1075">
        <v>0.68430000000000002</v>
      </c>
      <c r="K48" s="1075">
        <v>0.68430000000000002</v>
      </c>
      <c r="L48" s="1075">
        <v>0.68430000000000002</v>
      </c>
      <c r="M48" s="1075">
        <v>0.68430000000000002</v>
      </c>
    </row>
    <row r="49" spans="1:13">
      <c r="A49" s="1076">
        <v>4.7</v>
      </c>
      <c r="B49" s="1075">
        <v>0.93830000000000002</v>
      </c>
      <c r="C49" s="1075">
        <v>0.93830000000000002</v>
      </c>
      <c r="D49" s="1075">
        <v>0.83279999999999998</v>
      </c>
      <c r="E49" s="1075">
        <v>0.83279999999999998</v>
      </c>
      <c r="F49" s="1075">
        <v>0.83279999999999998</v>
      </c>
      <c r="G49" s="1075">
        <v>0.83279999999999998</v>
      </c>
      <c r="H49" s="1075">
        <v>0.83279999999999998</v>
      </c>
      <c r="I49" s="1075">
        <v>0.67879999999999996</v>
      </c>
      <c r="J49" s="1075">
        <v>0.67879999999999996</v>
      </c>
      <c r="K49" s="1075">
        <v>0.67879999999999996</v>
      </c>
      <c r="L49" s="1075">
        <v>0.67879999999999996</v>
      </c>
      <c r="M49" s="1075">
        <v>0.67879999999999996</v>
      </c>
    </row>
    <row r="50" spans="1:13">
      <c r="A50" s="1076">
        <v>4.8</v>
      </c>
      <c r="B50" s="1075">
        <v>0.9345</v>
      </c>
      <c r="C50" s="1075">
        <v>0.9345</v>
      </c>
      <c r="D50" s="1075">
        <v>0.82869999999999999</v>
      </c>
      <c r="E50" s="1075">
        <v>0.82869999999999999</v>
      </c>
      <c r="F50" s="1075">
        <v>0.82869999999999999</v>
      </c>
      <c r="G50" s="1075">
        <v>0.82869999999999999</v>
      </c>
      <c r="H50" s="1075">
        <v>0.82869999999999999</v>
      </c>
      <c r="I50" s="1075">
        <v>0.67359999999999998</v>
      </c>
      <c r="J50" s="1075">
        <v>0.67359999999999998</v>
      </c>
      <c r="K50" s="1075">
        <v>0.67359999999999998</v>
      </c>
      <c r="L50" s="1075">
        <v>0.67359999999999998</v>
      </c>
      <c r="M50" s="1075">
        <v>0.67359999999999998</v>
      </c>
    </row>
    <row r="51" spans="1:13">
      <c r="A51" s="1076">
        <v>4.9000000000000004</v>
      </c>
      <c r="B51" s="1075">
        <v>0.93079999999999996</v>
      </c>
      <c r="C51" s="1075">
        <v>0.93079999999999996</v>
      </c>
      <c r="D51" s="1075">
        <v>0.82479999999999998</v>
      </c>
      <c r="E51" s="1075">
        <v>0.82479999999999998</v>
      </c>
      <c r="F51" s="1075">
        <v>0.82479999999999998</v>
      </c>
      <c r="G51" s="1075">
        <v>0.82479999999999998</v>
      </c>
      <c r="H51" s="1075">
        <v>0.82479999999999998</v>
      </c>
      <c r="I51" s="1075">
        <v>0.66849999999999998</v>
      </c>
      <c r="J51" s="1075">
        <v>0.66849999999999998</v>
      </c>
      <c r="K51" s="1075">
        <v>0.66849999999999998</v>
      </c>
      <c r="L51" s="1075">
        <v>0.66849999999999998</v>
      </c>
      <c r="M51" s="1075">
        <v>0.66849999999999998</v>
      </c>
    </row>
    <row r="52" spans="1:13">
      <c r="A52" s="1076">
        <v>5</v>
      </c>
      <c r="B52" s="1075">
        <v>0.9274</v>
      </c>
      <c r="C52" s="1075">
        <v>0.9274</v>
      </c>
      <c r="D52" s="1075">
        <v>0.82110000000000005</v>
      </c>
      <c r="E52" s="1075">
        <v>0.82110000000000005</v>
      </c>
      <c r="F52" s="1075">
        <v>0.82110000000000005</v>
      </c>
      <c r="G52" s="1075">
        <v>0.82110000000000005</v>
      </c>
      <c r="H52" s="1075">
        <v>0.82110000000000005</v>
      </c>
      <c r="I52" s="1075">
        <v>0.66369999999999996</v>
      </c>
      <c r="J52" s="1075">
        <v>0.66369999999999996</v>
      </c>
      <c r="K52" s="1075">
        <v>0.66369999999999996</v>
      </c>
      <c r="L52" s="1075">
        <v>0.66369999999999996</v>
      </c>
      <c r="M52" s="1075">
        <v>0.66369999999999996</v>
      </c>
    </row>
    <row r="53" spans="1:13">
      <c r="A53" s="1072">
        <v>5.0999999999999996</v>
      </c>
      <c r="B53" s="1075">
        <v>0.92410000000000003</v>
      </c>
      <c r="C53" s="1075">
        <v>0.92410000000000003</v>
      </c>
      <c r="D53" s="1075">
        <v>0.8175</v>
      </c>
      <c r="E53" s="1075">
        <v>0.8175</v>
      </c>
      <c r="F53" s="1075">
        <v>0.8175</v>
      </c>
      <c r="G53" s="1075">
        <v>0.8175</v>
      </c>
      <c r="H53" s="1075">
        <v>0.8175</v>
      </c>
      <c r="I53" s="1075">
        <v>0.65900000000000003</v>
      </c>
      <c r="J53" s="1075">
        <v>0.65900000000000003</v>
      </c>
      <c r="K53" s="1075">
        <v>0.65900000000000003</v>
      </c>
      <c r="L53" s="1075">
        <v>0.65900000000000003</v>
      </c>
      <c r="M53" s="1075">
        <v>0.65900000000000003</v>
      </c>
    </row>
    <row r="54" spans="1:13">
      <c r="A54" s="1072">
        <v>5.2</v>
      </c>
      <c r="B54" s="1075">
        <v>0.92090000000000005</v>
      </c>
      <c r="C54" s="1075">
        <v>0.92090000000000005</v>
      </c>
      <c r="D54" s="1075">
        <v>0.81399999999999995</v>
      </c>
      <c r="E54" s="1075">
        <v>0.81399999999999995</v>
      </c>
      <c r="F54" s="1075">
        <v>0.81399999999999995</v>
      </c>
      <c r="G54" s="1075">
        <v>0.81399999999999995</v>
      </c>
      <c r="H54" s="1075">
        <v>0.81399999999999995</v>
      </c>
      <c r="I54" s="1075">
        <v>0.65449999999999997</v>
      </c>
      <c r="J54" s="1075">
        <v>0.65449999999999997</v>
      </c>
      <c r="K54" s="1075">
        <v>0.65449999999999997</v>
      </c>
      <c r="L54" s="1075">
        <v>0.65449999999999997</v>
      </c>
      <c r="M54" s="1075">
        <v>0.65449999999999997</v>
      </c>
    </row>
    <row r="55" spans="1:13">
      <c r="A55" s="1072">
        <v>5.3</v>
      </c>
      <c r="B55" s="1075">
        <v>0.91790000000000005</v>
      </c>
      <c r="C55" s="1075">
        <v>0.91790000000000005</v>
      </c>
      <c r="D55" s="1075">
        <v>0.81059999999999999</v>
      </c>
      <c r="E55" s="1075">
        <v>0.81059999999999999</v>
      </c>
      <c r="F55" s="1075">
        <v>0.81059999999999999</v>
      </c>
      <c r="G55" s="1075">
        <v>0.81059999999999999</v>
      </c>
      <c r="H55" s="1075">
        <v>0.81059999999999999</v>
      </c>
      <c r="I55" s="1075">
        <v>0.6502</v>
      </c>
      <c r="J55" s="1075">
        <v>0.6502</v>
      </c>
      <c r="K55" s="1075">
        <v>0.6502</v>
      </c>
      <c r="L55" s="1075">
        <v>0.6502</v>
      </c>
      <c r="M55" s="1075">
        <v>0.6502</v>
      </c>
    </row>
    <row r="56" spans="1:13">
      <c r="A56" s="1072">
        <v>5.4</v>
      </c>
      <c r="B56" s="1075">
        <v>0.91490000000000005</v>
      </c>
      <c r="C56" s="1075">
        <v>0.91490000000000005</v>
      </c>
      <c r="D56" s="1075">
        <v>0.80740000000000001</v>
      </c>
      <c r="E56" s="1075">
        <v>0.80740000000000001</v>
      </c>
      <c r="F56" s="1075">
        <v>0.80740000000000001</v>
      </c>
      <c r="G56" s="1075">
        <v>0.80740000000000001</v>
      </c>
      <c r="H56" s="1075">
        <v>0.80740000000000001</v>
      </c>
      <c r="I56" s="1075">
        <v>0.64590000000000003</v>
      </c>
      <c r="J56" s="1075">
        <v>0.64590000000000003</v>
      </c>
      <c r="K56" s="1075">
        <v>0.64590000000000003</v>
      </c>
      <c r="L56" s="1075">
        <v>0.64590000000000003</v>
      </c>
      <c r="M56" s="1075">
        <v>0.64590000000000003</v>
      </c>
    </row>
    <row r="57" spans="1:13">
      <c r="A57" s="1072">
        <v>5.5</v>
      </c>
      <c r="B57" s="1075">
        <v>0.91200000000000003</v>
      </c>
      <c r="C57" s="1075">
        <v>0.91200000000000003</v>
      </c>
      <c r="D57" s="1075">
        <v>0.80420000000000003</v>
      </c>
      <c r="E57" s="1075">
        <v>0.80420000000000003</v>
      </c>
      <c r="F57" s="1075">
        <v>0.80420000000000003</v>
      </c>
      <c r="G57" s="1075">
        <v>0.80420000000000003</v>
      </c>
      <c r="H57" s="1075">
        <v>0.80420000000000003</v>
      </c>
      <c r="I57" s="1075">
        <v>0.64180000000000004</v>
      </c>
      <c r="J57" s="1075">
        <v>0.64180000000000004</v>
      </c>
      <c r="K57" s="1075">
        <v>0.64180000000000004</v>
      </c>
      <c r="L57" s="1075">
        <v>0.64180000000000004</v>
      </c>
      <c r="M57" s="1075">
        <v>0.64180000000000004</v>
      </c>
    </row>
    <row r="58" spans="1:13">
      <c r="A58" s="1072">
        <v>5.6</v>
      </c>
      <c r="B58" s="1075">
        <v>0.90910000000000002</v>
      </c>
      <c r="C58" s="1075">
        <v>0.90910000000000002</v>
      </c>
      <c r="D58" s="1075">
        <v>0.80120000000000002</v>
      </c>
      <c r="E58" s="1075">
        <v>0.80120000000000002</v>
      </c>
      <c r="F58" s="1075">
        <v>0.80120000000000002</v>
      </c>
      <c r="G58" s="1075">
        <v>0.80120000000000002</v>
      </c>
      <c r="H58" s="1075">
        <v>0.80120000000000002</v>
      </c>
      <c r="I58" s="1075">
        <v>0.63790000000000002</v>
      </c>
      <c r="J58" s="1075">
        <v>0.63790000000000002</v>
      </c>
      <c r="K58" s="1075">
        <v>0.63790000000000002</v>
      </c>
      <c r="L58" s="1075">
        <v>0.63790000000000002</v>
      </c>
      <c r="M58" s="1075">
        <v>0.63790000000000002</v>
      </c>
    </row>
    <row r="59" spans="1:13">
      <c r="A59" s="1076">
        <v>5.7</v>
      </c>
      <c r="B59" s="1075">
        <v>0.90639999999999998</v>
      </c>
      <c r="C59" s="1075">
        <v>0.90639999999999998</v>
      </c>
      <c r="D59" s="1075">
        <v>0.79820000000000002</v>
      </c>
      <c r="E59" s="1075">
        <v>0.79820000000000002</v>
      </c>
      <c r="F59" s="1075">
        <v>0.79820000000000002</v>
      </c>
      <c r="G59" s="1075">
        <v>0.79820000000000002</v>
      </c>
      <c r="H59" s="1075">
        <v>0.79820000000000002</v>
      </c>
      <c r="I59" s="1075">
        <v>0.6341</v>
      </c>
      <c r="J59" s="1075">
        <v>0.6341</v>
      </c>
      <c r="K59" s="1075">
        <v>0.6341</v>
      </c>
      <c r="L59" s="1075">
        <v>0.6341</v>
      </c>
      <c r="M59" s="1075">
        <v>0.6341</v>
      </c>
    </row>
    <row r="60" spans="1:13">
      <c r="A60" s="1072">
        <v>5.8</v>
      </c>
      <c r="B60" s="1075">
        <v>0.90380000000000005</v>
      </c>
      <c r="C60" s="1075">
        <v>0.90380000000000005</v>
      </c>
      <c r="D60" s="1075">
        <v>0.7954</v>
      </c>
      <c r="E60" s="1075">
        <v>0.7954</v>
      </c>
      <c r="F60" s="1075">
        <v>0.7954</v>
      </c>
      <c r="G60" s="1075">
        <v>0.7954</v>
      </c>
      <c r="H60" s="1075">
        <v>0.7954</v>
      </c>
      <c r="I60" s="1075">
        <v>0.63039999999999996</v>
      </c>
      <c r="J60" s="1075">
        <v>0.63039999999999996</v>
      </c>
      <c r="K60" s="1075">
        <v>0.63039999999999996</v>
      </c>
      <c r="L60" s="1075">
        <v>0.63039999999999996</v>
      </c>
      <c r="M60" s="1075">
        <v>0.63039999999999996</v>
      </c>
    </row>
    <row r="61" spans="1:13">
      <c r="A61" s="1072">
        <v>5.9</v>
      </c>
      <c r="B61" s="1075">
        <v>0.90129999999999999</v>
      </c>
      <c r="C61" s="1075">
        <v>0.90129999999999999</v>
      </c>
      <c r="D61" s="1075">
        <v>0.79269999999999996</v>
      </c>
      <c r="E61" s="1075">
        <v>0.79269999999999996</v>
      </c>
      <c r="F61" s="1075">
        <v>0.79269999999999996</v>
      </c>
      <c r="G61" s="1075">
        <v>0.79269999999999996</v>
      </c>
      <c r="H61" s="1075">
        <v>0.79269999999999996</v>
      </c>
      <c r="I61" s="1075">
        <v>0.62690000000000001</v>
      </c>
      <c r="J61" s="1075">
        <v>0.62690000000000001</v>
      </c>
      <c r="K61" s="1075">
        <v>0.62690000000000001</v>
      </c>
      <c r="L61" s="1075">
        <v>0.62690000000000001</v>
      </c>
      <c r="M61" s="1075">
        <v>0.62690000000000001</v>
      </c>
    </row>
    <row r="62" spans="1:13">
      <c r="A62" s="1072">
        <v>6</v>
      </c>
      <c r="B62" s="1075">
        <v>0.89890000000000003</v>
      </c>
      <c r="C62" s="1075">
        <v>0.89890000000000003</v>
      </c>
      <c r="D62" s="1075">
        <v>0.79020000000000001</v>
      </c>
      <c r="E62" s="1075">
        <v>0.79020000000000001</v>
      </c>
      <c r="F62" s="1075">
        <v>0.79020000000000001</v>
      </c>
      <c r="G62" s="1075">
        <v>0.79020000000000001</v>
      </c>
      <c r="H62" s="1075">
        <v>0.79020000000000001</v>
      </c>
      <c r="I62" s="1075">
        <v>0.62350000000000005</v>
      </c>
      <c r="J62" s="1075">
        <v>0.62350000000000005</v>
      </c>
      <c r="K62" s="1075">
        <v>0.62350000000000005</v>
      </c>
      <c r="L62" s="1075">
        <v>0.62350000000000005</v>
      </c>
      <c r="M62" s="1075">
        <v>0.62350000000000005</v>
      </c>
    </row>
    <row r="63" spans="1:13">
      <c r="A63" s="1072">
        <v>6.1</v>
      </c>
      <c r="B63" s="1075">
        <v>0.89649999999999996</v>
      </c>
      <c r="C63" s="1075">
        <v>0.89649999999999996</v>
      </c>
      <c r="D63" s="1075">
        <v>0.78769999999999996</v>
      </c>
      <c r="E63" s="1075">
        <v>0.78769999999999996</v>
      </c>
      <c r="F63" s="1075">
        <v>0.78769999999999996</v>
      </c>
      <c r="G63" s="1075">
        <v>0.78769999999999996</v>
      </c>
      <c r="H63" s="1075">
        <v>0.78769999999999996</v>
      </c>
      <c r="I63" s="1075">
        <v>0.62029999999999996</v>
      </c>
      <c r="J63" s="1075">
        <v>0.62029999999999996</v>
      </c>
      <c r="K63" s="1075">
        <v>0.62029999999999996</v>
      </c>
      <c r="L63" s="1075">
        <v>0.62029999999999996</v>
      </c>
      <c r="M63" s="1075">
        <v>0.62029999999999996</v>
      </c>
    </row>
    <row r="64" spans="1:13">
      <c r="A64" s="1072">
        <v>6.2</v>
      </c>
      <c r="B64" s="1075">
        <v>0.89429999999999998</v>
      </c>
      <c r="C64" s="1075">
        <v>0.89429999999999998</v>
      </c>
      <c r="D64" s="1075">
        <v>0.78520000000000001</v>
      </c>
      <c r="E64" s="1075">
        <v>0.78520000000000001</v>
      </c>
      <c r="F64" s="1075">
        <v>0.78520000000000001</v>
      </c>
      <c r="G64" s="1075">
        <v>0.78520000000000001</v>
      </c>
      <c r="H64" s="1075">
        <v>0.78520000000000001</v>
      </c>
      <c r="I64" s="1075">
        <v>0.61719999999999997</v>
      </c>
      <c r="J64" s="1075">
        <v>0.61719999999999997</v>
      </c>
      <c r="K64" s="1075">
        <v>0.61719999999999997</v>
      </c>
      <c r="L64" s="1075">
        <v>0.61719999999999997</v>
      </c>
      <c r="M64" s="1075">
        <v>0.61719999999999997</v>
      </c>
    </row>
    <row r="65" spans="1:13">
      <c r="A65" s="1072">
        <v>6.3</v>
      </c>
      <c r="B65" s="1075">
        <v>0.89200000000000002</v>
      </c>
      <c r="C65" s="1075">
        <v>0.89200000000000002</v>
      </c>
      <c r="D65" s="1075">
        <v>0.78280000000000005</v>
      </c>
      <c r="E65" s="1075">
        <v>0.78280000000000005</v>
      </c>
      <c r="F65" s="1075">
        <v>0.78280000000000005</v>
      </c>
      <c r="G65" s="1075">
        <v>0.78280000000000005</v>
      </c>
      <c r="H65" s="1075">
        <v>0.78280000000000005</v>
      </c>
      <c r="I65" s="1075">
        <v>0.61409999999999998</v>
      </c>
      <c r="J65" s="1075">
        <v>0.61409999999999998</v>
      </c>
      <c r="K65" s="1075">
        <v>0.61409999999999998</v>
      </c>
      <c r="L65" s="1075">
        <v>0.61409999999999998</v>
      </c>
      <c r="M65" s="1075">
        <v>0.61409999999999998</v>
      </c>
    </row>
    <row r="66" spans="1:13">
      <c r="A66" s="1072">
        <v>6.4</v>
      </c>
      <c r="B66" s="1075">
        <v>0.88990000000000002</v>
      </c>
      <c r="C66" s="1075">
        <v>0.88990000000000002</v>
      </c>
      <c r="D66" s="1075">
        <v>0.78039999999999998</v>
      </c>
      <c r="E66" s="1075">
        <v>0.78039999999999998</v>
      </c>
      <c r="F66" s="1075">
        <v>0.78039999999999998</v>
      </c>
      <c r="G66" s="1075">
        <v>0.78039999999999998</v>
      </c>
      <c r="H66" s="1075">
        <v>0.78039999999999998</v>
      </c>
      <c r="I66" s="1075">
        <v>0.61099999999999999</v>
      </c>
      <c r="J66" s="1075">
        <v>0.61099999999999999</v>
      </c>
      <c r="K66" s="1075">
        <v>0.61099999999999999</v>
      </c>
      <c r="L66" s="1075">
        <v>0.61099999999999999</v>
      </c>
      <c r="M66" s="1075">
        <v>0.61099999999999999</v>
      </c>
    </row>
    <row r="67" spans="1:13">
      <c r="A67" s="1072">
        <v>6.5</v>
      </c>
      <c r="B67" s="1075">
        <v>0.88780000000000003</v>
      </c>
      <c r="C67" s="1075">
        <v>0.88780000000000003</v>
      </c>
      <c r="D67" s="1075">
        <v>0.77810000000000001</v>
      </c>
      <c r="E67" s="1075">
        <v>0.77810000000000001</v>
      </c>
      <c r="F67" s="1075">
        <v>0.77810000000000001</v>
      </c>
      <c r="G67" s="1075">
        <v>0.77810000000000001</v>
      </c>
      <c r="H67" s="1075">
        <v>0.77810000000000001</v>
      </c>
      <c r="I67" s="1075">
        <v>0.60799999999999998</v>
      </c>
      <c r="J67" s="1075">
        <v>0.60799999999999998</v>
      </c>
      <c r="K67" s="1075">
        <v>0.60799999999999998</v>
      </c>
      <c r="L67" s="1075">
        <v>0.60799999999999998</v>
      </c>
      <c r="M67" s="1075">
        <v>0.60799999999999998</v>
      </c>
    </row>
    <row r="68" spans="1:13">
      <c r="A68" s="1072">
        <v>6.6</v>
      </c>
      <c r="B68" s="1075">
        <v>0.88580000000000003</v>
      </c>
      <c r="C68" s="1075">
        <v>0.88580000000000003</v>
      </c>
      <c r="D68" s="1075">
        <v>0.77580000000000005</v>
      </c>
      <c r="E68" s="1075">
        <v>0.77580000000000005</v>
      </c>
      <c r="F68" s="1075">
        <v>0.77580000000000005</v>
      </c>
      <c r="G68" s="1075">
        <v>0.77580000000000005</v>
      </c>
      <c r="H68" s="1075">
        <v>0.77580000000000005</v>
      </c>
      <c r="I68" s="1075">
        <v>0.60499999999999998</v>
      </c>
      <c r="J68" s="1075">
        <v>0.60499999999999998</v>
      </c>
      <c r="K68" s="1075">
        <v>0.60499999999999998</v>
      </c>
      <c r="L68" s="1075">
        <v>0.60499999999999998</v>
      </c>
      <c r="M68" s="1075">
        <v>0.60499999999999998</v>
      </c>
    </row>
    <row r="69" spans="1:13">
      <c r="A69" s="1072">
        <v>6.7</v>
      </c>
      <c r="B69" s="1075">
        <v>0.88380000000000003</v>
      </c>
      <c r="C69" s="1075">
        <v>0.88380000000000003</v>
      </c>
      <c r="D69" s="1075">
        <v>0.77359999999999995</v>
      </c>
      <c r="E69" s="1075">
        <v>0.77359999999999995</v>
      </c>
      <c r="F69" s="1075">
        <v>0.77359999999999995</v>
      </c>
      <c r="G69" s="1075">
        <v>0.77359999999999995</v>
      </c>
      <c r="H69" s="1075">
        <v>0.77359999999999995</v>
      </c>
      <c r="I69" s="1075">
        <v>0.60209999999999997</v>
      </c>
      <c r="J69" s="1075">
        <v>0.60209999999999997</v>
      </c>
      <c r="K69" s="1075">
        <v>0.60209999999999997</v>
      </c>
      <c r="L69" s="1075">
        <v>0.60209999999999997</v>
      </c>
      <c r="M69" s="1075">
        <v>0.60209999999999997</v>
      </c>
    </row>
    <row r="70" spans="1:13">
      <c r="A70" s="1072">
        <v>6.8</v>
      </c>
      <c r="B70" s="1075">
        <v>0.88190000000000002</v>
      </c>
      <c r="C70" s="1075">
        <v>0.88190000000000002</v>
      </c>
      <c r="D70" s="1075">
        <v>0.77159999999999995</v>
      </c>
      <c r="E70" s="1075">
        <v>0.77159999999999995</v>
      </c>
      <c r="F70" s="1075">
        <v>0.77159999999999995</v>
      </c>
      <c r="G70" s="1075">
        <v>0.77159999999999995</v>
      </c>
      <c r="H70" s="1075">
        <v>0.77159999999999995</v>
      </c>
      <c r="I70" s="1075">
        <v>0.59930000000000005</v>
      </c>
      <c r="J70" s="1075">
        <v>0.59930000000000005</v>
      </c>
      <c r="K70" s="1075">
        <v>0.59930000000000005</v>
      </c>
      <c r="L70" s="1075">
        <v>0.59930000000000005</v>
      </c>
      <c r="M70" s="1075">
        <v>0.59930000000000005</v>
      </c>
    </row>
    <row r="71" spans="1:13">
      <c r="A71" s="1072">
        <v>6.9</v>
      </c>
      <c r="B71" s="1075">
        <v>0.88</v>
      </c>
      <c r="C71" s="1075">
        <v>0.88</v>
      </c>
      <c r="D71" s="1075">
        <v>0.76949999999999996</v>
      </c>
      <c r="E71" s="1075">
        <v>0.76949999999999996</v>
      </c>
      <c r="F71" s="1075">
        <v>0.76949999999999996</v>
      </c>
      <c r="G71" s="1075">
        <v>0.76949999999999996</v>
      </c>
      <c r="H71" s="1075">
        <v>0.76949999999999996</v>
      </c>
      <c r="I71" s="1075">
        <v>0.59640000000000004</v>
      </c>
      <c r="J71" s="1075">
        <v>0.59640000000000004</v>
      </c>
      <c r="K71" s="1075">
        <v>0.59640000000000004</v>
      </c>
      <c r="L71" s="1075">
        <v>0.59640000000000004</v>
      </c>
      <c r="M71" s="1075">
        <v>0.59640000000000004</v>
      </c>
    </row>
    <row r="72" spans="1:13">
      <c r="A72" s="1072">
        <v>7</v>
      </c>
      <c r="B72" s="1075">
        <v>0.87819999999999998</v>
      </c>
      <c r="C72" s="1075">
        <v>0.87819999999999998</v>
      </c>
      <c r="D72" s="1075">
        <v>0.76749999999999996</v>
      </c>
      <c r="E72" s="1075">
        <v>0.76749999999999996</v>
      </c>
      <c r="F72" s="1075">
        <v>0.76749999999999996</v>
      </c>
      <c r="G72" s="1075">
        <v>0.76749999999999996</v>
      </c>
      <c r="H72" s="1075">
        <v>0.76749999999999996</v>
      </c>
      <c r="I72" s="1075">
        <v>0.59360000000000002</v>
      </c>
      <c r="J72" s="1075">
        <v>0.59360000000000002</v>
      </c>
      <c r="K72" s="1075">
        <v>0.59360000000000002</v>
      </c>
      <c r="L72" s="1075">
        <v>0.59360000000000002</v>
      </c>
      <c r="M72" s="1075">
        <v>0.59360000000000002</v>
      </c>
    </row>
    <row r="73" spans="1:13">
      <c r="A73" s="1072">
        <v>7.1</v>
      </c>
      <c r="B73" s="1075">
        <v>0.87660000000000005</v>
      </c>
      <c r="C73" s="1075">
        <v>0.87660000000000005</v>
      </c>
      <c r="D73" s="1075">
        <v>0.76570000000000005</v>
      </c>
      <c r="E73" s="1075">
        <v>0.76570000000000005</v>
      </c>
      <c r="F73" s="1075">
        <v>0.76570000000000005</v>
      </c>
      <c r="G73" s="1075">
        <v>0.76570000000000005</v>
      </c>
      <c r="H73" s="1075">
        <v>0.76570000000000005</v>
      </c>
      <c r="I73" s="1075">
        <v>0.59109999999999996</v>
      </c>
      <c r="J73" s="1075">
        <v>0.59109999999999996</v>
      </c>
      <c r="K73" s="1075">
        <v>0.59109999999999996</v>
      </c>
      <c r="L73" s="1075">
        <v>0.59109999999999996</v>
      </c>
      <c r="M73" s="1075">
        <v>0.59109999999999996</v>
      </c>
    </row>
    <row r="74" spans="1:13">
      <c r="A74" s="1072">
        <v>7.2</v>
      </c>
      <c r="B74" s="1075">
        <v>0.87490000000000001</v>
      </c>
      <c r="C74" s="1075">
        <v>0.87490000000000001</v>
      </c>
      <c r="D74" s="1075">
        <v>0.76380000000000003</v>
      </c>
      <c r="E74" s="1075">
        <v>0.76380000000000003</v>
      </c>
      <c r="F74" s="1075">
        <v>0.76380000000000003</v>
      </c>
      <c r="G74" s="1075">
        <v>0.76380000000000003</v>
      </c>
      <c r="H74" s="1075">
        <v>0.76380000000000003</v>
      </c>
      <c r="I74" s="1075">
        <v>0.58860000000000001</v>
      </c>
      <c r="J74" s="1075">
        <v>0.58860000000000001</v>
      </c>
      <c r="K74" s="1075">
        <v>0.58860000000000001</v>
      </c>
      <c r="L74" s="1075">
        <v>0.58860000000000001</v>
      </c>
      <c r="M74" s="1075">
        <v>0.58860000000000001</v>
      </c>
    </row>
    <row r="75" spans="1:13">
      <c r="A75" s="1072">
        <v>7.3</v>
      </c>
      <c r="B75" s="1075">
        <v>0.87329999999999997</v>
      </c>
      <c r="C75" s="1075">
        <v>0.87329999999999997</v>
      </c>
      <c r="D75" s="1075">
        <v>0.76200000000000001</v>
      </c>
      <c r="E75" s="1075">
        <v>0.76200000000000001</v>
      </c>
      <c r="F75" s="1075">
        <v>0.76200000000000001</v>
      </c>
      <c r="G75" s="1075">
        <v>0.76200000000000001</v>
      </c>
      <c r="H75" s="1075">
        <v>0.76200000000000001</v>
      </c>
      <c r="I75" s="1075">
        <v>0.58620000000000005</v>
      </c>
      <c r="J75" s="1075">
        <v>0.58620000000000005</v>
      </c>
      <c r="K75" s="1075">
        <v>0.58620000000000005</v>
      </c>
      <c r="L75" s="1075">
        <v>0.58620000000000005</v>
      </c>
      <c r="M75" s="1075">
        <v>0.58620000000000005</v>
      </c>
    </row>
    <row r="76" spans="1:13">
      <c r="A76" s="1072">
        <v>7.4</v>
      </c>
      <c r="B76" s="1075">
        <v>0.87160000000000004</v>
      </c>
      <c r="C76" s="1075">
        <v>0.87160000000000004</v>
      </c>
      <c r="D76" s="1075">
        <v>0.76029999999999998</v>
      </c>
      <c r="E76" s="1075">
        <v>0.76029999999999998</v>
      </c>
      <c r="F76" s="1075">
        <v>0.76029999999999998</v>
      </c>
      <c r="G76" s="1075">
        <v>0.76029999999999998</v>
      </c>
      <c r="H76" s="1075">
        <v>0.76029999999999998</v>
      </c>
      <c r="I76" s="1075">
        <v>0.58379999999999999</v>
      </c>
      <c r="J76" s="1075">
        <v>0.58379999999999999</v>
      </c>
      <c r="K76" s="1075">
        <v>0.58379999999999999</v>
      </c>
      <c r="L76" s="1075">
        <v>0.58379999999999999</v>
      </c>
      <c r="M76" s="1075">
        <v>0.58379999999999999</v>
      </c>
    </row>
    <row r="77" spans="1:13">
      <c r="A77" s="1072">
        <v>7.5</v>
      </c>
      <c r="B77" s="1075">
        <v>0.87</v>
      </c>
      <c r="C77" s="1075">
        <v>0.87</v>
      </c>
      <c r="D77" s="1075">
        <v>0.75849999999999995</v>
      </c>
      <c r="E77" s="1075">
        <v>0.75849999999999995</v>
      </c>
      <c r="F77" s="1075">
        <v>0.75849999999999995</v>
      </c>
      <c r="G77" s="1075">
        <v>0.75849999999999995</v>
      </c>
      <c r="H77" s="1075">
        <v>0.75849999999999995</v>
      </c>
      <c r="I77" s="1075">
        <v>0.58140000000000003</v>
      </c>
      <c r="J77" s="1075">
        <v>0.58140000000000003</v>
      </c>
      <c r="K77" s="1075">
        <v>0.58140000000000003</v>
      </c>
      <c r="L77" s="1075">
        <v>0.58140000000000003</v>
      </c>
      <c r="M77" s="1075">
        <v>0.58140000000000003</v>
      </c>
    </row>
    <row r="78" spans="1:13">
      <c r="A78" s="1072">
        <v>7.6</v>
      </c>
      <c r="B78" s="1075">
        <v>0.86839999999999995</v>
      </c>
      <c r="C78" s="1075">
        <v>0.86839999999999995</v>
      </c>
      <c r="D78" s="1075">
        <v>0.75680000000000003</v>
      </c>
      <c r="E78" s="1075">
        <v>0.75680000000000003</v>
      </c>
      <c r="F78" s="1075">
        <v>0.75680000000000003</v>
      </c>
      <c r="G78" s="1075">
        <v>0.75680000000000003</v>
      </c>
      <c r="H78" s="1075">
        <v>0.75680000000000003</v>
      </c>
      <c r="I78" s="1075">
        <v>0.57899999999999996</v>
      </c>
      <c r="J78" s="1075">
        <v>0.57899999999999996</v>
      </c>
      <c r="K78" s="1075">
        <v>0.57899999999999996</v>
      </c>
      <c r="L78" s="1075">
        <v>0.57899999999999996</v>
      </c>
      <c r="M78" s="1075">
        <v>0.57899999999999996</v>
      </c>
    </row>
    <row r="79" spans="1:13">
      <c r="A79" s="1072">
        <v>7.7</v>
      </c>
      <c r="B79" s="1075">
        <v>0.8669</v>
      </c>
      <c r="C79" s="1075">
        <v>0.8669</v>
      </c>
      <c r="D79" s="1075">
        <v>0.755</v>
      </c>
      <c r="E79" s="1075">
        <v>0.755</v>
      </c>
      <c r="F79" s="1075">
        <v>0.755</v>
      </c>
      <c r="G79" s="1075">
        <v>0.755</v>
      </c>
      <c r="H79" s="1075">
        <v>0.755</v>
      </c>
      <c r="I79" s="1075">
        <v>0.57669999999999999</v>
      </c>
      <c r="J79" s="1075">
        <v>0.57669999999999999</v>
      </c>
      <c r="K79" s="1075">
        <v>0.57669999999999999</v>
      </c>
      <c r="L79" s="1075">
        <v>0.57669999999999999</v>
      </c>
      <c r="M79" s="1075">
        <v>0.57669999999999999</v>
      </c>
    </row>
    <row r="80" spans="1:13">
      <c r="A80" s="1072">
        <v>7.8</v>
      </c>
      <c r="B80" s="1075">
        <v>0.86539999999999995</v>
      </c>
      <c r="C80" s="1075">
        <v>0.86539999999999995</v>
      </c>
      <c r="D80" s="1075">
        <v>0.75329999999999997</v>
      </c>
      <c r="E80" s="1075">
        <v>0.75329999999999997</v>
      </c>
      <c r="F80" s="1075">
        <v>0.75329999999999997</v>
      </c>
      <c r="G80" s="1075">
        <v>0.75329999999999997</v>
      </c>
      <c r="H80" s="1075">
        <v>0.75329999999999997</v>
      </c>
      <c r="I80" s="1075">
        <v>0.57450000000000001</v>
      </c>
      <c r="J80" s="1075">
        <v>0.57450000000000001</v>
      </c>
      <c r="K80" s="1075">
        <v>0.57450000000000001</v>
      </c>
      <c r="L80" s="1075">
        <v>0.57450000000000001</v>
      </c>
      <c r="M80" s="1075">
        <v>0.57450000000000001</v>
      </c>
    </row>
    <row r="81" spans="1:13">
      <c r="A81" s="1072">
        <v>7.9</v>
      </c>
      <c r="B81" s="1075">
        <v>0.86380000000000001</v>
      </c>
      <c r="C81" s="1075">
        <v>0.86380000000000001</v>
      </c>
      <c r="D81" s="1075">
        <v>0.75170000000000003</v>
      </c>
      <c r="E81" s="1075">
        <v>0.75170000000000003</v>
      </c>
      <c r="F81" s="1075">
        <v>0.75170000000000003</v>
      </c>
      <c r="G81" s="1075">
        <v>0.75170000000000003</v>
      </c>
      <c r="H81" s="1075">
        <v>0.75170000000000003</v>
      </c>
      <c r="I81" s="1075">
        <v>0.57220000000000004</v>
      </c>
      <c r="J81" s="1075">
        <v>0.57220000000000004</v>
      </c>
      <c r="K81" s="1075">
        <v>0.57220000000000004</v>
      </c>
      <c r="L81" s="1075">
        <v>0.57220000000000004</v>
      </c>
      <c r="M81" s="1075">
        <v>0.57220000000000004</v>
      </c>
    </row>
    <row r="82" spans="1:13">
      <c r="A82" s="1072">
        <v>8</v>
      </c>
      <c r="B82" s="1075">
        <v>0.86240000000000006</v>
      </c>
      <c r="C82" s="1075">
        <v>0.86240000000000006</v>
      </c>
      <c r="D82" s="1075">
        <v>0.75</v>
      </c>
      <c r="E82" s="1075">
        <v>0.75</v>
      </c>
      <c r="F82" s="1075">
        <v>0.75</v>
      </c>
      <c r="G82" s="1075">
        <v>0.75</v>
      </c>
      <c r="H82" s="1075">
        <v>0.75</v>
      </c>
      <c r="I82" s="1075">
        <v>0.56989999999999996</v>
      </c>
      <c r="J82" s="1075">
        <v>0.56989999999999996</v>
      </c>
      <c r="K82" s="1075">
        <v>0.56989999999999996</v>
      </c>
      <c r="L82" s="1075">
        <v>0.56989999999999996</v>
      </c>
      <c r="M82" s="1075">
        <v>0.56989999999999996</v>
      </c>
    </row>
    <row r="83" spans="1:13">
      <c r="A83" s="1072">
        <v>8.1</v>
      </c>
      <c r="B83" s="1075">
        <v>0.86099999999999999</v>
      </c>
      <c r="C83" s="1075">
        <v>0.86099999999999999</v>
      </c>
      <c r="D83" s="1075">
        <v>0.74850000000000005</v>
      </c>
      <c r="E83" s="1075">
        <v>0.74850000000000005</v>
      </c>
      <c r="F83" s="1075">
        <v>0.74850000000000005</v>
      </c>
      <c r="G83" s="1075">
        <v>0.74850000000000005</v>
      </c>
      <c r="H83" s="1075">
        <v>0.74850000000000005</v>
      </c>
      <c r="I83" s="1075">
        <v>0.56779999999999997</v>
      </c>
      <c r="J83" s="1075">
        <v>0.56779999999999997</v>
      </c>
      <c r="K83" s="1075">
        <v>0.56779999999999997</v>
      </c>
      <c r="L83" s="1075">
        <v>0.56779999999999997</v>
      </c>
      <c r="M83" s="1075">
        <v>0.56779999999999997</v>
      </c>
    </row>
    <row r="84" spans="1:13">
      <c r="A84" s="1072">
        <v>8.1999999999999993</v>
      </c>
      <c r="B84" s="1075">
        <v>0.85970000000000002</v>
      </c>
      <c r="C84" s="1075">
        <v>0.85970000000000002</v>
      </c>
      <c r="D84" s="1075">
        <v>0.747</v>
      </c>
      <c r="E84" s="1075">
        <v>0.747</v>
      </c>
      <c r="F84" s="1075">
        <v>0.747</v>
      </c>
      <c r="G84" s="1075">
        <v>0.747</v>
      </c>
      <c r="H84" s="1075">
        <v>0.747</v>
      </c>
      <c r="I84" s="1075">
        <v>0.56589999999999996</v>
      </c>
      <c r="J84" s="1075">
        <v>0.56589999999999996</v>
      </c>
      <c r="K84" s="1075">
        <v>0.56589999999999996</v>
      </c>
      <c r="L84" s="1075">
        <v>0.56589999999999996</v>
      </c>
      <c r="M84" s="1075">
        <v>0.56589999999999996</v>
      </c>
    </row>
    <row r="85" spans="1:13">
      <c r="A85" s="1072">
        <v>8.3000000000000007</v>
      </c>
      <c r="B85" s="1075">
        <v>0.85840000000000005</v>
      </c>
      <c r="C85" s="1075">
        <v>0.85840000000000005</v>
      </c>
      <c r="D85" s="1075">
        <v>0.74560000000000004</v>
      </c>
      <c r="E85" s="1075">
        <v>0.74560000000000004</v>
      </c>
      <c r="F85" s="1075">
        <v>0.74560000000000004</v>
      </c>
      <c r="G85" s="1075">
        <v>0.74560000000000004</v>
      </c>
      <c r="H85" s="1075">
        <v>0.74560000000000004</v>
      </c>
      <c r="I85" s="1075">
        <v>0.56389999999999996</v>
      </c>
      <c r="J85" s="1075">
        <v>0.56389999999999996</v>
      </c>
      <c r="K85" s="1075">
        <v>0.56389999999999996</v>
      </c>
      <c r="L85" s="1075">
        <v>0.56389999999999996</v>
      </c>
      <c r="M85" s="1075">
        <v>0.56389999999999996</v>
      </c>
    </row>
    <row r="86" spans="1:13">
      <c r="A86" s="1072">
        <v>8.4</v>
      </c>
      <c r="B86" s="1075">
        <v>0.85709999999999997</v>
      </c>
      <c r="C86" s="1075">
        <v>0.85709999999999997</v>
      </c>
      <c r="D86" s="1075">
        <v>0.74419999999999997</v>
      </c>
      <c r="E86" s="1075">
        <v>0.74419999999999997</v>
      </c>
      <c r="F86" s="1075">
        <v>0.74419999999999997</v>
      </c>
      <c r="G86" s="1075">
        <v>0.74419999999999997</v>
      </c>
      <c r="H86" s="1075">
        <v>0.74419999999999997</v>
      </c>
      <c r="I86" s="1075">
        <v>0.56189999999999996</v>
      </c>
      <c r="J86" s="1075">
        <v>0.56189999999999996</v>
      </c>
      <c r="K86" s="1075">
        <v>0.56189999999999996</v>
      </c>
      <c r="L86" s="1075">
        <v>0.56189999999999996</v>
      </c>
      <c r="M86" s="1075">
        <v>0.56189999999999996</v>
      </c>
    </row>
    <row r="87" spans="1:13">
      <c r="A87" s="1072">
        <v>8.5</v>
      </c>
      <c r="B87" s="1075">
        <v>0.85580000000000001</v>
      </c>
      <c r="C87" s="1075">
        <v>0.85580000000000001</v>
      </c>
      <c r="D87" s="1075">
        <v>0.74270000000000003</v>
      </c>
      <c r="E87" s="1075">
        <v>0.74270000000000003</v>
      </c>
      <c r="F87" s="1075">
        <v>0.74270000000000003</v>
      </c>
      <c r="G87" s="1075">
        <v>0.74270000000000003</v>
      </c>
      <c r="H87" s="1075">
        <v>0.74270000000000003</v>
      </c>
      <c r="I87" s="1075">
        <v>0.55989999999999995</v>
      </c>
      <c r="J87" s="1075">
        <v>0.55989999999999995</v>
      </c>
      <c r="K87" s="1075">
        <v>0.55989999999999995</v>
      </c>
      <c r="L87" s="1075">
        <v>0.55989999999999995</v>
      </c>
      <c r="M87" s="1075">
        <v>0.55989999999999995</v>
      </c>
    </row>
    <row r="88" spans="1:13">
      <c r="A88" s="1072">
        <v>8.6</v>
      </c>
      <c r="B88" s="1075">
        <v>0.85450000000000004</v>
      </c>
      <c r="C88" s="1075">
        <v>0.85450000000000004</v>
      </c>
      <c r="D88" s="1075">
        <v>0.74129999999999996</v>
      </c>
      <c r="E88" s="1075">
        <v>0.74129999999999996</v>
      </c>
      <c r="F88" s="1075">
        <v>0.74129999999999996</v>
      </c>
      <c r="G88" s="1075">
        <v>0.74129999999999996</v>
      </c>
      <c r="H88" s="1075">
        <v>0.74129999999999996</v>
      </c>
      <c r="I88" s="1075">
        <v>0.55800000000000005</v>
      </c>
      <c r="J88" s="1075">
        <v>0.55800000000000005</v>
      </c>
      <c r="K88" s="1075">
        <v>0.55800000000000005</v>
      </c>
      <c r="L88" s="1075">
        <v>0.55800000000000005</v>
      </c>
      <c r="M88" s="1075">
        <v>0.55800000000000005</v>
      </c>
    </row>
    <row r="89" spans="1:13">
      <c r="A89" s="1072">
        <v>8.6999999999999993</v>
      </c>
      <c r="B89" s="1075">
        <v>0.85329999999999995</v>
      </c>
      <c r="C89" s="1075">
        <v>0.85329999999999995</v>
      </c>
      <c r="D89" s="1075">
        <v>0.7399</v>
      </c>
      <c r="E89" s="1075">
        <v>0.7399</v>
      </c>
      <c r="F89" s="1075">
        <v>0.7399</v>
      </c>
      <c r="G89" s="1075">
        <v>0.7399</v>
      </c>
      <c r="H89" s="1075">
        <v>0.7399</v>
      </c>
      <c r="I89" s="1075">
        <v>0.55600000000000005</v>
      </c>
      <c r="J89" s="1075">
        <v>0.55600000000000005</v>
      </c>
      <c r="K89" s="1075">
        <v>0.55600000000000005</v>
      </c>
      <c r="L89" s="1075">
        <v>0.55600000000000005</v>
      </c>
      <c r="M89" s="1075">
        <v>0.55600000000000005</v>
      </c>
    </row>
    <row r="90" spans="1:13">
      <c r="A90" s="1072">
        <v>8.8000000000000007</v>
      </c>
      <c r="B90" s="1075">
        <v>0.85209999999999997</v>
      </c>
      <c r="C90" s="1075">
        <v>0.85209999999999997</v>
      </c>
      <c r="D90" s="1075">
        <v>0.73850000000000005</v>
      </c>
      <c r="E90" s="1075">
        <v>0.73850000000000005</v>
      </c>
      <c r="F90" s="1075">
        <v>0.73850000000000005</v>
      </c>
      <c r="G90" s="1075">
        <v>0.73850000000000005</v>
      </c>
      <c r="H90" s="1075">
        <v>0.73850000000000005</v>
      </c>
      <c r="I90" s="1075">
        <v>0.55420000000000003</v>
      </c>
      <c r="J90" s="1075">
        <v>0.55420000000000003</v>
      </c>
      <c r="K90" s="1075">
        <v>0.55420000000000003</v>
      </c>
      <c r="L90" s="1075">
        <v>0.55420000000000003</v>
      </c>
      <c r="M90" s="1075">
        <v>0.55420000000000003</v>
      </c>
    </row>
    <row r="91" spans="1:13">
      <c r="A91" s="1072">
        <v>8.9</v>
      </c>
      <c r="B91" s="1075">
        <v>0.85099999999999998</v>
      </c>
      <c r="C91" s="1075">
        <v>0.85099999999999998</v>
      </c>
      <c r="D91" s="1075">
        <v>0.73719999999999997</v>
      </c>
      <c r="E91" s="1075">
        <v>0.73719999999999997</v>
      </c>
      <c r="F91" s="1075">
        <v>0.73719999999999997</v>
      </c>
      <c r="G91" s="1075">
        <v>0.73719999999999997</v>
      </c>
      <c r="H91" s="1075">
        <v>0.73719999999999997</v>
      </c>
      <c r="I91" s="1075">
        <v>0.55230000000000001</v>
      </c>
      <c r="J91" s="1075">
        <v>0.55230000000000001</v>
      </c>
      <c r="K91" s="1075">
        <v>0.55230000000000001</v>
      </c>
      <c r="L91" s="1075">
        <v>0.55230000000000001</v>
      </c>
      <c r="M91" s="1075">
        <v>0.55230000000000001</v>
      </c>
    </row>
    <row r="92" spans="1:13">
      <c r="A92" s="1076">
        <v>9</v>
      </c>
      <c r="B92" s="1075">
        <v>0.8498</v>
      </c>
      <c r="C92" s="1075">
        <v>0.8498</v>
      </c>
      <c r="D92" s="1075">
        <v>0.7359</v>
      </c>
      <c r="E92" s="1075">
        <v>0.7359</v>
      </c>
      <c r="F92" s="1075">
        <v>0.7359</v>
      </c>
      <c r="G92" s="1075">
        <v>0.7359</v>
      </c>
      <c r="H92" s="1075">
        <v>0.7359</v>
      </c>
      <c r="I92" s="1075">
        <v>0.55049999999999999</v>
      </c>
      <c r="J92" s="1075">
        <v>0.55049999999999999</v>
      </c>
      <c r="K92" s="1075">
        <v>0.55049999999999999</v>
      </c>
      <c r="L92" s="1075">
        <v>0.55049999999999999</v>
      </c>
      <c r="M92" s="1075">
        <v>0.55049999999999999</v>
      </c>
    </row>
    <row r="93" spans="1:13">
      <c r="A93" s="1076">
        <v>9.1</v>
      </c>
      <c r="B93" s="1075">
        <v>0.84870000000000001</v>
      </c>
      <c r="C93" s="1075">
        <v>0.84870000000000001</v>
      </c>
      <c r="D93" s="1075">
        <v>0.73470000000000002</v>
      </c>
      <c r="E93" s="1075">
        <v>0.73470000000000002</v>
      </c>
      <c r="F93" s="1075">
        <v>0.73470000000000002</v>
      </c>
      <c r="G93" s="1075">
        <v>0.73470000000000002</v>
      </c>
      <c r="H93" s="1075">
        <v>0.73470000000000002</v>
      </c>
      <c r="I93" s="1075">
        <v>0.54879999999999995</v>
      </c>
      <c r="J93" s="1075">
        <v>0.54879999999999995</v>
      </c>
      <c r="K93" s="1075">
        <v>0.54879999999999995</v>
      </c>
      <c r="L93" s="1075">
        <v>0.54879999999999995</v>
      </c>
      <c r="M93" s="1075">
        <v>0.54879999999999995</v>
      </c>
    </row>
    <row r="94" spans="1:13">
      <c r="A94" s="1076">
        <v>9.1999999999999993</v>
      </c>
      <c r="B94" s="1075">
        <v>0.84770000000000001</v>
      </c>
      <c r="C94" s="1075">
        <v>0.84770000000000001</v>
      </c>
      <c r="D94" s="1075">
        <v>0.73350000000000004</v>
      </c>
      <c r="E94" s="1075">
        <v>0.73350000000000004</v>
      </c>
      <c r="F94" s="1075">
        <v>0.73350000000000004</v>
      </c>
      <c r="G94" s="1075">
        <v>0.73350000000000004</v>
      </c>
      <c r="H94" s="1075">
        <v>0.73350000000000004</v>
      </c>
      <c r="I94" s="1075">
        <v>0.54710000000000003</v>
      </c>
      <c r="J94" s="1075">
        <v>0.54710000000000003</v>
      </c>
      <c r="K94" s="1075">
        <v>0.54710000000000003</v>
      </c>
      <c r="L94" s="1075">
        <v>0.54710000000000003</v>
      </c>
      <c r="M94" s="1075">
        <v>0.54710000000000003</v>
      </c>
    </row>
    <row r="95" spans="1:13">
      <c r="A95" s="1076">
        <v>9.3000000000000007</v>
      </c>
      <c r="B95" s="1075">
        <v>0.84660000000000002</v>
      </c>
      <c r="C95" s="1075">
        <v>0.84660000000000002</v>
      </c>
      <c r="D95" s="1075">
        <v>0.73229999999999995</v>
      </c>
      <c r="E95" s="1075">
        <v>0.73229999999999995</v>
      </c>
      <c r="F95" s="1075">
        <v>0.73229999999999995</v>
      </c>
      <c r="G95" s="1075">
        <v>0.73229999999999995</v>
      </c>
      <c r="H95" s="1075">
        <v>0.73229999999999995</v>
      </c>
      <c r="I95" s="1075">
        <v>0.5454</v>
      </c>
      <c r="J95" s="1075">
        <v>0.5454</v>
      </c>
      <c r="K95" s="1075">
        <v>0.5454</v>
      </c>
      <c r="L95" s="1075">
        <v>0.5454</v>
      </c>
      <c r="M95" s="1075">
        <v>0.5454</v>
      </c>
    </row>
    <row r="96" spans="1:13">
      <c r="A96" s="1076">
        <v>9.4</v>
      </c>
      <c r="B96" s="1075">
        <v>0.84550000000000003</v>
      </c>
      <c r="C96" s="1075">
        <v>0.84550000000000003</v>
      </c>
      <c r="D96" s="1075">
        <v>0.73109999999999997</v>
      </c>
      <c r="E96" s="1075">
        <v>0.73109999999999997</v>
      </c>
      <c r="F96" s="1075">
        <v>0.73109999999999997</v>
      </c>
      <c r="G96" s="1075">
        <v>0.73109999999999997</v>
      </c>
      <c r="H96" s="1075">
        <v>0.73109999999999997</v>
      </c>
      <c r="I96" s="1075">
        <v>0.54369999999999996</v>
      </c>
      <c r="J96" s="1075">
        <v>0.54369999999999996</v>
      </c>
      <c r="K96" s="1075">
        <v>0.54369999999999996</v>
      </c>
      <c r="L96" s="1075">
        <v>0.54369999999999996</v>
      </c>
      <c r="M96" s="1075">
        <v>0.54369999999999996</v>
      </c>
    </row>
    <row r="97" spans="1:14">
      <c r="A97" s="1076">
        <v>9.5</v>
      </c>
      <c r="B97" s="1075">
        <v>0.84450000000000003</v>
      </c>
      <c r="C97" s="1075">
        <v>0.84450000000000003</v>
      </c>
      <c r="D97" s="1075">
        <v>0.72989999999999999</v>
      </c>
      <c r="E97" s="1075">
        <v>0.72989999999999999</v>
      </c>
      <c r="F97" s="1075">
        <v>0.72989999999999999</v>
      </c>
      <c r="G97" s="1075">
        <v>0.72989999999999999</v>
      </c>
      <c r="H97" s="1075">
        <v>0.72989999999999999</v>
      </c>
      <c r="I97" s="1075">
        <v>0.54200000000000004</v>
      </c>
      <c r="J97" s="1075">
        <v>0.54200000000000004</v>
      </c>
      <c r="K97" s="1075">
        <v>0.54200000000000004</v>
      </c>
      <c r="L97" s="1075">
        <v>0.54200000000000004</v>
      </c>
      <c r="M97" s="1075">
        <v>0.54200000000000004</v>
      </c>
    </row>
    <row r="98" spans="1:14">
      <c r="A98" s="1076">
        <v>9.6</v>
      </c>
      <c r="B98" s="1075">
        <v>0.84340000000000004</v>
      </c>
      <c r="C98" s="1075">
        <v>0.84340000000000004</v>
      </c>
      <c r="D98" s="1075">
        <v>0.72870000000000001</v>
      </c>
      <c r="E98" s="1075">
        <v>0.72870000000000001</v>
      </c>
      <c r="F98" s="1075">
        <v>0.72870000000000001</v>
      </c>
      <c r="G98" s="1075">
        <v>0.72870000000000001</v>
      </c>
      <c r="H98" s="1075">
        <v>0.72870000000000001</v>
      </c>
      <c r="I98" s="1075">
        <v>0.5403</v>
      </c>
      <c r="J98" s="1075">
        <v>0.5403</v>
      </c>
      <c r="K98" s="1075">
        <v>0.5403</v>
      </c>
      <c r="L98" s="1075">
        <v>0.5403</v>
      </c>
      <c r="M98" s="1075">
        <v>0.5403</v>
      </c>
    </row>
    <row r="99" spans="1:14">
      <c r="A99" s="1076">
        <v>9.6999999999999993</v>
      </c>
      <c r="B99" s="1075">
        <v>0.84230000000000005</v>
      </c>
      <c r="C99" s="1075">
        <v>0.84230000000000005</v>
      </c>
      <c r="D99" s="1075">
        <v>0.72750000000000004</v>
      </c>
      <c r="E99" s="1075">
        <v>0.72750000000000004</v>
      </c>
      <c r="F99" s="1075">
        <v>0.72750000000000004</v>
      </c>
      <c r="G99" s="1075">
        <v>0.72750000000000004</v>
      </c>
      <c r="H99" s="1075">
        <v>0.72750000000000004</v>
      </c>
      <c r="I99" s="1075">
        <v>0.53859999999999997</v>
      </c>
      <c r="J99" s="1075">
        <v>0.53859999999999997</v>
      </c>
      <c r="K99" s="1075">
        <v>0.53859999999999997</v>
      </c>
      <c r="L99" s="1075">
        <v>0.53859999999999997</v>
      </c>
      <c r="M99" s="1075">
        <v>0.53859999999999997</v>
      </c>
    </row>
    <row r="100" spans="1:14">
      <c r="A100" s="1076">
        <v>9.8000000000000007</v>
      </c>
      <c r="B100" s="1075">
        <v>0.84140000000000004</v>
      </c>
      <c r="C100" s="1075">
        <v>0.84140000000000004</v>
      </c>
      <c r="D100" s="1075">
        <v>0.72629999999999995</v>
      </c>
      <c r="E100" s="1075">
        <v>0.72629999999999995</v>
      </c>
      <c r="F100" s="1075">
        <v>0.72629999999999995</v>
      </c>
      <c r="G100" s="1075">
        <v>0.72629999999999995</v>
      </c>
      <c r="H100" s="1075">
        <v>0.72629999999999995</v>
      </c>
      <c r="I100" s="1075">
        <v>0.53710000000000002</v>
      </c>
      <c r="J100" s="1075">
        <v>0.53710000000000002</v>
      </c>
      <c r="K100" s="1075">
        <v>0.53710000000000002</v>
      </c>
      <c r="L100" s="1075">
        <v>0.53710000000000002</v>
      </c>
      <c r="M100" s="1075">
        <v>0.53710000000000002</v>
      </c>
    </row>
    <row r="101" spans="1:14">
      <c r="A101" s="1076">
        <v>9.9</v>
      </c>
      <c r="B101" s="1075">
        <v>0.84050000000000002</v>
      </c>
      <c r="C101" s="1075">
        <v>0.84050000000000002</v>
      </c>
      <c r="D101" s="1075">
        <v>0.72519999999999996</v>
      </c>
      <c r="E101" s="1075">
        <v>0.72519999999999996</v>
      </c>
      <c r="F101" s="1075">
        <v>0.72519999999999996</v>
      </c>
      <c r="G101" s="1075">
        <v>0.72519999999999996</v>
      </c>
      <c r="H101" s="1075">
        <v>0.72519999999999996</v>
      </c>
      <c r="I101" s="1075">
        <v>0.53549999999999998</v>
      </c>
      <c r="J101" s="1075">
        <v>0.53549999999999998</v>
      </c>
      <c r="K101" s="1075">
        <v>0.53549999999999998</v>
      </c>
      <c r="L101" s="1075">
        <v>0.53549999999999998</v>
      </c>
      <c r="M101" s="1075">
        <v>0.53549999999999998</v>
      </c>
    </row>
    <row r="102" spans="1:14">
      <c r="A102" s="1076">
        <v>10</v>
      </c>
      <c r="B102" s="1075">
        <v>0.83950000000000002</v>
      </c>
      <c r="C102" s="1075">
        <v>0.83950000000000002</v>
      </c>
      <c r="D102" s="1075">
        <v>0.72409999999999997</v>
      </c>
      <c r="E102" s="1075">
        <v>0.72409999999999997</v>
      </c>
      <c r="F102" s="1075">
        <v>0.72409999999999997</v>
      </c>
      <c r="G102" s="1075">
        <v>0.72409999999999997</v>
      </c>
      <c r="H102" s="1075">
        <v>0.72409999999999997</v>
      </c>
      <c r="I102" s="1075">
        <v>0.53400000000000003</v>
      </c>
      <c r="J102" s="1075">
        <v>0.53400000000000003</v>
      </c>
      <c r="K102" s="1075">
        <v>0.53400000000000003</v>
      </c>
      <c r="L102" s="1075">
        <v>0.53400000000000003</v>
      </c>
      <c r="M102" s="1075">
        <v>0.53400000000000003</v>
      </c>
    </row>
    <row r="103" spans="1:14" ht="14.25">
      <c r="A103" s="1070" t="s">
        <v>1000</v>
      </c>
      <c r="B103" s="1071"/>
      <c r="C103" s="1071"/>
      <c r="D103" s="1071"/>
      <c r="E103" s="1071"/>
      <c r="F103" s="1071"/>
      <c r="G103" s="1071"/>
      <c r="H103" s="1071"/>
      <c r="I103" s="1071"/>
      <c r="J103" s="1071"/>
      <c r="K103" s="1071"/>
      <c r="L103" s="1071"/>
      <c r="M103" s="1071"/>
      <c r="N103" s="1071"/>
    </row>
    <row r="104" spans="1:14" ht="14.25">
      <c r="A104" s="1072" t="s">
        <v>254</v>
      </c>
      <c r="B104" s="1073" t="s">
        <v>49</v>
      </c>
      <c r="C104" s="1073" t="s">
        <v>63</v>
      </c>
      <c r="D104" s="1073" t="s">
        <v>75</v>
      </c>
      <c r="E104" s="1073" t="s">
        <v>87</v>
      </c>
      <c r="F104" s="1073" t="s">
        <v>96</v>
      </c>
      <c r="G104" s="1073" t="s">
        <v>103</v>
      </c>
      <c r="H104" s="1074" t="s">
        <v>108</v>
      </c>
      <c r="I104" s="1074" t="s">
        <v>113</v>
      </c>
      <c r="J104" s="1077" t="s">
        <v>116</v>
      </c>
      <c r="K104" s="1077" t="s">
        <v>118</v>
      </c>
      <c r="L104" s="1077" t="s">
        <v>120</v>
      </c>
      <c r="M104" s="1077" t="s">
        <v>122</v>
      </c>
      <c r="N104" s="1071" t="e">
        <f>SUMPRODUCT((A105:A204=ROUNDDOWN('2014基准地价'!G3,1))*(B104:M104='2014基准地价'!G2)*(B105:M204))</f>
        <v>#DIV/0!</v>
      </c>
    </row>
    <row r="105" spans="1:14">
      <c r="A105" s="1072">
        <v>0.1</v>
      </c>
      <c r="B105" s="1075">
        <v>13.733000000000001</v>
      </c>
      <c r="C105" s="1075">
        <v>13.733000000000001</v>
      </c>
      <c r="D105" s="1075">
        <v>12.787000000000001</v>
      </c>
      <c r="E105" s="1075">
        <v>12.787000000000001</v>
      </c>
      <c r="F105" s="1075">
        <v>12.787000000000001</v>
      </c>
      <c r="G105" s="1075">
        <v>12.787000000000001</v>
      </c>
      <c r="H105" s="1075">
        <v>12.787000000000001</v>
      </c>
      <c r="I105" s="1075">
        <v>12.384</v>
      </c>
      <c r="J105" s="1075">
        <v>12.384</v>
      </c>
      <c r="K105" s="1075">
        <v>12.384</v>
      </c>
      <c r="L105" s="1075">
        <v>12.384</v>
      </c>
      <c r="M105" s="1075">
        <v>12.384</v>
      </c>
    </row>
    <row r="106" spans="1:14">
      <c r="A106" s="1072">
        <v>0.2</v>
      </c>
      <c r="B106" s="1075">
        <v>6.8665000000000003</v>
      </c>
      <c r="C106" s="1075">
        <v>6.8665000000000003</v>
      </c>
      <c r="D106" s="1075">
        <v>6.3935000000000004</v>
      </c>
      <c r="E106" s="1075">
        <v>6.3935000000000004</v>
      </c>
      <c r="F106" s="1075">
        <v>6.3935000000000004</v>
      </c>
      <c r="G106" s="1075">
        <v>6.3935000000000004</v>
      </c>
      <c r="H106" s="1075">
        <v>6.3935000000000004</v>
      </c>
      <c r="I106" s="1075">
        <v>6.1920000000000002</v>
      </c>
      <c r="J106" s="1075">
        <v>6.1920000000000002</v>
      </c>
      <c r="K106" s="1075">
        <v>6.1920000000000002</v>
      </c>
      <c r="L106" s="1075">
        <v>6.1920000000000002</v>
      </c>
      <c r="M106" s="1075">
        <v>6.1920000000000002</v>
      </c>
    </row>
    <row r="107" spans="1:14">
      <c r="A107" s="1072">
        <v>0.3</v>
      </c>
      <c r="B107" s="1075">
        <v>4.5777000000000001</v>
      </c>
      <c r="C107" s="1075">
        <v>4.5777000000000001</v>
      </c>
      <c r="D107" s="1075">
        <v>4.2622999999999998</v>
      </c>
      <c r="E107" s="1075">
        <v>4.2622999999999998</v>
      </c>
      <c r="F107" s="1075">
        <v>4.2622999999999998</v>
      </c>
      <c r="G107" s="1075">
        <v>4.2622999999999998</v>
      </c>
      <c r="H107" s="1075">
        <v>4.2622999999999998</v>
      </c>
      <c r="I107" s="1075">
        <v>4.1280000000000001</v>
      </c>
      <c r="J107" s="1075">
        <v>4.1280000000000001</v>
      </c>
      <c r="K107" s="1075">
        <v>4.1280000000000001</v>
      </c>
      <c r="L107" s="1075">
        <v>4.1280000000000001</v>
      </c>
      <c r="M107" s="1075">
        <v>4.1280000000000001</v>
      </c>
    </row>
    <row r="108" spans="1:14">
      <c r="A108" s="1072">
        <v>0.4</v>
      </c>
      <c r="B108" s="1075">
        <v>3.4333</v>
      </c>
      <c r="C108" s="1075">
        <v>3.4333</v>
      </c>
      <c r="D108" s="1075">
        <v>3.1968000000000001</v>
      </c>
      <c r="E108" s="1075">
        <v>3.1968000000000001</v>
      </c>
      <c r="F108" s="1075">
        <v>3.1968000000000001</v>
      </c>
      <c r="G108" s="1075">
        <v>3.1968000000000001</v>
      </c>
      <c r="H108" s="1075">
        <v>3.1968000000000001</v>
      </c>
      <c r="I108" s="1075">
        <v>3.0960000000000001</v>
      </c>
      <c r="J108" s="1075">
        <v>3.0960000000000001</v>
      </c>
      <c r="K108" s="1075">
        <v>3.0960000000000001</v>
      </c>
      <c r="L108" s="1075">
        <v>3.0960000000000001</v>
      </c>
      <c r="M108" s="1075">
        <v>3.0960000000000001</v>
      </c>
    </row>
    <row r="109" spans="1:14">
      <c r="A109" s="1072">
        <v>0.5</v>
      </c>
      <c r="B109" s="1075">
        <v>2.7465999999999999</v>
      </c>
      <c r="C109" s="1075">
        <v>2.7465999999999999</v>
      </c>
      <c r="D109" s="1075">
        <v>2.5573999999999999</v>
      </c>
      <c r="E109" s="1075">
        <v>2.5573999999999999</v>
      </c>
      <c r="F109" s="1075">
        <v>2.5573999999999999</v>
      </c>
      <c r="G109" s="1075">
        <v>2.5573999999999999</v>
      </c>
      <c r="H109" s="1075">
        <v>2.5573999999999999</v>
      </c>
      <c r="I109" s="1075">
        <v>2.4767999999999999</v>
      </c>
      <c r="J109" s="1075">
        <v>2.4767999999999999</v>
      </c>
      <c r="K109" s="1075">
        <v>2.4767999999999999</v>
      </c>
      <c r="L109" s="1075">
        <v>2.4767999999999999</v>
      </c>
      <c r="M109" s="1075">
        <v>2.4767999999999999</v>
      </c>
    </row>
    <row r="110" spans="1:14">
      <c r="A110" s="1072">
        <v>0.6</v>
      </c>
      <c r="B110" s="1075">
        <v>2.2888000000000002</v>
      </c>
      <c r="C110" s="1075">
        <v>2.2888000000000002</v>
      </c>
      <c r="D110" s="1075">
        <v>2.1312000000000002</v>
      </c>
      <c r="E110" s="1075">
        <v>2.1312000000000002</v>
      </c>
      <c r="F110" s="1075">
        <v>2.1312000000000002</v>
      </c>
      <c r="G110" s="1075">
        <v>2.1312000000000002</v>
      </c>
      <c r="H110" s="1075">
        <v>2.1312000000000002</v>
      </c>
      <c r="I110" s="1075">
        <v>2.0640000000000001</v>
      </c>
      <c r="J110" s="1075">
        <v>2.0640000000000001</v>
      </c>
      <c r="K110" s="1075">
        <v>2.0640000000000001</v>
      </c>
      <c r="L110" s="1075">
        <v>2.0640000000000001</v>
      </c>
      <c r="M110" s="1075">
        <v>2.0640000000000001</v>
      </c>
    </row>
    <row r="111" spans="1:14">
      <c r="A111" s="1072">
        <v>0.7</v>
      </c>
      <c r="B111" s="1075">
        <v>1.9619</v>
      </c>
      <c r="C111" s="1075">
        <v>1.9619</v>
      </c>
      <c r="D111" s="1075">
        <v>1.8267</v>
      </c>
      <c r="E111" s="1075">
        <v>1.8267</v>
      </c>
      <c r="F111" s="1075">
        <v>1.8267</v>
      </c>
      <c r="G111" s="1075">
        <v>1.8267</v>
      </c>
      <c r="H111" s="1075">
        <v>1.8267</v>
      </c>
      <c r="I111" s="1075">
        <v>1.7690999999999999</v>
      </c>
      <c r="J111" s="1075">
        <v>1.7690999999999999</v>
      </c>
      <c r="K111" s="1075">
        <v>1.7690999999999999</v>
      </c>
      <c r="L111" s="1075">
        <v>1.7690999999999999</v>
      </c>
      <c r="M111" s="1075">
        <v>1.7690999999999999</v>
      </c>
    </row>
    <row r="112" spans="1:14">
      <c r="A112" s="1072">
        <v>0.8</v>
      </c>
      <c r="B112" s="1075">
        <v>1.7165999999999999</v>
      </c>
      <c r="C112" s="1075">
        <v>1.7165999999999999</v>
      </c>
      <c r="D112" s="1075">
        <v>1.5984</v>
      </c>
      <c r="E112" s="1075">
        <v>1.5984</v>
      </c>
      <c r="F112" s="1075">
        <v>1.5984</v>
      </c>
      <c r="G112" s="1075">
        <v>1.5984</v>
      </c>
      <c r="H112" s="1075">
        <v>1.5984</v>
      </c>
      <c r="I112" s="1075">
        <v>1.548</v>
      </c>
      <c r="J112" s="1075">
        <v>1.548</v>
      </c>
      <c r="K112" s="1075">
        <v>1.548</v>
      </c>
      <c r="L112" s="1075">
        <v>1.548</v>
      </c>
      <c r="M112" s="1075">
        <v>1.548</v>
      </c>
    </row>
    <row r="113" spans="1:13">
      <c r="A113" s="1072">
        <v>0.9</v>
      </c>
      <c r="B113" s="1075">
        <v>1.5259</v>
      </c>
      <c r="C113" s="1075">
        <v>1.5259</v>
      </c>
      <c r="D113" s="1075">
        <v>1.4208000000000001</v>
      </c>
      <c r="E113" s="1075">
        <v>1.4208000000000001</v>
      </c>
      <c r="F113" s="1075">
        <v>1.4208000000000001</v>
      </c>
      <c r="G113" s="1075">
        <v>1.4208000000000001</v>
      </c>
      <c r="H113" s="1075">
        <v>1.4208000000000001</v>
      </c>
      <c r="I113" s="1075">
        <v>1.3759999999999999</v>
      </c>
      <c r="J113" s="1075">
        <v>1.3759999999999999</v>
      </c>
      <c r="K113" s="1075">
        <v>1.3759999999999999</v>
      </c>
      <c r="L113" s="1075">
        <v>1.3759999999999999</v>
      </c>
      <c r="M113" s="1075">
        <v>1.3759999999999999</v>
      </c>
    </row>
    <row r="114" spans="1:13">
      <c r="A114" s="1072">
        <v>1</v>
      </c>
      <c r="B114" s="1075">
        <v>1.3733</v>
      </c>
      <c r="C114" s="1075">
        <v>1.3733</v>
      </c>
      <c r="D114" s="1075">
        <v>1.2786999999999999</v>
      </c>
      <c r="E114" s="1075">
        <v>1.2786999999999999</v>
      </c>
      <c r="F114" s="1075">
        <v>1.2786999999999999</v>
      </c>
      <c r="G114" s="1075">
        <v>1.2786999999999999</v>
      </c>
      <c r="H114" s="1075">
        <v>1.2786999999999999</v>
      </c>
      <c r="I114" s="1075">
        <v>1.2383999999999999</v>
      </c>
      <c r="J114" s="1075">
        <v>1.2383999999999999</v>
      </c>
      <c r="K114" s="1075">
        <v>1.2383999999999999</v>
      </c>
      <c r="L114" s="1075">
        <v>1.2383999999999999</v>
      </c>
      <c r="M114" s="1075">
        <v>1.2383999999999999</v>
      </c>
    </row>
    <row r="115" spans="1:13">
      <c r="A115" s="1072">
        <v>1.1000000000000001</v>
      </c>
      <c r="B115" s="1075">
        <v>1.3489</v>
      </c>
      <c r="C115" s="1075">
        <v>1.3489</v>
      </c>
      <c r="D115" s="1075">
        <v>1.2542</v>
      </c>
      <c r="E115" s="1075">
        <v>1.2542</v>
      </c>
      <c r="F115" s="1075">
        <v>1.2542</v>
      </c>
      <c r="G115" s="1075">
        <v>1.2542</v>
      </c>
      <c r="H115" s="1075">
        <v>1.2542</v>
      </c>
      <c r="I115" s="1075">
        <v>1.2050000000000001</v>
      </c>
      <c r="J115" s="1075">
        <v>1.2050000000000001</v>
      </c>
      <c r="K115" s="1075">
        <v>1.2050000000000001</v>
      </c>
      <c r="L115" s="1075">
        <v>1.2050000000000001</v>
      </c>
      <c r="M115" s="1075">
        <v>1.2050000000000001</v>
      </c>
    </row>
    <row r="116" spans="1:13">
      <c r="A116" s="1072">
        <v>1.2</v>
      </c>
      <c r="B116" s="1075">
        <v>1.3255999999999999</v>
      </c>
      <c r="C116" s="1075">
        <v>1.3255999999999999</v>
      </c>
      <c r="D116" s="1075">
        <v>1.2305999999999999</v>
      </c>
      <c r="E116" s="1075">
        <v>1.2305999999999999</v>
      </c>
      <c r="F116" s="1075">
        <v>1.2305999999999999</v>
      </c>
      <c r="G116" s="1075">
        <v>1.2305999999999999</v>
      </c>
      <c r="H116" s="1075">
        <v>1.2305999999999999</v>
      </c>
      <c r="I116" s="1075">
        <v>1.1741999999999999</v>
      </c>
      <c r="J116" s="1075">
        <v>1.1741999999999999</v>
      </c>
      <c r="K116" s="1075">
        <v>1.1741999999999999</v>
      </c>
      <c r="L116" s="1075">
        <v>1.1741999999999999</v>
      </c>
      <c r="M116" s="1075">
        <v>1.1741999999999999</v>
      </c>
    </row>
    <row r="117" spans="1:13">
      <c r="A117" s="1072">
        <v>1.3</v>
      </c>
      <c r="B117" s="1075">
        <v>1.3032999999999999</v>
      </c>
      <c r="C117" s="1075">
        <v>1.3032999999999999</v>
      </c>
      <c r="D117" s="1075">
        <v>1.2079</v>
      </c>
      <c r="E117" s="1075">
        <v>1.2079</v>
      </c>
      <c r="F117" s="1075">
        <v>1.2079</v>
      </c>
      <c r="G117" s="1075">
        <v>1.2079</v>
      </c>
      <c r="H117" s="1075">
        <v>1.2079</v>
      </c>
      <c r="I117" s="1075">
        <v>1.1459999999999999</v>
      </c>
      <c r="J117" s="1075">
        <v>1.1459999999999999</v>
      </c>
      <c r="K117" s="1075">
        <v>1.1459999999999999</v>
      </c>
      <c r="L117" s="1075">
        <v>1.1459999999999999</v>
      </c>
      <c r="M117" s="1075">
        <v>1.1459999999999999</v>
      </c>
    </row>
    <row r="118" spans="1:13">
      <c r="A118" s="1072">
        <v>1.4</v>
      </c>
      <c r="B118" s="1075">
        <v>1.282</v>
      </c>
      <c r="C118" s="1075">
        <v>1.282</v>
      </c>
      <c r="D118" s="1075">
        <v>1.1861999999999999</v>
      </c>
      <c r="E118" s="1075">
        <v>1.1861999999999999</v>
      </c>
      <c r="F118" s="1075">
        <v>1.1861999999999999</v>
      </c>
      <c r="G118" s="1075">
        <v>1.1861999999999999</v>
      </c>
      <c r="H118" s="1075">
        <v>1.1861999999999999</v>
      </c>
      <c r="I118" s="1075">
        <v>1.1200000000000001</v>
      </c>
      <c r="J118" s="1075">
        <v>1.1200000000000001</v>
      </c>
      <c r="K118" s="1075">
        <v>1.1200000000000001</v>
      </c>
      <c r="L118" s="1075">
        <v>1.1200000000000001</v>
      </c>
      <c r="M118" s="1075">
        <v>1.1200000000000001</v>
      </c>
    </row>
    <row r="119" spans="1:13">
      <c r="A119" s="1072">
        <v>1.5</v>
      </c>
      <c r="B119" s="1075">
        <v>1.2617</v>
      </c>
      <c r="C119" s="1075">
        <v>1.2617</v>
      </c>
      <c r="D119" s="1075">
        <v>1.1653</v>
      </c>
      <c r="E119" s="1075">
        <v>1.1653</v>
      </c>
      <c r="F119" s="1075">
        <v>1.1653</v>
      </c>
      <c r="G119" s="1075">
        <v>1.1653</v>
      </c>
      <c r="H119" s="1075">
        <v>1.1653</v>
      </c>
      <c r="I119" s="1075">
        <v>1.0961000000000001</v>
      </c>
      <c r="J119" s="1075">
        <v>1.0961000000000001</v>
      </c>
      <c r="K119" s="1075">
        <v>1.0961000000000001</v>
      </c>
      <c r="L119" s="1075">
        <v>1.0961000000000001</v>
      </c>
      <c r="M119" s="1075">
        <v>1.0961000000000001</v>
      </c>
    </row>
    <row r="120" spans="1:13">
      <c r="A120" s="1072">
        <v>1.6</v>
      </c>
      <c r="B120" s="1075">
        <v>1.2423</v>
      </c>
      <c r="C120" s="1075">
        <v>1.2423</v>
      </c>
      <c r="D120" s="1075">
        <v>1.1453</v>
      </c>
      <c r="E120" s="1075">
        <v>1.1453</v>
      </c>
      <c r="F120" s="1075">
        <v>1.1453</v>
      </c>
      <c r="G120" s="1075">
        <v>1.1453</v>
      </c>
      <c r="H120" s="1075">
        <v>1.1453</v>
      </c>
      <c r="I120" s="1075">
        <v>1.0740000000000001</v>
      </c>
      <c r="J120" s="1075">
        <v>1.0740000000000001</v>
      </c>
      <c r="K120" s="1075">
        <v>1.0740000000000001</v>
      </c>
      <c r="L120" s="1075">
        <v>1.0740000000000001</v>
      </c>
      <c r="M120" s="1075">
        <v>1.0740000000000001</v>
      </c>
    </row>
    <row r="121" spans="1:13">
      <c r="A121" s="1072">
        <v>1.7</v>
      </c>
      <c r="B121" s="1075">
        <v>1.2237</v>
      </c>
      <c r="C121" s="1075">
        <v>1.2237</v>
      </c>
      <c r="D121" s="1075">
        <v>1.1261000000000001</v>
      </c>
      <c r="E121" s="1075">
        <v>1.1261000000000001</v>
      </c>
      <c r="F121" s="1075">
        <v>1.1261000000000001</v>
      </c>
      <c r="G121" s="1075">
        <v>1.1261000000000001</v>
      </c>
      <c r="H121" s="1075">
        <v>1.1261000000000001</v>
      </c>
      <c r="I121" s="1075">
        <v>1.0535000000000001</v>
      </c>
      <c r="J121" s="1075">
        <v>1.0535000000000001</v>
      </c>
      <c r="K121" s="1075">
        <v>1.0535000000000001</v>
      </c>
      <c r="L121" s="1075">
        <v>1.0535000000000001</v>
      </c>
      <c r="M121" s="1075">
        <v>1.0535000000000001</v>
      </c>
    </row>
    <row r="122" spans="1:13">
      <c r="A122" s="1072">
        <v>1.8</v>
      </c>
      <c r="B122" s="1075">
        <v>1.206</v>
      </c>
      <c r="C122" s="1075">
        <v>1.206</v>
      </c>
      <c r="D122" s="1075">
        <v>1.1076999999999999</v>
      </c>
      <c r="E122" s="1075">
        <v>1.1076999999999999</v>
      </c>
      <c r="F122" s="1075">
        <v>1.1076999999999999</v>
      </c>
      <c r="G122" s="1075">
        <v>1.1076999999999999</v>
      </c>
      <c r="H122" s="1075">
        <v>1.1076999999999999</v>
      </c>
      <c r="I122" s="1075">
        <v>1.0345</v>
      </c>
      <c r="J122" s="1075">
        <v>1.0345</v>
      </c>
      <c r="K122" s="1075">
        <v>1.0345</v>
      </c>
      <c r="L122" s="1075">
        <v>1.0345</v>
      </c>
      <c r="M122" s="1075">
        <v>1.0345</v>
      </c>
    </row>
    <row r="123" spans="1:13">
      <c r="A123" s="1072">
        <v>1.9</v>
      </c>
      <c r="B123" s="1075">
        <v>1.1891</v>
      </c>
      <c r="C123" s="1075">
        <v>1.1891</v>
      </c>
      <c r="D123" s="1075">
        <v>1.0901000000000001</v>
      </c>
      <c r="E123" s="1075">
        <v>1.0901000000000001</v>
      </c>
      <c r="F123" s="1075">
        <v>1.0901000000000001</v>
      </c>
      <c r="G123" s="1075">
        <v>1.0901000000000001</v>
      </c>
      <c r="H123" s="1075">
        <v>1.0901000000000001</v>
      </c>
      <c r="I123" s="1075">
        <v>1.0166999999999999</v>
      </c>
      <c r="J123" s="1075">
        <v>1.0166999999999999</v>
      </c>
      <c r="K123" s="1075">
        <v>1.0166999999999999</v>
      </c>
      <c r="L123" s="1075">
        <v>1.0166999999999999</v>
      </c>
      <c r="M123" s="1075">
        <v>1.0166999999999999</v>
      </c>
    </row>
    <row r="124" spans="1:13">
      <c r="A124" s="1072">
        <v>2</v>
      </c>
      <c r="B124" s="1075">
        <v>1.1729000000000001</v>
      </c>
      <c r="C124" s="1075">
        <v>1.1729000000000001</v>
      </c>
      <c r="D124" s="1075">
        <v>1.0732999999999999</v>
      </c>
      <c r="E124" s="1075">
        <v>1.0732999999999999</v>
      </c>
      <c r="F124" s="1075">
        <v>1.0732999999999999</v>
      </c>
      <c r="G124" s="1075">
        <v>1.0732999999999999</v>
      </c>
      <c r="H124" s="1075">
        <v>1.0732999999999999</v>
      </c>
      <c r="I124" s="1075">
        <v>1</v>
      </c>
      <c r="J124" s="1075">
        <v>1</v>
      </c>
      <c r="K124" s="1075">
        <v>1</v>
      </c>
      <c r="L124" s="1075">
        <v>1</v>
      </c>
      <c r="M124" s="1075">
        <v>1</v>
      </c>
    </row>
    <row r="125" spans="1:13">
      <c r="A125" s="1076">
        <v>2.1</v>
      </c>
      <c r="B125" s="1075">
        <v>1.1574</v>
      </c>
      <c r="C125" s="1075">
        <v>1.1574</v>
      </c>
      <c r="D125" s="1075">
        <v>1.0571999999999999</v>
      </c>
      <c r="E125" s="1075">
        <v>1.0571999999999999</v>
      </c>
      <c r="F125" s="1075">
        <v>1.0571999999999999</v>
      </c>
      <c r="G125" s="1075">
        <v>1.0571999999999999</v>
      </c>
      <c r="H125" s="1075">
        <v>1.0571999999999999</v>
      </c>
      <c r="I125" s="1075">
        <v>0.98409999999999997</v>
      </c>
      <c r="J125" s="1075">
        <v>0.98409999999999997</v>
      </c>
      <c r="K125" s="1075">
        <v>0.98409999999999997</v>
      </c>
      <c r="L125" s="1075">
        <v>0.98409999999999997</v>
      </c>
      <c r="M125" s="1075">
        <v>0.98409999999999997</v>
      </c>
    </row>
    <row r="126" spans="1:13">
      <c r="A126" s="1076">
        <v>2.2000000000000002</v>
      </c>
      <c r="B126" s="1075">
        <v>1.1426000000000001</v>
      </c>
      <c r="C126" s="1075">
        <v>1.1426000000000001</v>
      </c>
      <c r="D126" s="1075">
        <v>1.0419</v>
      </c>
      <c r="E126" s="1075">
        <v>1.0419</v>
      </c>
      <c r="F126" s="1075">
        <v>1.0419</v>
      </c>
      <c r="G126" s="1075">
        <v>1.0419</v>
      </c>
      <c r="H126" s="1075">
        <v>1.0419</v>
      </c>
      <c r="I126" s="1075">
        <v>0.96889999999999998</v>
      </c>
      <c r="J126" s="1075">
        <v>0.96889999999999998</v>
      </c>
      <c r="K126" s="1075">
        <v>0.96889999999999998</v>
      </c>
      <c r="L126" s="1075">
        <v>0.96889999999999998</v>
      </c>
      <c r="M126" s="1075">
        <v>0.96889999999999998</v>
      </c>
    </row>
    <row r="127" spans="1:13">
      <c r="A127" s="1076">
        <v>2.2999999999999998</v>
      </c>
      <c r="B127" s="1075">
        <v>1.1285000000000001</v>
      </c>
      <c r="C127" s="1075">
        <v>1.1285000000000001</v>
      </c>
      <c r="D127" s="1075">
        <v>1.0271999999999999</v>
      </c>
      <c r="E127" s="1075">
        <v>1.0271999999999999</v>
      </c>
      <c r="F127" s="1075">
        <v>1.0271999999999999</v>
      </c>
      <c r="G127" s="1075">
        <v>1.0271999999999999</v>
      </c>
      <c r="H127" s="1075">
        <v>1.0271999999999999</v>
      </c>
      <c r="I127" s="1075">
        <v>0.95440000000000003</v>
      </c>
      <c r="J127" s="1075">
        <v>0.95440000000000003</v>
      </c>
      <c r="K127" s="1075">
        <v>0.95440000000000003</v>
      </c>
      <c r="L127" s="1075">
        <v>0.95440000000000003</v>
      </c>
      <c r="M127" s="1075">
        <v>0.95440000000000003</v>
      </c>
    </row>
    <row r="128" spans="1:13">
      <c r="A128" s="1076">
        <v>2.4</v>
      </c>
      <c r="B128" s="1075">
        <v>1.1149</v>
      </c>
      <c r="C128" s="1075">
        <v>1.1149</v>
      </c>
      <c r="D128" s="1075">
        <v>1.0133000000000001</v>
      </c>
      <c r="E128" s="1075">
        <v>1.0133000000000001</v>
      </c>
      <c r="F128" s="1075">
        <v>1.0133000000000001</v>
      </c>
      <c r="G128" s="1075">
        <v>1.0133000000000001</v>
      </c>
      <c r="H128" s="1075">
        <v>1.0133000000000001</v>
      </c>
      <c r="I128" s="1075">
        <v>0.9405</v>
      </c>
      <c r="J128" s="1075">
        <v>0.9405</v>
      </c>
      <c r="K128" s="1075">
        <v>0.9405</v>
      </c>
      <c r="L128" s="1075">
        <v>0.9405</v>
      </c>
      <c r="M128" s="1075">
        <v>0.9405</v>
      </c>
    </row>
    <row r="129" spans="1:13">
      <c r="A129" s="1076">
        <v>2.5</v>
      </c>
      <c r="B129" s="1075">
        <v>1.1020000000000001</v>
      </c>
      <c r="C129" s="1075">
        <v>1.1020000000000001</v>
      </c>
      <c r="D129" s="1075">
        <v>1</v>
      </c>
      <c r="E129" s="1075">
        <v>1</v>
      </c>
      <c r="F129" s="1075">
        <v>1</v>
      </c>
      <c r="G129" s="1075">
        <v>1</v>
      </c>
      <c r="H129" s="1075">
        <v>1</v>
      </c>
      <c r="I129" s="1075">
        <v>0.92730000000000001</v>
      </c>
      <c r="J129" s="1075">
        <v>0.92730000000000001</v>
      </c>
      <c r="K129" s="1075">
        <v>0.92730000000000001</v>
      </c>
      <c r="L129" s="1075">
        <v>0.92730000000000001</v>
      </c>
      <c r="M129" s="1075">
        <v>0.92730000000000001</v>
      </c>
    </row>
    <row r="130" spans="1:13">
      <c r="A130" s="1076">
        <v>2.6</v>
      </c>
      <c r="B130" s="1075">
        <v>1.0895999999999999</v>
      </c>
      <c r="C130" s="1075">
        <v>1.0895999999999999</v>
      </c>
      <c r="D130" s="1075">
        <v>0.98740000000000006</v>
      </c>
      <c r="E130" s="1075">
        <v>0.98740000000000006</v>
      </c>
      <c r="F130" s="1075">
        <v>0.98740000000000006</v>
      </c>
      <c r="G130" s="1075">
        <v>0.98740000000000006</v>
      </c>
      <c r="H130" s="1075">
        <v>0.98740000000000006</v>
      </c>
      <c r="I130" s="1075">
        <v>0.91469999999999996</v>
      </c>
      <c r="J130" s="1075">
        <v>0.91469999999999996</v>
      </c>
      <c r="K130" s="1075">
        <v>0.91469999999999996</v>
      </c>
      <c r="L130" s="1075">
        <v>0.91469999999999996</v>
      </c>
      <c r="M130" s="1075">
        <v>0.91469999999999996</v>
      </c>
    </row>
    <row r="131" spans="1:13">
      <c r="A131" s="1076">
        <v>2.7</v>
      </c>
      <c r="B131" s="1075">
        <v>1.0778000000000001</v>
      </c>
      <c r="C131" s="1075">
        <v>1.0778000000000001</v>
      </c>
      <c r="D131" s="1075">
        <v>0.97540000000000004</v>
      </c>
      <c r="E131" s="1075">
        <v>0.97540000000000004</v>
      </c>
      <c r="F131" s="1075">
        <v>0.97540000000000004</v>
      </c>
      <c r="G131" s="1075">
        <v>0.97540000000000004</v>
      </c>
      <c r="H131" s="1075">
        <v>0.97540000000000004</v>
      </c>
      <c r="I131" s="1075">
        <v>0.90269999999999995</v>
      </c>
      <c r="J131" s="1075">
        <v>0.90269999999999995</v>
      </c>
      <c r="K131" s="1075">
        <v>0.90269999999999995</v>
      </c>
      <c r="L131" s="1075">
        <v>0.90269999999999995</v>
      </c>
      <c r="M131" s="1075">
        <v>0.90269999999999995</v>
      </c>
    </row>
    <row r="132" spans="1:13">
      <c r="A132" s="1076">
        <v>2.8</v>
      </c>
      <c r="B132" s="1075">
        <v>1.0665</v>
      </c>
      <c r="C132" s="1075">
        <v>1.0665</v>
      </c>
      <c r="D132" s="1075">
        <v>0.96399999999999997</v>
      </c>
      <c r="E132" s="1075">
        <v>0.96399999999999997</v>
      </c>
      <c r="F132" s="1075">
        <v>0.96399999999999997</v>
      </c>
      <c r="G132" s="1075">
        <v>0.96399999999999997</v>
      </c>
      <c r="H132" s="1075">
        <v>0.96399999999999997</v>
      </c>
      <c r="I132" s="1075">
        <v>0.89119999999999999</v>
      </c>
      <c r="J132" s="1075">
        <v>0.89119999999999999</v>
      </c>
      <c r="K132" s="1075">
        <v>0.89119999999999999</v>
      </c>
      <c r="L132" s="1075">
        <v>0.89119999999999999</v>
      </c>
      <c r="M132" s="1075">
        <v>0.89119999999999999</v>
      </c>
    </row>
    <row r="133" spans="1:13">
      <c r="A133" s="1076">
        <v>2.9</v>
      </c>
      <c r="B133" s="1075">
        <v>1.0556000000000001</v>
      </c>
      <c r="C133" s="1075">
        <v>1.0556000000000001</v>
      </c>
      <c r="D133" s="1075">
        <v>0.95330000000000004</v>
      </c>
      <c r="E133" s="1075">
        <v>0.95330000000000004</v>
      </c>
      <c r="F133" s="1075">
        <v>0.95330000000000004</v>
      </c>
      <c r="G133" s="1075">
        <v>0.95330000000000004</v>
      </c>
      <c r="H133" s="1075">
        <v>0.95330000000000004</v>
      </c>
      <c r="I133" s="1075">
        <v>0.88019999999999998</v>
      </c>
      <c r="J133" s="1075">
        <v>0.88019999999999998</v>
      </c>
      <c r="K133" s="1075">
        <v>0.88019999999999998</v>
      </c>
      <c r="L133" s="1075">
        <v>0.88019999999999998</v>
      </c>
      <c r="M133" s="1075">
        <v>0.88019999999999998</v>
      </c>
    </row>
    <row r="134" spans="1:13">
      <c r="A134" s="1076">
        <v>3</v>
      </c>
      <c r="B134" s="1075">
        <v>1.0452999999999999</v>
      </c>
      <c r="C134" s="1075">
        <v>1.0452999999999999</v>
      </c>
      <c r="D134" s="1075">
        <v>0.94299999999999995</v>
      </c>
      <c r="E134" s="1075">
        <v>0.94299999999999995</v>
      </c>
      <c r="F134" s="1075">
        <v>0.94299999999999995</v>
      </c>
      <c r="G134" s="1075">
        <v>0.94299999999999995</v>
      </c>
      <c r="H134" s="1075">
        <v>0.94299999999999995</v>
      </c>
      <c r="I134" s="1075">
        <v>0.86970000000000003</v>
      </c>
      <c r="J134" s="1075">
        <v>0.86970000000000003</v>
      </c>
      <c r="K134" s="1075">
        <v>0.86970000000000003</v>
      </c>
      <c r="L134" s="1075">
        <v>0.86970000000000003</v>
      </c>
      <c r="M134" s="1075">
        <v>0.86970000000000003</v>
      </c>
    </row>
    <row r="135" spans="1:13">
      <c r="A135" s="1076">
        <v>3.1</v>
      </c>
      <c r="B135" s="1075">
        <v>1.0354000000000001</v>
      </c>
      <c r="C135" s="1075">
        <v>1.0354000000000001</v>
      </c>
      <c r="D135" s="1075">
        <v>0.93330000000000002</v>
      </c>
      <c r="E135" s="1075">
        <v>0.93330000000000002</v>
      </c>
      <c r="F135" s="1075">
        <v>0.93330000000000002</v>
      </c>
      <c r="G135" s="1075">
        <v>0.93330000000000002</v>
      </c>
      <c r="H135" s="1075">
        <v>0.93330000000000002</v>
      </c>
      <c r="I135" s="1075">
        <v>0.85970000000000002</v>
      </c>
      <c r="J135" s="1075">
        <v>0.85970000000000002</v>
      </c>
      <c r="K135" s="1075">
        <v>0.85970000000000002</v>
      </c>
      <c r="L135" s="1075">
        <v>0.85970000000000002</v>
      </c>
      <c r="M135" s="1075">
        <v>0.85970000000000002</v>
      </c>
    </row>
    <row r="136" spans="1:13">
      <c r="A136" s="1076">
        <v>3.2</v>
      </c>
      <c r="B136" s="1075">
        <v>1.0259</v>
      </c>
      <c r="C136" s="1075">
        <v>1.0259</v>
      </c>
      <c r="D136" s="1075">
        <v>0.92410000000000003</v>
      </c>
      <c r="E136" s="1075">
        <v>0.92410000000000003</v>
      </c>
      <c r="F136" s="1075">
        <v>0.92410000000000003</v>
      </c>
      <c r="G136" s="1075">
        <v>0.92410000000000003</v>
      </c>
      <c r="H136" s="1075">
        <v>0.92410000000000003</v>
      </c>
      <c r="I136" s="1075">
        <v>0.85019999999999996</v>
      </c>
      <c r="J136" s="1075">
        <v>0.85019999999999996</v>
      </c>
      <c r="K136" s="1075">
        <v>0.85019999999999996</v>
      </c>
      <c r="L136" s="1075">
        <v>0.85019999999999996</v>
      </c>
      <c r="M136" s="1075">
        <v>0.85019999999999996</v>
      </c>
    </row>
    <row r="137" spans="1:13">
      <c r="A137" s="1076">
        <v>3.3</v>
      </c>
      <c r="B137" s="1075">
        <v>1.0168999999999999</v>
      </c>
      <c r="C137" s="1075">
        <v>1.0168999999999999</v>
      </c>
      <c r="D137" s="1075">
        <v>0.91539999999999999</v>
      </c>
      <c r="E137" s="1075">
        <v>0.91539999999999999</v>
      </c>
      <c r="F137" s="1075">
        <v>0.91539999999999999</v>
      </c>
      <c r="G137" s="1075">
        <v>0.91539999999999999</v>
      </c>
      <c r="H137" s="1075">
        <v>0.91539999999999999</v>
      </c>
      <c r="I137" s="1075">
        <v>0.84109999999999996</v>
      </c>
      <c r="J137" s="1075">
        <v>0.84109999999999996</v>
      </c>
      <c r="K137" s="1075">
        <v>0.84109999999999996</v>
      </c>
      <c r="L137" s="1075">
        <v>0.84109999999999996</v>
      </c>
      <c r="M137" s="1075">
        <v>0.84109999999999996</v>
      </c>
    </row>
    <row r="138" spans="1:13">
      <c r="A138" s="1076">
        <v>3.4</v>
      </c>
      <c r="B138" s="1075">
        <v>1.0082</v>
      </c>
      <c r="C138" s="1075">
        <v>1.0082</v>
      </c>
      <c r="D138" s="1075">
        <v>0.90710000000000002</v>
      </c>
      <c r="E138" s="1075">
        <v>0.90710000000000002</v>
      </c>
      <c r="F138" s="1075">
        <v>0.90710000000000002</v>
      </c>
      <c r="G138" s="1075">
        <v>0.90710000000000002</v>
      </c>
      <c r="H138" s="1075">
        <v>0.90710000000000002</v>
      </c>
      <c r="I138" s="1075">
        <v>0.83240000000000003</v>
      </c>
      <c r="J138" s="1075">
        <v>0.83240000000000003</v>
      </c>
      <c r="K138" s="1075">
        <v>0.83240000000000003</v>
      </c>
      <c r="L138" s="1075">
        <v>0.83240000000000003</v>
      </c>
      <c r="M138" s="1075">
        <v>0.83240000000000003</v>
      </c>
    </row>
    <row r="139" spans="1:13">
      <c r="A139" s="1076">
        <v>3.5</v>
      </c>
      <c r="B139" s="1075">
        <v>1</v>
      </c>
      <c r="C139" s="1075">
        <v>1</v>
      </c>
      <c r="D139" s="1075">
        <v>0.89929999999999999</v>
      </c>
      <c r="E139" s="1075">
        <v>0.89929999999999999</v>
      </c>
      <c r="F139" s="1075">
        <v>0.89929999999999999</v>
      </c>
      <c r="G139" s="1075">
        <v>0.89929999999999999</v>
      </c>
      <c r="H139" s="1075">
        <v>0.89929999999999999</v>
      </c>
      <c r="I139" s="1075">
        <v>0.82410000000000005</v>
      </c>
      <c r="J139" s="1075">
        <v>0.82410000000000005</v>
      </c>
      <c r="K139" s="1075">
        <v>0.82410000000000005</v>
      </c>
      <c r="L139" s="1075">
        <v>0.82410000000000005</v>
      </c>
      <c r="M139" s="1075">
        <v>0.82410000000000005</v>
      </c>
    </row>
    <row r="140" spans="1:13">
      <c r="A140" s="1076">
        <v>3.6</v>
      </c>
      <c r="B140" s="1075">
        <v>0.99219999999999997</v>
      </c>
      <c r="C140" s="1075">
        <v>0.99219999999999997</v>
      </c>
      <c r="D140" s="1075">
        <v>0.89190000000000003</v>
      </c>
      <c r="E140" s="1075">
        <v>0.89190000000000003</v>
      </c>
      <c r="F140" s="1075">
        <v>0.89190000000000003</v>
      </c>
      <c r="G140" s="1075">
        <v>0.89190000000000003</v>
      </c>
      <c r="H140" s="1075">
        <v>0.89190000000000003</v>
      </c>
      <c r="I140" s="1075">
        <v>0.81620000000000004</v>
      </c>
      <c r="J140" s="1075">
        <v>0.81620000000000004</v>
      </c>
      <c r="K140" s="1075">
        <v>0.81620000000000004</v>
      </c>
      <c r="L140" s="1075">
        <v>0.81620000000000004</v>
      </c>
      <c r="M140" s="1075">
        <v>0.81620000000000004</v>
      </c>
    </row>
    <row r="141" spans="1:13">
      <c r="A141" s="1076">
        <v>3.7</v>
      </c>
      <c r="B141" s="1075">
        <v>0.98480000000000001</v>
      </c>
      <c r="C141" s="1075">
        <v>0.98480000000000001</v>
      </c>
      <c r="D141" s="1075">
        <v>0.88480000000000003</v>
      </c>
      <c r="E141" s="1075">
        <v>0.88480000000000003</v>
      </c>
      <c r="F141" s="1075">
        <v>0.88480000000000003</v>
      </c>
      <c r="G141" s="1075">
        <v>0.88480000000000003</v>
      </c>
      <c r="H141" s="1075">
        <v>0.88480000000000003</v>
      </c>
      <c r="I141" s="1075">
        <v>0.80869999999999997</v>
      </c>
      <c r="J141" s="1075">
        <v>0.80869999999999997</v>
      </c>
      <c r="K141" s="1075">
        <v>0.80869999999999997</v>
      </c>
      <c r="L141" s="1075">
        <v>0.80869999999999997</v>
      </c>
      <c r="M141" s="1075">
        <v>0.80869999999999997</v>
      </c>
    </row>
    <row r="142" spans="1:13">
      <c r="A142" s="1076">
        <v>3.8</v>
      </c>
      <c r="B142" s="1075">
        <v>0.9778</v>
      </c>
      <c r="C142" s="1075">
        <v>0.9778</v>
      </c>
      <c r="D142" s="1075">
        <v>0.87809999999999999</v>
      </c>
      <c r="E142" s="1075">
        <v>0.87809999999999999</v>
      </c>
      <c r="F142" s="1075">
        <v>0.87809999999999999</v>
      </c>
      <c r="G142" s="1075">
        <v>0.87809999999999999</v>
      </c>
      <c r="H142" s="1075">
        <v>0.87809999999999999</v>
      </c>
      <c r="I142" s="1075">
        <v>0.80159999999999998</v>
      </c>
      <c r="J142" s="1075">
        <v>0.80159999999999998</v>
      </c>
      <c r="K142" s="1075">
        <v>0.80159999999999998</v>
      </c>
      <c r="L142" s="1075">
        <v>0.80159999999999998</v>
      </c>
      <c r="M142" s="1075">
        <v>0.80159999999999998</v>
      </c>
    </row>
    <row r="143" spans="1:13">
      <c r="A143" s="1076">
        <v>3.9</v>
      </c>
      <c r="B143" s="1075">
        <v>0.97119999999999995</v>
      </c>
      <c r="C143" s="1075">
        <v>0.97119999999999995</v>
      </c>
      <c r="D143" s="1075">
        <v>0.87180000000000002</v>
      </c>
      <c r="E143" s="1075">
        <v>0.87180000000000002</v>
      </c>
      <c r="F143" s="1075">
        <v>0.87180000000000002</v>
      </c>
      <c r="G143" s="1075">
        <v>0.87180000000000002</v>
      </c>
      <c r="H143" s="1075">
        <v>0.87180000000000002</v>
      </c>
      <c r="I143" s="1075">
        <v>0.79479999999999995</v>
      </c>
      <c r="J143" s="1075">
        <v>0.79479999999999995</v>
      </c>
      <c r="K143" s="1075">
        <v>0.79479999999999995</v>
      </c>
      <c r="L143" s="1075">
        <v>0.79479999999999995</v>
      </c>
      <c r="M143" s="1075">
        <v>0.79479999999999995</v>
      </c>
    </row>
    <row r="144" spans="1:13">
      <c r="A144" s="1076">
        <v>4</v>
      </c>
      <c r="B144" s="1075">
        <v>0.96499999999999997</v>
      </c>
      <c r="C144" s="1075">
        <v>0.96499999999999997</v>
      </c>
      <c r="D144" s="1075">
        <v>0.86580000000000001</v>
      </c>
      <c r="E144" s="1075">
        <v>0.86580000000000001</v>
      </c>
      <c r="F144" s="1075">
        <v>0.86580000000000001</v>
      </c>
      <c r="G144" s="1075">
        <v>0.86580000000000001</v>
      </c>
      <c r="H144" s="1075">
        <v>0.86580000000000001</v>
      </c>
      <c r="I144" s="1075">
        <v>0.7883</v>
      </c>
      <c r="J144" s="1075">
        <v>0.7883</v>
      </c>
      <c r="K144" s="1075">
        <v>0.7883</v>
      </c>
      <c r="L144" s="1075">
        <v>0.7883</v>
      </c>
      <c r="M144" s="1075">
        <v>0.7883</v>
      </c>
    </row>
    <row r="145" spans="1:13">
      <c r="A145" s="1076">
        <v>4.0999999999999996</v>
      </c>
      <c r="B145" s="1075">
        <v>0.95909999999999995</v>
      </c>
      <c r="C145" s="1075">
        <v>0.95909999999999995</v>
      </c>
      <c r="D145" s="1075">
        <v>0.86009999999999998</v>
      </c>
      <c r="E145" s="1075">
        <v>0.86009999999999998</v>
      </c>
      <c r="F145" s="1075">
        <v>0.86009999999999998</v>
      </c>
      <c r="G145" s="1075">
        <v>0.86009999999999998</v>
      </c>
      <c r="H145" s="1075">
        <v>0.86009999999999998</v>
      </c>
      <c r="I145" s="1075">
        <v>0.78200000000000003</v>
      </c>
      <c r="J145" s="1075">
        <v>0.78200000000000003</v>
      </c>
      <c r="K145" s="1075">
        <v>0.78200000000000003</v>
      </c>
      <c r="L145" s="1075">
        <v>0.78200000000000003</v>
      </c>
      <c r="M145" s="1075">
        <v>0.78200000000000003</v>
      </c>
    </row>
    <row r="146" spans="1:13">
      <c r="A146" s="1076">
        <v>4.2</v>
      </c>
      <c r="B146" s="1075">
        <v>0.95350000000000001</v>
      </c>
      <c r="C146" s="1075">
        <v>0.95350000000000001</v>
      </c>
      <c r="D146" s="1075">
        <v>0.85470000000000002</v>
      </c>
      <c r="E146" s="1075">
        <v>0.85470000000000002</v>
      </c>
      <c r="F146" s="1075">
        <v>0.85470000000000002</v>
      </c>
      <c r="G146" s="1075">
        <v>0.85470000000000002</v>
      </c>
      <c r="H146" s="1075">
        <v>0.85470000000000002</v>
      </c>
      <c r="I146" s="1075">
        <v>0.77600000000000002</v>
      </c>
      <c r="J146" s="1075">
        <v>0.77600000000000002</v>
      </c>
      <c r="K146" s="1075">
        <v>0.77600000000000002</v>
      </c>
      <c r="L146" s="1075">
        <v>0.77600000000000002</v>
      </c>
      <c r="M146" s="1075">
        <v>0.77600000000000002</v>
      </c>
    </row>
    <row r="147" spans="1:13">
      <c r="A147" s="1076">
        <v>4.3</v>
      </c>
      <c r="B147" s="1075">
        <v>0.94820000000000004</v>
      </c>
      <c r="C147" s="1075">
        <v>0.94820000000000004</v>
      </c>
      <c r="D147" s="1075">
        <v>0.84960000000000002</v>
      </c>
      <c r="E147" s="1075">
        <v>0.84960000000000002</v>
      </c>
      <c r="F147" s="1075">
        <v>0.84960000000000002</v>
      </c>
      <c r="G147" s="1075">
        <v>0.84960000000000002</v>
      </c>
      <c r="H147" s="1075">
        <v>0.84960000000000002</v>
      </c>
      <c r="I147" s="1075">
        <v>0.77029999999999998</v>
      </c>
      <c r="J147" s="1075">
        <v>0.77029999999999998</v>
      </c>
      <c r="K147" s="1075">
        <v>0.77029999999999998</v>
      </c>
      <c r="L147" s="1075">
        <v>0.77029999999999998</v>
      </c>
      <c r="M147" s="1075">
        <v>0.77029999999999998</v>
      </c>
    </row>
    <row r="148" spans="1:13">
      <c r="A148" s="1076">
        <v>4.4000000000000004</v>
      </c>
      <c r="B148" s="1075">
        <v>0.94320000000000004</v>
      </c>
      <c r="C148" s="1075">
        <v>0.94320000000000004</v>
      </c>
      <c r="D148" s="1075">
        <v>0.8448</v>
      </c>
      <c r="E148" s="1075">
        <v>0.8448</v>
      </c>
      <c r="F148" s="1075">
        <v>0.8448</v>
      </c>
      <c r="G148" s="1075">
        <v>0.8448</v>
      </c>
      <c r="H148" s="1075">
        <v>0.8448</v>
      </c>
      <c r="I148" s="1075">
        <v>0.76490000000000002</v>
      </c>
      <c r="J148" s="1075">
        <v>0.76490000000000002</v>
      </c>
      <c r="K148" s="1075">
        <v>0.76490000000000002</v>
      </c>
      <c r="L148" s="1075">
        <v>0.76490000000000002</v>
      </c>
      <c r="M148" s="1075">
        <v>0.76490000000000002</v>
      </c>
    </row>
    <row r="149" spans="1:13">
      <c r="A149" s="1076">
        <v>4.5</v>
      </c>
      <c r="B149" s="1075">
        <v>0.9385</v>
      </c>
      <c r="C149" s="1075">
        <v>0.9385</v>
      </c>
      <c r="D149" s="1075">
        <v>0.84019999999999995</v>
      </c>
      <c r="E149" s="1075">
        <v>0.84019999999999995</v>
      </c>
      <c r="F149" s="1075">
        <v>0.84019999999999995</v>
      </c>
      <c r="G149" s="1075">
        <v>0.84019999999999995</v>
      </c>
      <c r="H149" s="1075">
        <v>0.84019999999999995</v>
      </c>
      <c r="I149" s="1075">
        <v>0.75970000000000004</v>
      </c>
      <c r="J149" s="1075">
        <v>0.75970000000000004</v>
      </c>
      <c r="K149" s="1075">
        <v>0.75970000000000004</v>
      </c>
      <c r="L149" s="1075">
        <v>0.75970000000000004</v>
      </c>
      <c r="M149" s="1075">
        <v>0.75970000000000004</v>
      </c>
    </row>
    <row r="150" spans="1:13">
      <c r="A150" s="1076">
        <v>4.5999999999999996</v>
      </c>
      <c r="B150" s="1075">
        <v>0.93410000000000004</v>
      </c>
      <c r="C150" s="1075">
        <v>0.93410000000000004</v>
      </c>
      <c r="D150" s="1075">
        <v>0.83579999999999999</v>
      </c>
      <c r="E150" s="1075">
        <v>0.83579999999999999</v>
      </c>
      <c r="F150" s="1075">
        <v>0.83579999999999999</v>
      </c>
      <c r="G150" s="1075">
        <v>0.83579999999999999</v>
      </c>
      <c r="H150" s="1075">
        <v>0.83579999999999999</v>
      </c>
      <c r="I150" s="1075">
        <v>0.75470000000000004</v>
      </c>
      <c r="J150" s="1075">
        <v>0.75470000000000004</v>
      </c>
      <c r="K150" s="1075">
        <v>0.75470000000000004</v>
      </c>
      <c r="L150" s="1075">
        <v>0.75470000000000004</v>
      </c>
      <c r="M150" s="1075">
        <v>0.75470000000000004</v>
      </c>
    </row>
    <row r="151" spans="1:13">
      <c r="A151" s="1076">
        <v>4.7</v>
      </c>
      <c r="B151" s="1075">
        <v>0.92989999999999995</v>
      </c>
      <c r="C151" s="1075">
        <v>0.92989999999999995</v>
      </c>
      <c r="D151" s="1075">
        <v>0.83160000000000001</v>
      </c>
      <c r="E151" s="1075">
        <v>0.83160000000000001</v>
      </c>
      <c r="F151" s="1075">
        <v>0.83160000000000001</v>
      </c>
      <c r="G151" s="1075">
        <v>0.83160000000000001</v>
      </c>
      <c r="H151" s="1075">
        <v>0.83160000000000001</v>
      </c>
      <c r="I151" s="1075">
        <v>0.74990000000000001</v>
      </c>
      <c r="J151" s="1075">
        <v>0.74990000000000001</v>
      </c>
      <c r="K151" s="1075">
        <v>0.74990000000000001</v>
      </c>
      <c r="L151" s="1075">
        <v>0.74990000000000001</v>
      </c>
      <c r="M151" s="1075">
        <v>0.74990000000000001</v>
      </c>
    </row>
    <row r="152" spans="1:13">
      <c r="A152" s="1076">
        <v>4.8</v>
      </c>
      <c r="B152" s="1075">
        <v>0.92589999999999995</v>
      </c>
      <c r="C152" s="1075">
        <v>0.92589999999999995</v>
      </c>
      <c r="D152" s="1075">
        <v>0.82769999999999999</v>
      </c>
      <c r="E152" s="1075">
        <v>0.82769999999999999</v>
      </c>
      <c r="F152" s="1075">
        <v>0.82769999999999999</v>
      </c>
      <c r="G152" s="1075">
        <v>0.82769999999999999</v>
      </c>
      <c r="H152" s="1075">
        <v>0.82769999999999999</v>
      </c>
      <c r="I152" s="1075">
        <v>0.74529999999999996</v>
      </c>
      <c r="J152" s="1075">
        <v>0.74529999999999996</v>
      </c>
      <c r="K152" s="1075">
        <v>0.74529999999999996</v>
      </c>
      <c r="L152" s="1075">
        <v>0.74529999999999996</v>
      </c>
      <c r="M152" s="1075">
        <v>0.74529999999999996</v>
      </c>
    </row>
    <row r="153" spans="1:13">
      <c r="A153" s="1076">
        <v>4.9000000000000004</v>
      </c>
      <c r="B153" s="1075">
        <v>0.92210000000000003</v>
      </c>
      <c r="C153" s="1075">
        <v>0.92210000000000003</v>
      </c>
      <c r="D153" s="1075">
        <v>0.82389999999999997</v>
      </c>
      <c r="E153" s="1075">
        <v>0.82389999999999997</v>
      </c>
      <c r="F153" s="1075">
        <v>0.82389999999999997</v>
      </c>
      <c r="G153" s="1075">
        <v>0.82389999999999997</v>
      </c>
      <c r="H153" s="1075">
        <v>0.82389999999999997</v>
      </c>
      <c r="I153" s="1075">
        <v>0.7409</v>
      </c>
      <c r="J153" s="1075">
        <v>0.7409</v>
      </c>
      <c r="K153" s="1075">
        <v>0.7409</v>
      </c>
      <c r="L153" s="1075">
        <v>0.7409</v>
      </c>
      <c r="M153" s="1075">
        <v>0.7409</v>
      </c>
    </row>
    <row r="154" spans="1:13">
      <c r="A154" s="1076">
        <v>5</v>
      </c>
      <c r="B154" s="1075">
        <v>0.91849999999999998</v>
      </c>
      <c r="C154" s="1075">
        <v>0.91849999999999998</v>
      </c>
      <c r="D154" s="1075">
        <v>0.82030000000000003</v>
      </c>
      <c r="E154" s="1075">
        <v>0.82030000000000003</v>
      </c>
      <c r="F154" s="1075">
        <v>0.82030000000000003</v>
      </c>
      <c r="G154" s="1075">
        <v>0.82030000000000003</v>
      </c>
      <c r="H154" s="1075">
        <v>0.82030000000000003</v>
      </c>
      <c r="I154" s="1075">
        <v>0.73670000000000002</v>
      </c>
      <c r="J154" s="1075">
        <v>0.73670000000000002</v>
      </c>
      <c r="K154" s="1075">
        <v>0.73670000000000002</v>
      </c>
      <c r="L154" s="1075">
        <v>0.73670000000000002</v>
      </c>
      <c r="M154" s="1075">
        <v>0.73670000000000002</v>
      </c>
    </row>
    <row r="155" spans="1:13">
      <c r="A155" s="1072">
        <v>5.0999999999999996</v>
      </c>
      <c r="B155" s="1075">
        <v>0.91510000000000002</v>
      </c>
      <c r="C155" s="1075">
        <v>0.91510000000000002</v>
      </c>
      <c r="D155" s="1075">
        <v>0.81689999999999996</v>
      </c>
      <c r="E155" s="1075">
        <v>0.81689999999999996</v>
      </c>
      <c r="F155" s="1075">
        <v>0.81689999999999996</v>
      </c>
      <c r="G155" s="1075">
        <v>0.81689999999999996</v>
      </c>
      <c r="H155" s="1075">
        <v>0.81689999999999996</v>
      </c>
      <c r="I155" s="1075">
        <v>0.73270000000000002</v>
      </c>
      <c r="J155" s="1075">
        <v>0.73270000000000002</v>
      </c>
      <c r="K155" s="1075">
        <v>0.73270000000000002</v>
      </c>
      <c r="L155" s="1075">
        <v>0.73270000000000002</v>
      </c>
      <c r="M155" s="1075">
        <v>0.73270000000000002</v>
      </c>
    </row>
    <row r="156" spans="1:13">
      <c r="A156" s="1072">
        <v>5.2</v>
      </c>
      <c r="B156" s="1075">
        <v>0.91190000000000004</v>
      </c>
      <c r="C156" s="1075">
        <v>0.91190000000000004</v>
      </c>
      <c r="D156" s="1075">
        <v>0.81359999999999999</v>
      </c>
      <c r="E156" s="1075">
        <v>0.81359999999999999</v>
      </c>
      <c r="F156" s="1075">
        <v>0.81359999999999999</v>
      </c>
      <c r="G156" s="1075">
        <v>0.81359999999999999</v>
      </c>
      <c r="H156" s="1075">
        <v>0.81359999999999999</v>
      </c>
      <c r="I156" s="1075">
        <v>0.72889999999999999</v>
      </c>
      <c r="J156" s="1075">
        <v>0.72889999999999999</v>
      </c>
      <c r="K156" s="1075">
        <v>0.72889999999999999</v>
      </c>
      <c r="L156" s="1075">
        <v>0.72889999999999999</v>
      </c>
      <c r="M156" s="1075">
        <v>0.72889999999999999</v>
      </c>
    </row>
    <row r="157" spans="1:13">
      <c r="A157" s="1072">
        <v>5.3</v>
      </c>
      <c r="B157" s="1075">
        <v>0.90880000000000005</v>
      </c>
      <c r="C157" s="1075">
        <v>0.90880000000000005</v>
      </c>
      <c r="D157" s="1075">
        <v>0.8105</v>
      </c>
      <c r="E157" s="1075">
        <v>0.8105</v>
      </c>
      <c r="F157" s="1075">
        <v>0.8105</v>
      </c>
      <c r="G157" s="1075">
        <v>0.8105</v>
      </c>
      <c r="H157" s="1075">
        <v>0.8105</v>
      </c>
      <c r="I157" s="1075">
        <v>0.72529999999999994</v>
      </c>
      <c r="J157" s="1075">
        <v>0.72529999999999994</v>
      </c>
      <c r="K157" s="1075">
        <v>0.72529999999999994</v>
      </c>
      <c r="L157" s="1075">
        <v>0.72529999999999994</v>
      </c>
      <c r="M157" s="1075">
        <v>0.72529999999999994</v>
      </c>
    </row>
    <row r="158" spans="1:13">
      <c r="A158" s="1072">
        <v>5.4</v>
      </c>
      <c r="B158" s="1075">
        <v>0.90580000000000005</v>
      </c>
      <c r="C158" s="1075">
        <v>0.90580000000000005</v>
      </c>
      <c r="D158" s="1075">
        <v>0.8075</v>
      </c>
      <c r="E158" s="1075">
        <v>0.8075</v>
      </c>
      <c r="F158" s="1075">
        <v>0.8075</v>
      </c>
      <c r="G158" s="1075">
        <v>0.8075</v>
      </c>
      <c r="H158" s="1075">
        <v>0.8075</v>
      </c>
      <c r="I158" s="1075">
        <v>0.7218</v>
      </c>
      <c r="J158" s="1075">
        <v>0.7218</v>
      </c>
      <c r="K158" s="1075">
        <v>0.7218</v>
      </c>
      <c r="L158" s="1075">
        <v>0.7218</v>
      </c>
      <c r="M158" s="1075">
        <v>0.7218</v>
      </c>
    </row>
    <row r="159" spans="1:13">
      <c r="A159" s="1072">
        <v>5.5</v>
      </c>
      <c r="B159" s="1075">
        <v>0.90290000000000004</v>
      </c>
      <c r="C159" s="1075">
        <v>0.90290000000000004</v>
      </c>
      <c r="D159" s="1075">
        <v>0.80469999999999997</v>
      </c>
      <c r="E159" s="1075">
        <v>0.80469999999999997</v>
      </c>
      <c r="F159" s="1075">
        <v>0.80469999999999997</v>
      </c>
      <c r="G159" s="1075">
        <v>0.80469999999999997</v>
      </c>
      <c r="H159" s="1075">
        <v>0.80469999999999997</v>
      </c>
      <c r="I159" s="1075">
        <v>0.71840000000000004</v>
      </c>
      <c r="J159" s="1075">
        <v>0.71840000000000004</v>
      </c>
      <c r="K159" s="1075">
        <v>0.71840000000000004</v>
      </c>
      <c r="L159" s="1075">
        <v>0.71840000000000004</v>
      </c>
      <c r="M159" s="1075">
        <v>0.71840000000000004</v>
      </c>
    </row>
    <row r="160" spans="1:13">
      <c r="A160" s="1072">
        <v>5.6</v>
      </c>
      <c r="B160" s="1075">
        <v>0.90010000000000001</v>
      </c>
      <c r="C160" s="1075">
        <v>0.90010000000000001</v>
      </c>
      <c r="D160" s="1075">
        <v>0.80200000000000005</v>
      </c>
      <c r="E160" s="1075">
        <v>0.80200000000000005</v>
      </c>
      <c r="F160" s="1075">
        <v>0.80200000000000005</v>
      </c>
      <c r="G160" s="1075">
        <v>0.80200000000000005</v>
      </c>
      <c r="H160" s="1075">
        <v>0.80200000000000005</v>
      </c>
      <c r="I160" s="1075">
        <v>0.71509999999999996</v>
      </c>
      <c r="J160" s="1075">
        <v>0.71509999999999996</v>
      </c>
      <c r="K160" s="1075">
        <v>0.71509999999999996</v>
      </c>
      <c r="L160" s="1075">
        <v>0.71509999999999996</v>
      </c>
      <c r="M160" s="1075">
        <v>0.71509999999999996</v>
      </c>
    </row>
    <row r="161" spans="1:13">
      <c r="A161" s="1076">
        <v>5.7</v>
      </c>
      <c r="B161" s="1075">
        <v>0.89749999999999996</v>
      </c>
      <c r="C161" s="1075">
        <v>0.89749999999999996</v>
      </c>
      <c r="D161" s="1075">
        <v>0.79930000000000001</v>
      </c>
      <c r="E161" s="1075">
        <v>0.79930000000000001</v>
      </c>
      <c r="F161" s="1075">
        <v>0.79930000000000001</v>
      </c>
      <c r="G161" s="1075">
        <v>0.79930000000000001</v>
      </c>
      <c r="H161" s="1075">
        <v>0.79930000000000001</v>
      </c>
      <c r="I161" s="1075">
        <v>0.71189999999999998</v>
      </c>
      <c r="J161" s="1075">
        <v>0.71189999999999998</v>
      </c>
      <c r="K161" s="1075">
        <v>0.71189999999999998</v>
      </c>
      <c r="L161" s="1075">
        <v>0.71189999999999998</v>
      </c>
      <c r="M161" s="1075">
        <v>0.71189999999999998</v>
      </c>
    </row>
    <row r="162" spans="1:13">
      <c r="A162" s="1072">
        <v>5.8</v>
      </c>
      <c r="B162" s="1075">
        <v>0.89500000000000002</v>
      </c>
      <c r="C162" s="1075">
        <v>0.89500000000000002</v>
      </c>
      <c r="D162" s="1075">
        <v>0.79679999999999995</v>
      </c>
      <c r="E162" s="1075">
        <v>0.79679999999999995</v>
      </c>
      <c r="F162" s="1075">
        <v>0.79679999999999995</v>
      </c>
      <c r="G162" s="1075">
        <v>0.79679999999999995</v>
      </c>
      <c r="H162" s="1075">
        <v>0.79679999999999995</v>
      </c>
      <c r="I162" s="1075">
        <v>0.70879999999999999</v>
      </c>
      <c r="J162" s="1075">
        <v>0.70879999999999999</v>
      </c>
      <c r="K162" s="1075">
        <v>0.70879999999999999</v>
      </c>
      <c r="L162" s="1075">
        <v>0.70879999999999999</v>
      </c>
      <c r="M162" s="1075">
        <v>0.70879999999999999</v>
      </c>
    </row>
    <row r="163" spans="1:13">
      <c r="A163" s="1072">
        <v>5.9</v>
      </c>
      <c r="B163" s="1075">
        <v>0.89259999999999995</v>
      </c>
      <c r="C163" s="1075">
        <v>0.89259999999999995</v>
      </c>
      <c r="D163" s="1075">
        <v>0.7944</v>
      </c>
      <c r="E163" s="1075">
        <v>0.7944</v>
      </c>
      <c r="F163" s="1075">
        <v>0.7944</v>
      </c>
      <c r="G163" s="1075">
        <v>0.7944</v>
      </c>
      <c r="H163" s="1075">
        <v>0.7944</v>
      </c>
      <c r="I163" s="1075">
        <v>0.70579999999999998</v>
      </c>
      <c r="J163" s="1075">
        <v>0.70579999999999998</v>
      </c>
      <c r="K163" s="1075">
        <v>0.70579999999999998</v>
      </c>
      <c r="L163" s="1075">
        <v>0.70579999999999998</v>
      </c>
      <c r="M163" s="1075">
        <v>0.70579999999999998</v>
      </c>
    </row>
    <row r="164" spans="1:13">
      <c r="A164" s="1072">
        <v>6</v>
      </c>
      <c r="B164" s="1075">
        <v>0.89029999999999998</v>
      </c>
      <c r="C164" s="1075">
        <v>0.89029999999999998</v>
      </c>
      <c r="D164" s="1075">
        <v>0.79200000000000004</v>
      </c>
      <c r="E164" s="1075">
        <v>0.79200000000000004</v>
      </c>
      <c r="F164" s="1075">
        <v>0.79200000000000004</v>
      </c>
      <c r="G164" s="1075">
        <v>0.79200000000000004</v>
      </c>
      <c r="H164" s="1075">
        <v>0.79200000000000004</v>
      </c>
      <c r="I164" s="1075">
        <v>0.70289999999999997</v>
      </c>
      <c r="J164" s="1075">
        <v>0.70289999999999997</v>
      </c>
      <c r="K164" s="1075">
        <v>0.70289999999999997</v>
      </c>
      <c r="L164" s="1075">
        <v>0.70289999999999997</v>
      </c>
      <c r="M164" s="1075">
        <v>0.70289999999999997</v>
      </c>
    </row>
    <row r="165" spans="1:13">
      <c r="A165" s="1072">
        <v>6.1</v>
      </c>
      <c r="B165" s="1075">
        <v>0.8881</v>
      </c>
      <c r="C165" s="1075">
        <v>0.8881</v>
      </c>
      <c r="D165" s="1075">
        <v>0.78979999999999995</v>
      </c>
      <c r="E165" s="1075">
        <v>0.78979999999999995</v>
      </c>
      <c r="F165" s="1075">
        <v>0.78979999999999995</v>
      </c>
      <c r="G165" s="1075">
        <v>0.78979999999999995</v>
      </c>
      <c r="H165" s="1075">
        <v>0.78979999999999995</v>
      </c>
      <c r="I165" s="1075">
        <v>0.70009999999999994</v>
      </c>
      <c r="J165" s="1075">
        <v>0.70009999999999994</v>
      </c>
      <c r="K165" s="1075">
        <v>0.70009999999999994</v>
      </c>
      <c r="L165" s="1075">
        <v>0.70009999999999994</v>
      </c>
      <c r="M165" s="1075">
        <v>0.70009999999999994</v>
      </c>
    </row>
    <row r="166" spans="1:13">
      <c r="A166" s="1072">
        <v>6.2</v>
      </c>
      <c r="B166" s="1075">
        <v>0.88600000000000001</v>
      </c>
      <c r="C166" s="1075">
        <v>0.88600000000000001</v>
      </c>
      <c r="D166" s="1075">
        <v>0.78759999999999997</v>
      </c>
      <c r="E166" s="1075">
        <v>0.78759999999999997</v>
      </c>
      <c r="F166" s="1075">
        <v>0.78759999999999997</v>
      </c>
      <c r="G166" s="1075">
        <v>0.78759999999999997</v>
      </c>
      <c r="H166" s="1075">
        <v>0.78759999999999997</v>
      </c>
      <c r="I166" s="1075">
        <v>0.69740000000000002</v>
      </c>
      <c r="J166" s="1075">
        <v>0.69740000000000002</v>
      </c>
      <c r="K166" s="1075">
        <v>0.69740000000000002</v>
      </c>
      <c r="L166" s="1075">
        <v>0.69740000000000002</v>
      </c>
      <c r="M166" s="1075">
        <v>0.69740000000000002</v>
      </c>
    </row>
    <row r="167" spans="1:13">
      <c r="A167" s="1072">
        <v>6.3</v>
      </c>
      <c r="B167" s="1075">
        <v>0.88390000000000002</v>
      </c>
      <c r="C167" s="1075">
        <v>0.88390000000000002</v>
      </c>
      <c r="D167" s="1075">
        <v>0.78549999999999998</v>
      </c>
      <c r="E167" s="1075">
        <v>0.78549999999999998</v>
      </c>
      <c r="F167" s="1075">
        <v>0.78549999999999998</v>
      </c>
      <c r="G167" s="1075">
        <v>0.78549999999999998</v>
      </c>
      <c r="H167" s="1075">
        <v>0.78549999999999998</v>
      </c>
      <c r="I167" s="1075">
        <v>0.69479999999999997</v>
      </c>
      <c r="J167" s="1075">
        <v>0.69479999999999997</v>
      </c>
      <c r="K167" s="1075">
        <v>0.69479999999999997</v>
      </c>
      <c r="L167" s="1075">
        <v>0.69479999999999997</v>
      </c>
      <c r="M167" s="1075">
        <v>0.69479999999999997</v>
      </c>
    </row>
    <row r="168" spans="1:13">
      <c r="A168" s="1072">
        <v>6.4</v>
      </c>
      <c r="B168" s="1075">
        <v>0.88190000000000002</v>
      </c>
      <c r="C168" s="1075">
        <v>0.88190000000000002</v>
      </c>
      <c r="D168" s="1075">
        <v>0.78339999999999999</v>
      </c>
      <c r="E168" s="1075">
        <v>0.78339999999999999</v>
      </c>
      <c r="F168" s="1075">
        <v>0.78339999999999999</v>
      </c>
      <c r="G168" s="1075">
        <v>0.78339999999999999</v>
      </c>
      <c r="H168" s="1075">
        <v>0.78339999999999999</v>
      </c>
      <c r="I168" s="1075">
        <v>0.69230000000000003</v>
      </c>
      <c r="J168" s="1075">
        <v>0.69230000000000003</v>
      </c>
      <c r="K168" s="1075">
        <v>0.69230000000000003</v>
      </c>
      <c r="L168" s="1075">
        <v>0.69230000000000003</v>
      </c>
      <c r="M168" s="1075">
        <v>0.69230000000000003</v>
      </c>
    </row>
    <row r="169" spans="1:13">
      <c r="A169" s="1072">
        <v>6.5</v>
      </c>
      <c r="B169" s="1075">
        <v>0.88</v>
      </c>
      <c r="C169" s="1075">
        <v>0.88</v>
      </c>
      <c r="D169" s="1075">
        <v>0.78139999999999998</v>
      </c>
      <c r="E169" s="1075">
        <v>0.78139999999999998</v>
      </c>
      <c r="F169" s="1075">
        <v>0.78139999999999998</v>
      </c>
      <c r="G169" s="1075">
        <v>0.78139999999999998</v>
      </c>
      <c r="H169" s="1075">
        <v>0.78139999999999998</v>
      </c>
      <c r="I169" s="1075">
        <v>0.68989999999999996</v>
      </c>
      <c r="J169" s="1075">
        <v>0.68989999999999996</v>
      </c>
      <c r="K169" s="1075">
        <v>0.68989999999999996</v>
      </c>
      <c r="L169" s="1075">
        <v>0.68989999999999996</v>
      </c>
      <c r="M169" s="1075">
        <v>0.68989999999999996</v>
      </c>
    </row>
    <row r="170" spans="1:13">
      <c r="A170" s="1072">
        <v>6.6</v>
      </c>
      <c r="B170" s="1075">
        <v>0.87809999999999999</v>
      </c>
      <c r="C170" s="1075">
        <v>0.87809999999999999</v>
      </c>
      <c r="D170" s="1075">
        <v>0.77949999999999997</v>
      </c>
      <c r="E170" s="1075">
        <v>0.77949999999999997</v>
      </c>
      <c r="F170" s="1075">
        <v>0.77949999999999997</v>
      </c>
      <c r="G170" s="1075">
        <v>0.77949999999999997</v>
      </c>
      <c r="H170" s="1075">
        <v>0.77949999999999997</v>
      </c>
      <c r="I170" s="1075">
        <v>0.68759999999999999</v>
      </c>
      <c r="J170" s="1075">
        <v>0.68759999999999999</v>
      </c>
      <c r="K170" s="1075">
        <v>0.68759999999999999</v>
      </c>
      <c r="L170" s="1075">
        <v>0.68759999999999999</v>
      </c>
      <c r="M170" s="1075">
        <v>0.68759999999999999</v>
      </c>
    </row>
    <row r="171" spans="1:13">
      <c r="A171" s="1072">
        <v>6.7</v>
      </c>
      <c r="B171" s="1075">
        <v>0.87629999999999997</v>
      </c>
      <c r="C171" s="1075">
        <v>0.87629999999999997</v>
      </c>
      <c r="D171" s="1075">
        <v>0.77759999999999996</v>
      </c>
      <c r="E171" s="1075">
        <v>0.77759999999999996</v>
      </c>
      <c r="F171" s="1075">
        <v>0.77759999999999996</v>
      </c>
      <c r="G171" s="1075">
        <v>0.77759999999999996</v>
      </c>
      <c r="H171" s="1075">
        <v>0.77759999999999996</v>
      </c>
      <c r="I171" s="1075">
        <v>0.68530000000000002</v>
      </c>
      <c r="J171" s="1075">
        <v>0.68530000000000002</v>
      </c>
      <c r="K171" s="1075">
        <v>0.68530000000000002</v>
      </c>
      <c r="L171" s="1075">
        <v>0.68530000000000002</v>
      </c>
      <c r="M171" s="1075">
        <v>0.68530000000000002</v>
      </c>
    </row>
    <row r="172" spans="1:13">
      <c r="A172" s="1072">
        <v>6.8</v>
      </c>
      <c r="B172" s="1075">
        <v>0.87450000000000006</v>
      </c>
      <c r="C172" s="1075">
        <v>0.87450000000000006</v>
      </c>
      <c r="D172" s="1075">
        <v>0.77569999999999995</v>
      </c>
      <c r="E172" s="1075">
        <v>0.77569999999999995</v>
      </c>
      <c r="F172" s="1075">
        <v>0.77569999999999995</v>
      </c>
      <c r="G172" s="1075">
        <v>0.77569999999999995</v>
      </c>
      <c r="H172" s="1075">
        <v>0.77569999999999995</v>
      </c>
      <c r="I172" s="1075">
        <v>0.68310000000000004</v>
      </c>
      <c r="J172" s="1075">
        <v>0.68310000000000004</v>
      </c>
      <c r="K172" s="1075">
        <v>0.68310000000000004</v>
      </c>
      <c r="L172" s="1075">
        <v>0.68310000000000004</v>
      </c>
      <c r="M172" s="1075">
        <v>0.68310000000000004</v>
      </c>
    </row>
    <row r="173" spans="1:13">
      <c r="A173" s="1072">
        <v>6.9</v>
      </c>
      <c r="B173" s="1075">
        <v>0.87280000000000002</v>
      </c>
      <c r="C173" s="1075">
        <v>0.87280000000000002</v>
      </c>
      <c r="D173" s="1075">
        <v>0.77390000000000003</v>
      </c>
      <c r="E173" s="1075">
        <v>0.77390000000000003</v>
      </c>
      <c r="F173" s="1075">
        <v>0.77390000000000003</v>
      </c>
      <c r="G173" s="1075">
        <v>0.77390000000000003</v>
      </c>
      <c r="H173" s="1075">
        <v>0.77390000000000003</v>
      </c>
      <c r="I173" s="1075">
        <v>0.68089999999999995</v>
      </c>
      <c r="J173" s="1075">
        <v>0.68089999999999995</v>
      </c>
      <c r="K173" s="1075">
        <v>0.68089999999999995</v>
      </c>
      <c r="L173" s="1075">
        <v>0.68089999999999995</v>
      </c>
      <c r="M173" s="1075">
        <v>0.68089999999999995</v>
      </c>
    </row>
    <row r="174" spans="1:13">
      <c r="A174" s="1072">
        <v>7</v>
      </c>
      <c r="B174" s="1075">
        <v>0.87109999999999999</v>
      </c>
      <c r="C174" s="1075">
        <v>0.87109999999999999</v>
      </c>
      <c r="D174" s="1075">
        <v>0.77210000000000001</v>
      </c>
      <c r="E174" s="1075">
        <v>0.77210000000000001</v>
      </c>
      <c r="F174" s="1075">
        <v>0.77210000000000001</v>
      </c>
      <c r="G174" s="1075">
        <v>0.77210000000000001</v>
      </c>
      <c r="H174" s="1075">
        <v>0.77210000000000001</v>
      </c>
      <c r="I174" s="1075">
        <v>0.67879999999999996</v>
      </c>
      <c r="J174" s="1075">
        <v>0.67879999999999996</v>
      </c>
      <c r="K174" s="1075">
        <v>0.67879999999999996</v>
      </c>
      <c r="L174" s="1075">
        <v>0.67879999999999996</v>
      </c>
      <c r="M174" s="1075">
        <v>0.67879999999999996</v>
      </c>
    </row>
    <row r="175" spans="1:13">
      <c r="A175" s="1072">
        <v>7.1</v>
      </c>
      <c r="B175" s="1075">
        <v>0.86939999999999995</v>
      </c>
      <c r="C175" s="1075">
        <v>0.86939999999999995</v>
      </c>
      <c r="D175" s="1075">
        <v>0.77039999999999997</v>
      </c>
      <c r="E175" s="1075">
        <v>0.77039999999999997</v>
      </c>
      <c r="F175" s="1075">
        <v>0.77039999999999997</v>
      </c>
      <c r="G175" s="1075">
        <v>0.77039999999999997</v>
      </c>
      <c r="H175" s="1075">
        <v>0.77039999999999997</v>
      </c>
      <c r="I175" s="1075">
        <v>0.67669999999999997</v>
      </c>
      <c r="J175" s="1075">
        <v>0.67669999999999997</v>
      </c>
      <c r="K175" s="1075">
        <v>0.67669999999999997</v>
      </c>
      <c r="L175" s="1075">
        <v>0.67669999999999997</v>
      </c>
      <c r="M175" s="1075">
        <v>0.67669999999999997</v>
      </c>
    </row>
    <row r="176" spans="1:13">
      <c r="A176" s="1072">
        <v>7.2</v>
      </c>
      <c r="B176" s="1075">
        <v>0.86770000000000003</v>
      </c>
      <c r="C176" s="1075">
        <v>0.86770000000000003</v>
      </c>
      <c r="D176" s="1075">
        <v>0.76870000000000005</v>
      </c>
      <c r="E176" s="1075">
        <v>0.76870000000000005</v>
      </c>
      <c r="F176" s="1075">
        <v>0.76870000000000005</v>
      </c>
      <c r="G176" s="1075">
        <v>0.76870000000000005</v>
      </c>
      <c r="H176" s="1075">
        <v>0.76870000000000005</v>
      </c>
      <c r="I176" s="1075">
        <v>0.67469999999999997</v>
      </c>
      <c r="J176" s="1075">
        <v>0.67469999999999997</v>
      </c>
      <c r="K176" s="1075">
        <v>0.67469999999999997</v>
      </c>
      <c r="L176" s="1075">
        <v>0.67469999999999997</v>
      </c>
      <c r="M176" s="1075">
        <v>0.67469999999999997</v>
      </c>
    </row>
    <row r="177" spans="1:13">
      <c r="A177" s="1072">
        <v>7.3</v>
      </c>
      <c r="B177" s="1075">
        <v>0.86609999999999998</v>
      </c>
      <c r="C177" s="1075">
        <v>0.86609999999999998</v>
      </c>
      <c r="D177" s="1075">
        <v>0.76700000000000002</v>
      </c>
      <c r="E177" s="1075">
        <v>0.76700000000000002</v>
      </c>
      <c r="F177" s="1075">
        <v>0.76700000000000002</v>
      </c>
      <c r="G177" s="1075">
        <v>0.76700000000000002</v>
      </c>
      <c r="H177" s="1075">
        <v>0.76700000000000002</v>
      </c>
      <c r="I177" s="1075">
        <v>0.67269999999999996</v>
      </c>
      <c r="J177" s="1075">
        <v>0.67269999999999996</v>
      </c>
      <c r="K177" s="1075">
        <v>0.67269999999999996</v>
      </c>
      <c r="L177" s="1075">
        <v>0.67269999999999996</v>
      </c>
      <c r="M177" s="1075">
        <v>0.67269999999999996</v>
      </c>
    </row>
    <row r="178" spans="1:13">
      <c r="A178" s="1072">
        <v>7.4</v>
      </c>
      <c r="B178" s="1075">
        <v>0.86450000000000005</v>
      </c>
      <c r="C178" s="1075">
        <v>0.86450000000000005</v>
      </c>
      <c r="D178" s="1075">
        <v>0.76529999999999998</v>
      </c>
      <c r="E178" s="1075">
        <v>0.76529999999999998</v>
      </c>
      <c r="F178" s="1075">
        <v>0.76529999999999998</v>
      </c>
      <c r="G178" s="1075">
        <v>0.76529999999999998</v>
      </c>
      <c r="H178" s="1075">
        <v>0.76529999999999998</v>
      </c>
      <c r="I178" s="1075">
        <v>0.67079999999999995</v>
      </c>
      <c r="J178" s="1075">
        <v>0.67079999999999995</v>
      </c>
      <c r="K178" s="1075">
        <v>0.67079999999999995</v>
      </c>
      <c r="L178" s="1075">
        <v>0.67079999999999995</v>
      </c>
      <c r="M178" s="1075">
        <v>0.67079999999999995</v>
      </c>
    </row>
    <row r="179" spans="1:13">
      <c r="A179" s="1072">
        <v>7.5</v>
      </c>
      <c r="B179" s="1075">
        <v>0.86299999999999999</v>
      </c>
      <c r="C179" s="1075">
        <v>0.86299999999999999</v>
      </c>
      <c r="D179" s="1075">
        <v>0.76359999999999995</v>
      </c>
      <c r="E179" s="1075">
        <v>0.76359999999999995</v>
      </c>
      <c r="F179" s="1075">
        <v>0.76359999999999995</v>
      </c>
      <c r="G179" s="1075">
        <v>0.76359999999999995</v>
      </c>
      <c r="H179" s="1075">
        <v>0.76359999999999995</v>
      </c>
      <c r="I179" s="1075">
        <v>0.66890000000000005</v>
      </c>
      <c r="J179" s="1075">
        <v>0.66890000000000005</v>
      </c>
      <c r="K179" s="1075">
        <v>0.66890000000000005</v>
      </c>
      <c r="L179" s="1075">
        <v>0.66890000000000005</v>
      </c>
      <c r="M179" s="1075">
        <v>0.66890000000000005</v>
      </c>
    </row>
    <row r="180" spans="1:13">
      <c r="A180" s="1072">
        <v>7.6</v>
      </c>
      <c r="B180" s="1075">
        <v>0.86150000000000004</v>
      </c>
      <c r="C180" s="1075">
        <v>0.86150000000000004</v>
      </c>
      <c r="D180" s="1075">
        <v>0.76200000000000001</v>
      </c>
      <c r="E180" s="1075">
        <v>0.76200000000000001</v>
      </c>
      <c r="F180" s="1075">
        <v>0.76200000000000001</v>
      </c>
      <c r="G180" s="1075">
        <v>0.76200000000000001</v>
      </c>
      <c r="H180" s="1075">
        <v>0.76200000000000001</v>
      </c>
      <c r="I180" s="1075">
        <v>0.66700000000000004</v>
      </c>
      <c r="J180" s="1075">
        <v>0.66700000000000004</v>
      </c>
      <c r="K180" s="1075">
        <v>0.66700000000000004</v>
      </c>
      <c r="L180" s="1075">
        <v>0.66700000000000004</v>
      </c>
      <c r="M180" s="1075">
        <v>0.66700000000000004</v>
      </c>
    </row>
    <row r="181" spans="1:13">
      <c r="A181" s="1072">
        <v>7.7</v>
      </c>
      <c r="B181" s="1075">
        <v>0.86</v>
      </c>
      <c r="C181" s="1075">
        <v>0.86</v>
      </c>
      <c r="D181" s="1075">
        <v>0.76039999999999996</v>
      </c>
      <c r="E181" s="1075">
        <v>0.76039999999999996</v>
      </c>
      <c r="F181" s="1075">
        <v>0.76039999999999996</v>
      </c>
      <c r="G181" s="1075">
        <v>0.76039999999999996</v>
      </c>
      <c r="H181" s="1075">
        <v>0.76039999999999996</v>
      </c>
      <c r="I181" s="1075">
        <v>0.66510000000000002</v>
      </c>
      <c r="J181" s="1075">
        <v>0.66510000000000002</v>
      </c>
      <c r="K181" s="1075">
        <v>0.66510000000000002</v>
      </c>
      <c r="L181" s="1075">
        <v>0.66510000000000002</v>
      </c>
      <c r="M181" s="1075">
        <v>0.66510000000000002</v>
      </c>
    </row>
    <row r="182" spans="1:13">
      <c r="A182" s="1072">
        <v>7.8</v>
      </c>
      <c r="B182" s="1075">
        <v>0.85850000000000004</v>
      </c>
      <c r="C182" s="1075">
        <v>0.85850000000000004</v>
      </c>
      <c r="D182" s="1075">
        <v>0.75880000000000003</v>
      </c>
      <c r="E182" s="1075">
        <v>0.75880000000000003</v>
      </c>
      <c r="F182" s="1075">
        <v>0.75880000000000003</v>
      </c>
      <c r="G182" s="1075">
        <v>0.75880000000000003</v>
      </c>
      <c r="H182" s="1075">
        <v>0.75880000000000003</v>
      </c>
      <c r="I182" s="1075">
        <v>0.6633</v>
      </c>
      <c r="J182" s="1075">
        <v>0.6633</v>
      </c>
      <c r="K182" s="1075">
        <v>0.6633</v>
      </c>
      <c r="L182" s="1075">
        <v>0.6633</v>
      </c>
      <c r="M182" s="1075">
        <v>0.6633</v>
      </c>
    </row>
    <row r="183" spans="1:13">
      <c r="A183" s="1072">
        <v>7.9</v>
      </c>
      <c r="B183" s="1075">
        <v>0.85699999999999998</v>
      </c>
      <c r="C183" s="1075">
        <v>0.85699999999999998</v>
      </c>
      <c r="D183" s="1075">
        <v>0.75719999999999998</v>
      </c>
      <c r="E183" s="1075">
        <v>0.75719999999999998</v>
      </c>
      <c r="F183" s="1075">
        <v>0.75719999999999998</v>
      </c>
      <c r="G183" s="1075">
        <v>0.75719999999999998</v>
      </c>
      <c r="H183" s="1075">
        <v>0.75719999999999998</v>
      </c>
      <c r="I183" s="1075">
        <v>0.66149999999999998</v>
      </c>
      <c r="J183" s="1075">
        <v>0.66149999999999998</v>
      </c>
      <c r="K183" s="1075">
        <v>0.66149999999999998</v>
      </c>
      <c r="L183" s="1075">
        <v>0.66149999999999998</v>
      </c>
      <c r="M183" s="1075">
        <v>0.66149999999999998</v>
      </c>
    </row>
    <row r="184" spans="1:13">
      <c r="A184" s="1072">
        <v>8</v>
      </c>
      <c r="B184" s="1075">
        <v>0.85550000000000004</v>
      </c>
      <c r="C184" s="1075">
        <v>0.85550000000000004</v>
      </c>
      <c r="D184" s="1075">
        <v>0.75570000000000004</v>
      </c>
      <c r="E184" s="1075">
        <v>0.75570000000000004</v>
      </c>
      <c r="F184" s="1075">
        <v>0.75570000000000004</v>
      </c>
      <c r="G184" s="1075">
        <v>0.75570000000000004</v>
      </c>
      <c r="H184" s="1075">
        <v>0.75570000000000004</v>
      </c>
      <c r="I184" s="1075">
        <v>0.65969999999999995</v>
      </c>
      <c r="J184" s="1075">
        <v>0.65969999999999995</v>
      </c>
      <c r="K184" s="1075">
        <v>0.65969999999999995</v>
      </c>
      <c r="L184" s="1075">
        <v>0.65969999999999995</v>
      </c>
      <c r="M184" s="1075">
        <v>0.65969999999999995</v>
      </c>
    </row>
    <row r="185" spans="1:13">
      <c r="A185" s="1072">
        <v>8.1</v>
      </c>
      <c r="B185" s="1075">
        <v>0.85399999999999998</v>
      </c>
      <c r="C185" s="1075">
        <v>0.85399999999999998</v>
      </c>
      <c r="D185" s="1075">
        <v>0.75419999999999998</v>
      </c>
      <c r="E185" s="1075">
        <v>0.75419999999999998</v>
      </c>
      <c r="F185" s="1075">
        <v>0.75419999999999998</v>
      </c>
      <c r="G185" s="1075">
        <v>0.75419999999999998</v>
      </c>
      <c r="H185" s="1075">
        <v>0.75419999999999998</v>
      </c>
      <c r="I185" s="1075">
        <v>0.65800000000000003</v>
      </c>
      <c r="J185" s="1075">
        <v>0.65800000000000003</v>
      </c>
      <c r="K185" s="1075">
        <v>0.65800000000000003</v>
      </c>
      <c r="L185" s="1075">
        <v>0.65800000000000003</v>
      </c>
      <c r="M185" s="1075">
        <v>0.65800000000000003</v>
      </c>
    </row>
    <row r="186" spans="1:13">
      <c r="A186" s="1072">
        <v>8.1999999999999993</v>
      </c>
      <c r="B186" s="1075">
        <v>0.85250000000000004</v>
      </c>
      <c r="C186" s="1075">
        <v>0.85250000000000004</v>
      </c>
      <c r="D186" s="1075">
        <v>0.75270000000000004</v>
      </c>
      <c r="E186" s="1075">
        <v>0.75270000000000004</v>
      </c>
      <c r="F186" s="1075">
        <v>0.75270000000000004</v>
      </c>
      <c r="G186" s="1075">
        <v>0.75270000000000004</v>
      </c>
      <c r="H186" s="1075">
        <v>0.75270000000000004</v>
      </c>
      <c r="I186" s="1075">
        <v>0.65629999999999999</v>
      </c>
      <c r="J186" s="1075">
        <v>0.65629999999999999</v>
      </c>
      <c r="K186" s="1075">
        <v>0.65629999999999999</v>
      </c>
      <c r="L186" s="1075">
        <v>0.65629999999999999</v>
      </c>
      <c r="M186" s="1075">
        <v>0.65629999999999999</v>
      </c>
    </row>
    <row r="187" spans="1:13">
      <c r="A187" s="1072">
        <v>8.3000000000000007</v>
      </c>
      <c r="B187" s="1075">
        <v>0.85109999999999997</v>
      </c>
      <c r="C187" s="1075">
        <v>0.85109999999999997</v>
      </c>
      <c r="D187" s="1075">
        <v>0.75119999999999998</v>
      </c>
      <c r="E187" s="1075">
        <v>0.75119999999999998</v>
      </c>
      <c r="F187" s="1075">
        <v>0.75119999999999998</v>
      </c>
      <c r="G187" s="1075">
        <v>0.75119999999999998</v>
      </c>
      <c r="H187" s="1075">
        <v>0.75119999999999998</v>
      </c>
      <c r="I187" s="1075">
        <v>0.65459999999999996</v>
      </c>
      <c r="J187" s="1075">
        <v>0.65459999999999996</v>
      </c>
      <c r="K187" s="1075">
        <v>0.65459999999999996</v>
      </c>
      <c r="L187" s="1075">
        <v>0.65459999999999996</v>
      </c>
      <c r="M187" s="1075">
        <v>0.65459999999999996</v>
      </c>
    </row>
    <row r="188" spans="1:13">
      <c r="A188" s="1072">
        <v>8.4</v>
      </c>
      <c r="B188" s="1075">
        <v>0.84970000000000001</v>
      </c>
      <c r="C188" s="1075">
        <v>0.84970000000000001</v>
      </c>
      <c r="D188" s="1075">
        <v>0.74970000000000003</v>
      </c>
      <c r="E188" s="1075">
        <v>0.74970000000000003</v>
      </c>
      <c r="F188" s="1075">
        <v>0.74970000000000003</v>
      </c>
      <c r="G188" s="1075">
        <v>0.74970000000000003</v>
      </c>
      <c r="H188" s="1075">
        <v>0.74970000000000003</v>
      </c>
      <c r="I188" s="1075">
        <v>0.65300000000000002</v>
      </c>
      <c r="J188" s="1075">
        <v>0.65300000000000002</v>
      </c>
      <c r="K188" s="1075">
        <v>0.65300000000000002</v>
      </c>
      <c r="L188" s="1075">
        <v>0.65300000000000002</v>
      </c>
      <c r="M188" s="1075">
        <v>0.65300000000000002</v>
      </c>
    </row>
    <row r="189" spans="1:13">
      <c r="A189" s="1072">
        <v>8.5</v>
      </c>
      <c r="B189" s="1075">
        <v>0.84830000000000005</v>
      </c>
      <c r="C189" s="1075">
        <v>0.84830000000000005</v>
      </c>
      <c r="D189" s="1075">
        <v>0.74819999999999998</v>
      </c>
      <c r="E189" s="1075">
        <v>0.74819999999999998</v>
      </c>
      <c r="F189" s="1075">
        <v>0.74819999999999998</v>
      </c>
      <c r="G189" s="1075">
        <v>0.74819999999999998</v>
      </c>
      <c r="H189" s="1075">
        <v>0.74819999999999998</v>
      </c>
      <c r="I189" s="1075">
        <v>0.65139999999999998</v>
      </c>
      <c r="J189" s="1075">
        <v>0.65139999999999998</v>
      </c>
      <c r="K189" s="1075">
        <v>0.65139999999999998</v>
      </c>
      <c r="L189" s="1075">
        <v>0.65139999999999998</v>
      </c>
      <c r="M189" s="1075">
        <v>0.65139999999999998</v>
      </c>
    </row>
    <row r="190" spans="1:13">
      <c r="A190" s="1072">
        <v>8.6</v>
      </c>
      <c r="B190" s="1075">
        <v>0.84689999999999999</v>
      </c>
      <c r="C190" s="1075">
        <v>0.84689999999999999</v>
      </c>
      <c r="D190" s="1075">
        <v>0.74670000000000003</v>
      </c>
      <c r="E190" s="1075">
        <v>0.74670000000000003</v>
      </c>
      <c r="F190" s="1075">
        <v>0.74670000000000003</v>
      </c>
      <c r="G190" s="1075">
        <v>0.74670000000000003</v>
      </c>
      <c r="H190" s="1075">
        <v>0.74670000000000003</v>
      </c>
      <c r="I190" s="1075">
        <v>0.64980000000000004</v>
      </c>
      <c r="J190" s="1075">
        <v>0.64980000000000004</v>
      </c>
      <c r="K190" s="1075">
        <v>0.64980000000000004</v>
      </c>
      <c r="L190" s="1075">
        <v>0.64980000000000004</v>
      </c>
      <c r="M190" s="1075">
        <v>0.64980000000000004</v>
      </c>
    </row>
    <row r="191" spans="1:13">
      <c r="A191" s="1072">
        <v>8.6999999999999993</v>
      </c>
      <c r="B191" s="1075">
        <v>0.84550000000000003</v>
      </c>
      <c r="C191" s="1075">
        <v>0.84550000000000003</v>
      </c>
      <c r="D191" s="1075">
        <v>0.74519999999999997</v>
      </c>
      <c r="E191" s="1075">
        <v>0.74519999999999997</v>
      </c>
      <c r="F191" s="1075">
        <v>0.74519999999999997</v>
      </c>
      <c r="G191" s="1075">
        <v>0.74519999999999997</v>
      </c>
      <c r="H191" s="1075">
        <v>0.74519999999999997</v>
      </c>
      <c r="I191" s="1075">
        <v>0.6482</v>
      </c>
      <c r="J191" s="1075">
        <v>0.6482</v>
      </c>
      <c r="K191" s="1075">
        <v>0.6482</v>
      </c>
      <c r="L191" s="1075">
        <v>0.6482</v>
      </c>
      <c r="M191" s="1075">
        <v>0.6482</v>
      </c>
    </row>
    <row r="192" spans="1:13">
      <c r="A192" s="1072">
        <v>8.8000000000000007</v>
      </c>
      <c r="B192" s="1075">
        <v>0.84409999999999996</v>
      </c>
      <c r="C192" s="1075">
        <v>0.84409999999999996</v>
      </c>
      <c r="D192" s="1075">
        <v>0.74370000000000003</v>
      </c>
      <c r="E192" s="1075">
        <v>0.74370000000000003</v>
      </c>
      <c r="F192" s="1075">
        <v>0.74370000000000003</v>
      </c>
      <c r="G192" s="1075">
        <v>0.74370000000000003</v>
      </c>
      <c r="H192" s="1075">
        <v>0.74370000000000003</v>
      </c>
      <c r="I192" s="1075">
        <v>0.64659999999999995</v>
      </c>
      <c r="J192" s="1075">
        <v>0.64659999999999995</v>
      </c>
      <c r="K192" s="1075">
        <v>0.64659999999999995</v>
      </c>
      <c r="L192" s="1075">
        <v>0.64659999999999995</v>
      </c>
      <c r="M192" s="1075">
        <v>0.64659999999999995</v>
      </c>
    </row>
    <row r="193" spans="1:13">
      <c r="A193" s="1072">
        <v>8.9</v>
      </c>
      <c r="B193" s="1075">
        <v>0.84279999999999999</v>
      </c>
      <c r="C193" s="1075">
        <v>0.84279999999999999</v>
      </c>
      <c r="D193" s="1075">
        <v>0.74219999999999997</v>
      </c>
      <c r="E193" s="1075">
        <v>0.74219999999999997</v>
      </c>
      <c r="F193" s="1075">
        <v>0.74219999999999997</v>
      </c>
      <c r="G193" s="1075">
        <v>0.74219999999999997</v>
      </c>
      <c r="H193" s="1075">
        <v>0.74219999999999997</v>
      </c>
      <c r="I193" s="1075">
        <v>0.64500000000000002</v>
      </c>
      <c r="J193" s="1075">
        <v>0.64500000000000002</v>
      </c>
      <c r="K193" s="1075">
        <v>0.64500000000000002</v>
      </c>
      <c r="L193" s="1075">
        <v>0.64500000000000002</v>
      </c>
      <c r="M193" s="1075">
        <v>0.64500000000000002</v>
      </c>
    </row>
    <row r="194" spans="1:13">
      <c r="A194" s="1076">
        <v>9</v>
      </c>
      <c r="B194" s="1075">
        <v>0.84150000000000003</v>
      </c>
      <c r="C194" s="1075">
        <v>0.84150000000000003</v>
      </c>
      <c r="D194" s="1075">
        <v>0.74070000000000003</v>
      </c>
      <c r="E194" s="1075">
        <v>0.74070000000000003</v>
      </c>
      <c r="F194" s="1075">
        <v>0.74070000000000003</v>
      </c>
      <c r="G194" s="1075">
        <v>0.74070000000000003</v>
      </c>
      <c r="H194" s="1075">
        <v>0.74070000000000003</v>
      </c>
      <c r="I194" s="1075">
        <v>0.64349999999999996</v>
      </c>
      <c r="J194" s="1075">
        <v>0.64349999999999996</v>
      </c>
      <c r="K194" s="1075">
        <v>0.64349999999999996</v>
      </c>
      <c r="L194" s="1075">
        <v>0.64349999999999996</v>
      </c>
      <c r="M194" s="1075">
        <v>0.64349999999999996</v>
      </c>
    </row>
    <row r="195" spans="1:13">
      <c r="A195" s="1076">
        <v>9.1</v>
      </c>
      <c r="B195" s="1075">
        <v>0.84019999999999995</v>
      </c>
      <c r="C195" s="1075">
        <v>0.84019999999999995</v>
      </c>
      <c r="D195" s="1075">
        <v>0.73919999999999997</v>
      </c>
      <c r="E195" s="1075">
        <v>0.73919999999999997</v>
      </c>
      <c r="F195" s="1075">
        <v>0.73919999999999997</v>
      </c>
      <c r="G195" s="1075">
        <v>0.73919999999999997</v>
      </c>
      <c r="H195" s="1075">
        <v>0.73919999999999997</v>
      </c>
      <c r="I195" s="1075">
        <v>0.64200000000000002</v>
      </c>
      <c r="J195" s="1075">
        <v>0.64200000000000002</v>
      </c>
      <c r="K195" s="1075">
        <v>0.64200000000000002</v>
      </c>
      <c r="L195" s="1075">
        <v>0.64200000000000002</v>
      </c>
      <c r="M195" s="1075">
        <v>0.64200000000000002</v>
      </c>
    </row>
    <row r="196" spans="1:13">
      <c r="A196" s="1076">
        <v>9.1999999999999993</v>
      </c>
      <c r="B196" s="1075">
        <v>0.83889999999999998</v>
      </c>
      <c r="C196" s="1075">
        <v>0.83889999999999998</v>
      </c>
      <c r="D196" s="1075">
        <v>0.73770000000000002</v>
      </c>
      <c r="E196" s="1075">
        <v>0.73770000000000002</v>
      </c>
      <c r="F196" s="1075">
        <v>0.73770000000000002</v>
      </c>
      <c r="G196" s="1075">
        <v>0.73770000000000002</v>
      </c>
      <c r="H196" s="1075">
        <v>0.73770000000000002</v>
      </c>
      <c r="I196" s="1075">
        <v>0.64059999999999995</v>
      </c>
      <c r="J196" s="1075">
        <v>0.64059999999999995</v>
      </c>
      <c r="K196" s="1075">
        <v>0.64059999999999995</v>
      </c>
      <c r="L196" s="1075">
        <v>0.64059999999999995</v>
      </c>
      <c r="M196" s="1075">
        <v>0.64059999999999995</v>
      </c>
    </row>
    <row r="197" spans="1:13">
      <c r="A197" s="1076">
        <v>9.3000000000000007</v>
      </c>
      <c r="B197" s="1075">
        <v>0.83760000000000001</v>
      </c>
      <c r="C197" s="1075">
        <v>0.83760000000000001</v>
      </c>
      <c r="D197" s="1075">
        <v>0.73629999999999995</v>
      </c>
      <c r="E197" s="1075">
        <v>0.73629999999999995</v>
      </c>
      <c r="F197" s="1075">
        <v>0.73629999999999995</v>
      </c>
      <c r="G197" s="1075">
        <v>0.73629999999999995</v>
      </c>
      <c r="H197" s="1075">
        <v>0.73629999999999995</v>
      </c>
      <c r="I197" s="1075">
        <v>0.63919999999999999</v>
      </c>
      <c r="J197" s="1075">
        <v>0.63919999999999999</v>
      </c>
      <c r="K197" s="1075">
        <v>0.63919999999999999</v>
      </c>
      <c r="L197" s="1075">
        <v>0.63919999999999999</v>
      </c>
      <c r="M197" s="1075">
        <v>0.63919999999999999</v>
      </c>
    </row>
    <row r="198" spans="1:13">
      <c r="A198" s="1076">
        <v>9.4</v>
      </c>
      <c r="B198" s="1075">
        <v>0.83630000000000004</v>
      </c>
      <c r="C198" s="1075">
        <v>0.83630000000000004</v>
      </c>
      <c r="D198" s="1075">
        <v>0.7349</v>
      </c>
      <c r="E198" s="1075">
        <v>0.7349</v>
      </c>
      <c r="F198" s="1075">
        <v>0.7349</v>
      </c>
      <c r="G198" s="1075">
        <v>0.7349</v>
      </c>
      <c r="H198" s="1075">
        <v>0.7349</v>
      </c>
      <c r="I198" s="1075">
        <v>0.63780000000000003</v>
      </c>
      <c r="J198" s="1075">
        <v>0.63780000000000003</v>
      </c>
      <c r="K198" s="1075">
        <v>0.63780000000000003</v>
      </c>
      <c r="L198" s="1075">
        <v>0.63780000000000003</v>
      </c>
      <c r="M198" s="1075">
        <v>0.63780000000000003</v>
      </c>
    </row>
    <row r="199" spans="1:13">
      <c r="A199" s="1076">
        <v>9.5</v>
      </c>
      <c r="B199" s="1075">
        <v>0.83499999999999996</v>
      </c>
      <c r="C199" s="1075">
        <v>0.83499999999999996</v>
      </c>
      <c r="D199" s="1075">
        <v>0.73350000000000004</v>
      </c>
      <c r="E199" s="1075">
        <v>0.73350000000000004</v>
      </c>
      <c r="F199" s="1075">
        <v>0.73350000000000004</v>
      </c>
      <c r="G199" s="1075">
        <v>0.73350000000000004</v>
      </c>
      <c r="H199" s="1075">
        <v>0.73350000000000004</v>
      </c>
      <c r="I199" s="1075">
        <v>0.63639999999999997</v>
      </c>
      <c r="J199" s="1075">
        <v>0.63639999999999997</v>
      </c>
      <c r="K199" s="1075">
        <v>0.63639999999999997</v>
      </c>
      <c r="L199" s="1075">
        <v>0.63639999999999997</v>
      </c>
      <c r="M199" s="1075">
        <v>0.63639999999999997</v>
      </c>
    </row>
    <row r="200" spans="1:13">
      <c r="A200" s="1076">
        <v>9.6</v>
      </c>
      <c r="B200" s="1075">
        <v>0.83379999999999999</v>
      </c>
      <c r="C200" s="1075">
        <v>0.83379999999999999</v>
      </c>
      <c r="D200" s="1075">
        <v>0.73209999999999997</v>
      </c>
      <c r="E200" s="1075">
        <v>0.73209999999999997</v>
      </c>
      <c r="F200" s="1075">
        <v>0.73209999999999997</v>
      </c>
      <c r="G200" s="1075">
        <v>0.73209999999999997</v>
      </c>
      <c r="H200" s="1075">
        <v>0.73209999999999997</v>
      </c>
      <c r="I200" s="1075">
        <v>0.63500000000000001</v>
      </c>
      <c r="J200" s="1075">
        <v>0.63500000000000001</v>
      </c>
      <c r="K200" s="1075">
        <v>0.63500000000000001</v>
      </c>
      <c r="L200" s="1075">
        <v>0.63500000000000001</v>
      </c>
      <c r="M200" s="1075">
        <v>0.63500000000000001</v>
      </c>
    </row>
    <row r="201" spans="1:13">
      <c r="A201" s="1076">
        <v>9.6999999999999993</v>
      </c>
      <c r="B201" s="1075">
        <v>0.83260000000000001</v>
      </c>
      <c r="C201" s="1075">
        <v>0.83260000000000001</v>
      </c>
      <c r="D201" s="1075">
        <v>0.73070000000000002</v>
      </c>
      <c r="E201" s="1075">
        <v>0.73070000000000002</v>
      </c>
      <c r="F201" s="1075">
        <v>0.73070000000000002</v>
      </c>
      <c r="G201" s="1075">
        <v>0.73070000000000002</v>
      </c>
      <c r="H201" s="1075">
        <v>0.73070000000000002</v>
      </c>
      <c r="I201" s="1075">
        <v>0.63360000000000005</v>
      </c>
      <c r="J201" s="1075">
        <v>0.63360000000000005</v>
      </c>
      <c r="K201" s="1075">
        <v>0.63360000000000005</v>
      </c>
      <c r="L201" s="1075">
        <v>0.63360000000000005</v>
      </c>
      <c r="M201" s="1075">
        <v>0.63360000000000005</v>
      </c>
    </row>
    <row r="202" spans="1:13">
      <c r="A202" s="1076">
        <v>9.8000000000000007</v>
      </c>
      <c r="B202" s="1075">
        <v>0.83140000000000003</v>
      </c>
      <c r="C202" s="1075">
        <v>0.83140000000000003</v>
      </c>
      <c r="D202" s="1075">
        <v>0.72929999999999995</v>
      </c>
      <c r="E202" s="1075">
        <v>0.72929999999999995</v>
      </c>
      <c r="F202" s="1075">
        <v>0.72929999999999995</v>
      </c>
      <c r="G202" s="1075">
        <v>0.72929999999999995</v>
      </c>
      <c r="H202" s="1075">
        <v>0.72929999999999995</v>
      </c>
      <c r="I202" s="1075">
        <v>0.63219999999999998</v>
      </c>
      <c r="J202" s="1075">
        <v>0.63219999999999998</v>
      </c>
      <c r="K202" s="1075">
        <v>0.63219999999999998</v>
      </c>
      <c r="L202" s="1075">
        <v>0.63219999999999998</v>
      </c>
      <c r="M202" s="1075">
        <v>0.63219999999999998</v>
      </c>
    </row>
    <row r="203" spans="1:13">
      <c r="A203" s="1076">
        <v>9.9</v>
      </c>
      <c r="B203" s="1075">
        <v>0.83020000000000005</v>
      </c>
      <c r="C203" s="1075">
        <v>0.83020000000000005</v>
      </c>
      <c r="D203" s="1075">
        <v>0.72799999999999998</v>
      </c>
      <c r="E203" s="1075">
        <v>0.72799999999999998</v>
      </c>
      <c r="F203" s="1075">
        <v>0.72799999999999998</v>
      </c>
      <c r="G203" s="1075">
        <v>0.72799999999999998</v>
      </c>
      <c r="H203" s="1075">
        <v>0.72799999999999998</v>
      </c>
      <c r="I203" s="1075">
        <v>0.63080000000000003</v>
      </c>
      <c r="J203" s="1075">
        <v>0.63080000000000003</v>
      </c>
      <c r="K203" s="1075">
        <v>0.63080000000000003</v>
      </c>
      <c r="L203" s="1075">
        <v>0.63080000000000003</v>
      </c>
      <c r="M203" s="1075">
        <v>0.63080000000000003</v>
      </c>
    </row>
    <row r="204" spans="1:13">
      <c r="A204" s="1076">
        <v>10</v>
      </c>
      <c r="B204" s="1075">
        <v>0.82899999999999996</v>
      </c>
      <c r="C204" s="1075">
        <v>0.82899999999999996</v>
      </c>
      <c r="D204" s="1075">
        <v>0.72670000000000001</v>
      </c>
      <c r="E204" s="1075">
        <v>0.72670000000000001</v>
      </c>
      <c r="F204" s="1075">
        <v>0.72670000000000001</v>
      </c>
      <c r="G204" s="1075">
        <v>0.72670000000000001</v>
      </c>
      <c r="H204" s="1075">
        <v>0.72670000000000001</v>
      </c>
      <c r="I204" s="1075">
        <v>0.62939999999999996</v>
      </c>
      <c r="J204" s="1075">
        <v>0.62939999999999996</v>
      </c>
      <c r="K204" s="1075">
        <v>0.62939999999999996</v>
      </c>
      <c r="L204" s="1075">
        <v>0.62939999999999996</v>
      </c>
      <c r="M204" s="1075">
        <v>0.62939999999999996</v>
      </c>
    </row>
    <row r="205" spans="1:13" ht="14.25">
      <c r="A205" s="1070" t="s">
        <v>1001</v>
      </c>
      <c r="B205" s="1071"/>
      <c r="C205" s="1071"/>
      <c r="D205" s="1071"/>
      <c r="E205" s="1071"/>
      <c r="F205" s="1071"/>
      <c r="G205" s="1071"/>
      <c r="H205" s="1071"/>
      <c r="I205" s="1071"/>
      <c r="J205" s="1071"/>
      <c r="K205" s="1071"/>
      <c r="L205" s="1071"/>
      <c r="M205" s="1071"/>
    </row>
    <row r="206" spans="1:13">
      <c r="A206" s="1072" t="s">
        <v>254</v>
      </c>
      <c r="B206" s="1073" t="s">
        <v>49</v>
      </c>
      <c r="C206" s="1073" t="s">
        <v>63</v>
      </c>
      <c r="D206" s="1073" t="s">
        <v>75</v>
      </c>
      <c r="E206" s="1073" t="s">
        <v>87</v>
      </c>
      <c r="F206" s="1073" t="s">
        <v>96</v>
      </c>
      <c r="G206" s="1073" t="s">
        <v>103</v>
      </c>
      <c r="H206" s="1074" t="s">
        <v>108</v>
      </c>
      <c r="I206" s="1074" t="s">
        <v>113</v>
      </c>
      <c r="J206" s="1077" t="s">
        <v>116</v>
      </c>
      <c r="K206" s="1077" t="s">
        <v>118</v>
      </c>
      <c r="L206" s="1077" t="s">
        <v>120</v>
      </c>
      <c r="M206" s="1077" t="s">
        <v>122</v>
      </c>
    </row>
    <row r="207" spans="1:13">
      <c r="A207" s="1072">
        <v>0.1</v>
      </c>
      <c r="B207" s="1075">
        <v>12.172000000000001</v>
      </c>
      <c r="C207" s="1075">
        <v>12.172000000000001</v>
      </c>
      <c r="D207" s="1075">
        <v>12.375999999999999</v>
      </c>
      <c r="E207" s="1075">
        <v>12.375999999999999</v>
      </c>
      <c r="F207" s="1075">
        <v>12.375999999999999</v>
      </c>
      <c r="G207" s="1075">
        <v>12.375999999999999</v>
      </c>
      <c r="H207" s="1075">
        <v>12.375999999999999</v>
      </c>
      <c r="I207" s="1075">
        <v>11.071999999999999</v>
      </c>
      <c r="J207" s="1075">
        <v>11.071999999999999</v>
      </c>
      <c r="K207" s="1075">
        <v>11.071999999999999</v>
      </c>
      <c r="L207" s="1075">
        <v>11.071999999999999</v>
      </c>
      <c r="M207" s="1075">
        <v>11.071999999999999</v>
      </c>
    </row>
    <row r="208" spans="1:13">
      <c r="A208" s="1072">
        <v>0.2</v>
      </c>
      <c r="B208" s="1075">
        <v>6.0860000000000003</v>
      </c>
      <c r="C208" s="1075">
        <v>6.0860000000000003</v>
      </c>
      <c r="D208" s="1075">
        <v>6.1879999999999997</v>
      </c>
      <c r="E208" s="1075">
        <v>6.1879999999999997</v>
      </c>
      <c r="F208" s="1075">
        <v>6.1879999999999997</v>
      </c>
      <c r="G208" s="1075">
        <v>6.1879999999999997</v>
      </c>
      <c r="H208" s="1075">
        <v>6.1879999999999997</v>
      </c>
      <c r="I208" s="1075">
        <v>5.5359999999999996</v>
      </c>
      <c r="J208" s="1075">
        <v>5.5359999999999996</v>
      </c>
      <c r="K208" s="1075">
        <v>5.5359999999999996</v>
      </c>
      <c r="L208" s="1075">
        <v>5.5359999999999996</v>
      </c>
      <c r="M208" s="1075">
        <v>5.5359999999999996</v>
      </c>
    </row>
    <row r="209" spans="1:13">
      <c r="A209" s="1072">
        <v>0.3</v>
      </c>
      <c r="B209" s="1075">
        <v>4.0572999999999997</v>
      </c>
      <c r="C209" s="1075">
        <v>4.0572999999999997</v>
      </c>
      <c r="D209" s="1075">
        <v>4.1253000000000002</v>
      </c>
      <c r="E209" s="1075">
        <v>4.1253000000000002</v>
      </c>
      <c r="F209" s="1075">
        <v>4.1253000000000002</v>
      </c>
      <c r="G209" s="1075">
        <v>4.1253000000000002</v>
      </c>
      <c r="H209" s="1075">
        <v>4.1253000000000002</v>
      </c>
      <c r="I209" s="1075">
        <v>3.6907000000000001</v>
      </c>
      <c r="J209" s="1075">
        <v>3.6907000000000001</v>
      </c>
      <c r="K209" s="1075">
        <v>3.6907000000000001</v>
      </c>
      <c r="L209" s="1075">
        <v>3.6907000000000001</v>
      </c>
      <c r="M209" s="1075">
        <v>3.6907000000000001</v>
      </c>
    </row>
    <row r="210" spans="1:13">
      <c r="A210" s="1072">
        <v>0.4</v>
      </c>
      <c r="B210" s="1075">
        <v>3.0430000000000001</v>
      </c>
      <c r="C210" s="1075">
        <v>3.0430000000000001</v>
      </c>
      <c r="D210" s="1075">
        <v>3.0939999999999999</v>
      </c>
      <c r="E210" s="1075">
        <v>3.0939999999999999</v>
      </c>
      <c r="F210" s="1075">
        <v>3.0939999999999999</v>
      </c>
      <c r="G210" s="1075">
        <v>3.0939999999999999</v>
      </c>
      <c r="H210" s="1075">
        <v>3.0939999999999999</v>
      </c>
      <c r="I210" s="1075">
        <v>2.7679999999999998</v>
      </c>
      <c r="J210" s="1075">
        <v>2.7679999999999998</v>
      </c>
      <c r="K210" s="1075">
        <v>2.7679999999999998</v>
      </c>
      <c r="L210" s="1075">
        <v>2.7679999999999998</v>
      </c>
      <c r="M210" s="1075">
        <v>2.7679999999999998</v>
      </c>
    </row>
    <row r="211" spans="1:13">
      <c r="A211" s="1072">
        <v>0.5</v>
      </c>
      <c r="B211" s="1075">
        <v>2.4344000000000001</v>
      </c>
      <c r="C211" s="1075">
        <v>2.4344000000000001</v>
      </c>
      <c r="D211" s="1075">
        <v>2.4752000000000001</v>
      </c>
      <c r="E211" s="1075">
        <v>2.4752000000000001</v>
      </c>
      <c r="F211" s="1075">
        <v>2.4752000000000001</v>
      </c>
      <c r="G211" s="1075">
        <v>2.4752000000000001</v>
      </c>
      <c r="H211" s="1075">
        <v>2.4752000000000001</v>
      </c>
      <c r="I211" s="1075">
        <v>2.2143999999999999</v>
      </c>
      <c r="J211" s="1075">
        <v>2.2143999999999999</v>
      </c>
      <c r="K211" s="1075">
        <v>2.2143999999999999</v>
      </c>
      <c r="L211" s="1075">
        <v>2.2143999999999999</v>
      </c>
      <c r="M211" s="1075">
        <v>2.2143999999999999</v>
      </c>
    </row>
    <row r="212" spans="1:13">
      <c r="A212" s="1072">
        <v>0.6</v>
      </c>
      <c r="B212" s="1075">
        <v>2.0287000000000002</v>
      </c>
      <c r="C212" s="1075">
        <v>2.0287000000000002</v>
      </c>
      <c r="D212" s="1075">
        <v>2.0627</v>
      </c>
      <c r="E212" s="1075">
        <v>2.0627</v>
      </c>
      <c r="F212" s="1075">
        <v>2.0627</v>
      </c>
      <c r="G212" s="1075">
        <v>2.0627</v>
      </c>
      <c r="H212" s="1075">
        <v>2.0627</v>
      </c>
      <c r="I212" s="1075">
        <v>1.8452999999999999</v>
      </c>
      <c r="J212" s="1075">
        <v>1.8452999999999999</v>
      </c>
      <c r="K212" s="1075">
        <v>1.8452999999999999</v>
      </c>
      <c r="L212" s="1075">
        <v>1.8452999999999999</v>
      </c>
      <c r="M212" s="1075">
        <v>1.8452999999999999</v>
      </c>
    </row>
    <row r="213" spans="1:13">
      <c r="A213" s="1072">
        <v>0.7</v>
      </c>
      <c r="B213" s="1075">
        <v>1.7388999999999999</v>
      </c>
      <c r="C213" s="1075">
        <v>1.7388999999999999</v>
      </c>
      <c r="D213" s="1075">
        <v>1.768</v>
      </c>
      <c r="E213" s="1075">
        <v>1.768</v>
      </c>
      <c r="F213" s="1075">
        <v>1.768</v>
      </c>
      <c r="G213" s="1075">
        <v>1.768</v>
      </c>
      <c r="H213" s="1075">
        <v>1.768</v>
      </c>
      <c r="I213" s="1075">
        <v>1.5817000000000001</v>
      </c>
      <c r="J213" s="1075">
        <v>1.5817000000000001</v>
      </c>
      <c r="K213" s="1075">
        <v>1.5817000000000001</v>
      </c>
      <c r="L213" s="1075">
        <v>1.5817000000000001</v>
      </c>
      <c r="M213" s="1075">
        <v>1.5817000000000001</v>
      </c>
    </row>
    <row r="214" spans="1:13">
      <c r="A214" s="1072">
        <v>0.8</v>
      </c>
      <c r="B214" s="1075">
        <v>1.5215000000000001</v>
      </c>
      <c r="C214" s="1075">
        <v>1.5215000000000001</v>
      </c>
      <c r="D214" s="1075">
        <v>1.5469999999999999</v>
      </c>
      <c r="E214" s="1075">
        <v>1.5469999999999999</v>
      </c>
      <c r="F214" s="1075">
        <v>1.5469999999999999</v>
      </c>
      <c r="G214" s="1075">
        <v>1.5469999999999999</v>
      </c>
      <c r="H214" s="1075">
        <v>1.5469999999999999</v>
      </c>
      <c r="I214" s="1075">
        <v>1.3839999999999999</v>
      </c>
      <c r="J214" s="1075">
        <v>1.3839999999999999</v>
      </c>
      <c r="K214" s="1075">
        <v>1.3839999999999999</v>
      </c>
      <c r="L214" s="1075">
        <v>1.3839999999999999</v>
      </c>
      <c r="M214" s="1075">
        <v>1.3839999999999999</v>
      </c>
    </row>
    <row r="215" spans="1:13">
      <c r="A215" s="1072">
        <v>0.9</v>
      </c>
      <c r="B215" s="1075">
        <v>1.3524</v>
      </c>
      <c r="C215" s="1075">
        <v>1.3524</v>
      </c>
      <c r="D215" s="1075">
        <v>1.3751</v>
      </c>
      <c r="E215" s="1075">
        <v>1.3751</v>
      </c>
      <c r="F215" s="1075">
        <v>1.3751</v>
      </c>
      <c r="G215" s="1075">
        <v>1.3751</v>
      </c>
      <c r="H215" s="1075">
        <v>1.3751</v>
      </c>
      <c r="I215" s="1075">
        <v>1.2302</v>
      </c>
      <c r="J215" s="1075">
        <v>1.2302</v>
      </c>
      <c r="K215" s="1075">
        <v>1.2302</v>
      </c>
      <c r="L215" s="1075">
        <v>1.2302</v>
      </c>
      <c r="M215" s="1075">
        <v>1.2302</v>
      </c>
    </row>
    <row r="216" spans="1:13">
      <c r="A216" s="1072">
        <v>1</v>
      </c>
      <c r="B216" s="1075">
        <v>1.2172000000000001</v>
      </c>
      <c r="C216" s="1075">
        <v>1.2172000000000001</v>
      </c>
      <c r="D216" s="1075">
        <v>1.2376</v>
      </c>
      <c r="E216" s="1075">
        <v>1.2376</v>
      </c>
      <c r="F216" s="1075">
        <v>1.2376</v>
      </c>
      <c r="G216" s="1075">
        <v>1.2376</v>
      </c>
      <c r="H216" s="1075">
        <v>1.2376</v>
      </c>
      <c r="I216" s="1075">
        <v>1.1072</v>
      </c>
      <c r="J216" s="1075">
        <v>1.1072</v>
      </c>
      <c r="K216" s="1075">
        <v>1.1072</v>
      </c>
      <c r="L216" s="1075">
        <v>1.1072</v>
      </c>
      <c r="M216" s="1075">
        <v>1.1072</v>
      </c>
    </row>
    <row r="217" spans="1:13">
      <c r="A217" s="1072">
        <v>1.1000000000000001</v>
      </c>
      <c r="B217" s="1075">
        <v>1.198</v>
      </c>
      <c r="C217" s="1075">
        <v>1.198</v>
      </c>
      <c r="D217" s="1075">
        <v>1.2156</v>
      </c>
      <c r="E217" s="1075">
        <v>1.2156</v>
      </c>
      <c r="F217" s="1075">
        <v>1.2156</v>
      </c>
      <c r="G217" s="1075">
        <v>1.2156</v>
      </c>
      <c r="H217" s="1075">
        <v>1.2156</v>
      </c>
      <c r="I217" s="1075">
        <v>1.0829</v>
      </c>
      <c r="J217" s="1075">
        <v>1.0829</v>
      </c>
      <c r="K217" s="1075">
        <v>1.0829</v>
      </c>
      <c r="L217" s="1075">
        <v>1.0829</v>
      </c>
      <c r="M217" s="1075">
        <v>1.0829</v>
      </c>
    </row>
    <row r="218" spans="1:13">
      <c r="A218" s="1072">
        <v>1.2</v>
      </c>
      <c r="B218" s="1075">
        <v>1.1795</v>
      </c>
      <c r="C218" s="1075">
        <v>1.1795</v>
      </c>
      <c r="D218" s="1075">
        <v>1.1947000000000001</v>
      </c>
      <c r="E218" s="1075">
        <v>1.1947000000000001</v>
      </c>
      <c r="F218" s="1075">
        <v>1.1947000000000001</v>
      </c>
      <c r="G218" s="1075">
        <v>1.1947000000000001</v>
      </c>
      <c r="H218" s="1075">
        <v>1.1947000000000001</v>
      </c>
      <c r="I218" s="1075">
        <v>1.0601</v>
      </c>
      <c r="J218" s="1075">
        <v>1.0601</v>
      </c>
      <c r="K218" s="1075">
        <v>1.0601</v>
      </c>
      <c r="L218" s="1075">
        <v>1.0601</v>
      </c>
      <c r="M218" s="1075">
        <v>1.0601</v>
      </c>
    </row>
    <row r="219" spans="1:13">
      <c r="A219" s="1072">
        <v>1.3</v>
      </c>
      <c r="B219" s="1075">
        <v>1.1617999999999999</v>
      </c>
      <c r="C219" s="1075">
        <v>1.1617999999999999</v>
      </c>
      <c r="D219" s="1075">
        <v>1.1748000000000001</v>
      </c>
      <c r="E219" s="1075">
        <v>1.1748000000000001</v>
      </c>
      <c r="F219" s="1075">
        <v>1.1748000000000001</v>
      </c>
      <c r="G219" s="1075">
        <v>1.1748000000000001</v>
      </c>
      <c r="H219" s="1075">
        <v>1.1748000000000001</v>
      </c>
      <c r="I219" s="1075">
        <v>1.0387999999999999</v>
      </c>
      <c r="J219" s="1075">
        <v>1.0387999999999999</v>
      </c>
      <c r="K219" s="1075">
        <v>1.0387999999999999</v>
      </c>
      <c r="L219" s="1075">
        <v>1.0387999999999999</v>
      </c>
      <c r="M219" s="1075">
        <v>1.0387999999999999</v>
      </c>
    </row>
    <row r="220" spans="1:13">
      <c r="A220" s="1072">
        <v>1.4</v>
      </c>
      <c r="B220" s="1075">
        <v>1.1448</v>
      </c>
      <c r="C220" s="1075">
        <v>1.1448</v>
      </c>
      <c r="D220" s="1075">
        <v>1.1557999999999999</v>
      </c>
      <c r="E220" s="1075">
        <v>1.1557999999999999</v>
      </c>
      <c r="F220" s="1075">
        <v>1.1557999999999999</v>
      </c>
      <c r="G220" s="1075">
        <v>1.1557999999999999</v>
      </c>
      <c r="H220" s="1075">
        <v>1.1557999999999999</v>
      </c>
      <c r="I220" s="1075">
        <v>1.0187999999999999</v>
      </c>
      <c r="J220" s="1075">
        <v>1.0187999999999999</v>
      </c>
      <c r="K220" s="1075">
        <v>1.0187999999999999</v>
      </c>
      <c r="L220" s="1075">
        <v>1.0187999999999999</v>
      </c>
      <c r="M220" s="1075">
        <v>1.0187999999999999</v>
      </c>
    </row>
    <row r="221" spans="1:13">
      <c r="A221" s="1072">
        <v>1.5</v>
      </c>
      <c r="B221" s="1075">
        <v>1.1285000000000001</v>
      </c>
      <c r="C221" s="1075">
        <v>1.1285000000000001</v>
      </c>
      <c r="D221" s="1075">
        <v>1.1377999999999999</v>
      </c>
      <c r="E221" s="1075">
        <v>1.1377999999999999</v>
      </c>
      <c r="F221" s="1075">
        <v>1.1377999999999999</v>
      </c>
      <c r="G221" s="1075">
        <v>1.1377999999999999</v>
      </c>
      <c r="H221" s="1075">
        <v>1.1377999999999999</v>
      </c>
      <c r="I221" s="1075">
        <v>1</v>
      </c>
      <c r="J221" s="1075">
        <v>1</v>
      </c>
      <c r="K221" s="1075">
        <v>1</v>
      </c>
      <c r="L221" s="1075">
        <v>1</v>
      </c>
      <c r="M221" s="1075">
        <v>1</v>
      </c>
    </row>
    <row r="222" spans="1:13">
      <c r="A222" s="1072">
        <v>1.6</v>
      </c>
      <c r="B222" s="1075">
        <v>1.1129</v>
      </c>
      <c r="C222" s="1075">
        <v>1.1129</v>
      </c>
      <c r="D222" s="1075">
        <v>1.1206</v>
      </c>
      <c r="E222" s="1075">
        <v>1.1206</v>
      </c>
      <c r="F222" s="1075">
        <v>1.1206</v>
      </c>
      <c r="G222" s="1075">
        <v>1.1206</v>
      </c>
      <c r="H222" s="1075">
        <v>1.1206</v>
      </c>
      <c r="I222" s="1075">
        <v>0.98240000000000005</v>
      </c>
      <c r="J222" s="1075">
        <v>0.98240000000000005</v>
      </c>
      <c r="K222" s="1075">
        <v>0.98240000000000005</v>
      </c>
      <c r="L222" s="1075">
        <v>0.98240000000000005</v>
      </c>
      <c r="M222" s="1075">
        <v>0.98240000000000005</v>
      </c>
    </row>
    <row r="223" spans="1:13">
      <c r="A223" s="1072">
        <v>1.7</v>
      </c>
      <c r="B223" s="1075">
        <v>1.0980000000000001</v>
      </c>
      <c r="C223" s="1075">
        <v>1.0980000000000001</v>
      </c>
      <c r="D223" s="1075">
        <v>1.1043000000000001</v>
      </c>
      <c r="E223" s="1075">
        <v>1.1043000000000001</v>
      </c>
      <c r="F223" s="1075">
        <v>1.1043000000000001</v>
      </c>
      <c r="G223" s="1075">
        <v>1.1043000000000001</v>
      </c>
      <c r="H223" s="1075">
        <v>1.1043000000000001</v>
      </c>
      <c r="I223" s="1075">
        <v>0.96579999999999999</v>
      </c>
      <c r="J223" s="1075">
        <v>0.96579999999999999</v>
      </c>
      <c r="K223" s="1075">
        <v>0.96579999999999999</v>
      </c>
      <c r="L223" s="1075">
        <v>0.96579999999999999</v>
      </c>
      <c r="M223" s="1075">
        <v>0.96579999999999999</v>
      </c>
    </row>
    <row r="224" spans="1:13">
      <c r="A224" s="1072">
        <v>1.8</v>
      </c>
      <c r="B224" s="1075">
        <v>1.0835999999999999</v>
      </c>
      <c r="C224" s="1075">
        <v>1.0835999999999999</v>
      </c>
      <c r="D224" s="1075">
        <v>1.0888</v>
      </c>
      <c r="E224" s="1075">
        <v>1.0888</v>
      </c>
      <c r="F224" s="1075">
        <v>1.0888</v>
      </c>
      <c r="G224" s="1075">
        <v>1.0888</v>
      </c>
      <c r="H224" s="1075">
        <v>1.0888</v>
      </c>
      <c r="I224" s="1075">
        <v>0.95030000000000003</v>
      </c>
      <c r="J224" s="1075">
        <v>0.95030000000000003</v>
      </c>
      <c r="K224" s="1075">
        <v>0.95030000000000003</v>
      </c>
      <c r="L224" s="1075">
        <v>0.95030000000000003</v>
      </c>
      <c r="M224" s="1075">
        <v>0.95030000000000003</v>
      </c>
    </row>
    <row r="225" spans="1:13">
      <c r="A225" s="1072">
        <v>1.9</v>
      </c>
      <c r="B225" s="1075">
        <v>1.0698000000000001</v>
      </c>
      <c r="C225" s="1075">
        <v>1.0698000000000001</v>
      </c>
      <c r="D225" s="1075">
        <v>1.0741000000000001</v>
      </c>
      <c r="E225" s="1075">
        <v>1.0741000000000001</v>
      </c>
      <c r="F225" s="1075">
        <v>1.0741000000000001</v>
      </c>
      <c r="G225" s="1075">
        <v>1.0741000000000001</v>
      </c>
      <c r="H225" s="1075">
        <v>1.0741000000000001</v>
      </c>
      <c r="I225" s="1075">
        <v>0.93610000000000004</v>
      </c>
      <c r="J225" s="1075">
        <v>0.93610000000000004</v>
      </c>
      <c r="K225" s="1075">
        <v>0.93610000000000004</v>
      </c>
      <c r="L225" s="1075">
        <v>0.93610000000000004</v>
      </c>
      <c r="M225" s="1075">
        <v>0.93610000000000004</v>
      </c>
    </row>
    <row r="226" spans="1:13">
      <c r="A226" s="1072">
        <v>2</v>
      </c>
      <c r="B226" s="1075">
        <v>1.0568</v>
      </c>
      <c r="C226" s="1075">
        <v>1.0568</v>
      </c>
      <c r="D226" s="1075">
        <v>1.0601</v>
      </c>
      <c r="E226" s="1075">
        <v>1.0601</v>
      </c>
      <c r="F226" s="1075">
        <v>1.0601</v>
      </c>
      <c r="G226" s="1075">
        <v>1.0601</v>
      </c>
      <c r="H226" s="1075">
        <v>1.0601</v>
      </c>
      <c r="I226" s="1075">
        <v>0.9224</v>
      </c>
      <c r="J226" s="1075">
        <v>0.9224</v>
      </c>
      <c r="K226" s="1075">
        <v>0.9224</v>
      </c>
      <c r="L226" s="1075">
        <v>0.9224</v>
      </c>
      <c r="M226" s="1075">
        <v>0.9224</v>
      </c>
    </row>
    <row r="227" spans="1:13">
      <c r="A227" s="1076">
        <v>2.1</v>
      </c>
      <c r="B227" s="1075">
        <v>1.0443</v>
      </c>
      <c r="C227" s="1075">
        <v>1.0443</v>
      </c>
      <c r="D227" s="1075">
        <v>1.0468</v>
      </c>
      <c r="E227" s="1075">
        <v>1.0468</v>
      </c>
      <c r="F227" s="1075">
        <v>1.0468</v>
      </c>
      <c r="G227" s="1075">
        <v>1.0468</v>
      </c>
      <c r="H227" s="1075">
        <v>1.0468</v>
      </c>
      <c r="I227" s="1075">
        <v>0.90959999999999996</v>
      </c>
      <c r="J227" s="1075">
        <v>0.90959999999999996</v>
      </c>
      <c r="K227" s="1075">
        <v>0.90959999999999996</v>
      </c>
      <c r="L227" s="1075">
        <v>0.90959999999999996</v>
      </c>
      <c r="M227" s="1075">
        <v>0.90959999999999996</v>
      </c>
    </row>
    <row r="228" spans="1:13">
      <c r="A228" s="1076">
        <v>2.2000000000000002</v>
      </c>
      <c r="B228" s="1075">
        <v>1.0325</v>
      </c>
      <c r="C228" s="1075">
        <v>1.0325</v>
      </c>
      <c r="D228" s="1075">
        <v>1.0342</v>
      </c>
      <c r="E228" s="1075">
        <v>1.0342</v>
      </c>
      <c r="F228" s="1075">
        <v>1.0342</v>
      </c>
      <c r="G228" s="1075">
        <v>1.0342</v>
      </c>
      <c r="H228" s="1075">
        <v>1.0342</v>
      </c>
      <c r="I228" s="1075">
        <v>0.89749999999999996</v>
      </c>
      <c r="J228" s="1075">
        <v>0.89749999999999996</v>
      </c>
      <c r="K228" s="1075">
        <v>0.89749999999999996</v>
      </c>
      <c r="L228" s="1075">
        <v>0.89749999999999996</v>
      </c>
      <c r="M228" s="1075">
        <v>0.89749999999999996</v>
      </c>
    </row>
    <row r="229" spans="1:13">
      <c r="A229" s="1076">
        <v>2.2999999999999998</v>
      </c>
      <c r="B229" s="1075">
        <v>1.0209999999999999</v>
      </c>
      <c r="C229" s="1075">
        <v>1.0209999999999999</v>
      </c>
      <c r="D229" s="1075">
        <v>1.0222</v>
      </c>
      <c r="E229" s="1075">
        <v>1.0222</v>
      </c>
      <c r="F229" s="1075">
        <v>1.0222</v>
      </c>
      <c r="G229" s="1075">
        <v>1.0222</v>
      </c>
      <c r="H229" s="1075">
        <v>1.0222</v>
      </c>
      <c r="I229" s="1075">
        <v>0.88619999999999999</v>
      </c>
      <c r="J229" s="1075">
        <v>0.88619999999999999</v>
      </c>
      <c r="K229" s="1075">
        <v>0.88619999999999999</v>
      </c>
      <c r="L229" s="1075">
        <v>0.88619999999999999</v>
      </c>
      <c r="M229" s="1075">
        <v>0.88619999999999999</v>
      </c>
    </row>
    <row r="230" spans="1:13">
      <c r="A230" s="1076">
        <v>2.4</v>
      </c>
      <c r="B230" s="1075">
        <v>1.0102</v>
      </c>
      <c r="C230" s="1075">
        <v>1.0102</v>
      </c>
      <c r="D230" s="1075">
        <v>1.0107999999999999</v>
      </c>
      <c r="E230" s="1075">
        <v>1.0107999999999999</v>
      </c>
      <c r="F230" s="1075">
        <v>1.0107999999999999</v>
      </c>
      <c r="G230" s="1075">
        <v>1.0107999999999999</v>
      </c>
      <c r="H230" s="1075">
        <v>1.0107999999999999</v>
      </c>
      <c r="I230" s="1075">
        <v>0.87529999999999997</v>
      </c>
      <c r="J230" s="1075">
        <v>0.87529999999999997</v>
      </c>
      <c r="K230" s="1075">
        <v>0.87529999999999997</v>
      </c>
      <c r="L230" s="1075">
        <v>0.87529999999999997</v>
      </c>
      <c r="M230" s="1075">
        <v>0.87529999999999997</v>
      </c>
    </row>
    <row r="231" spans="1:13">
      <c r="A231" s="1076">
        <v>2.5</v>
      </c>
      <c r="B231" s="1075">
        <v>1</v>
      </c>
      <c r="C231" s="1075">
        <v>1</v>
      </c>
      <c r="D231" s="1075">
        <v>1</v>
      </c>
      <c r="E231" s="1075">
        <v>1</v>
      </c>
      <c r="F231" s="1075">
        <v>1</v>
      </c>
      <c r="G231" s="1075">
        <v>1</v>
      </c>
      <c r="H231" s="1075">
        <v>1</v>
      </c>
      <c r="I231" s="1075">
        <v>0.86509999999999998</v>
      </c>
      <c r="J231" s="1075">
        <v>0.86509999999999998</v>
      </c>
      <c r="K231" s="1075">
        <v>0.86509999999999998</v>
      </c>
      <c r="L231" s="1075">
        <v>0.86509999999999998</v>
      </c>
      <c r="M231" s="1075">
        <v>0.86509999999999998</v>
      </c>
    </row>
    <row r="232" spans="1:13">
      <c r="A232" s="1076">
        <v>2.6</v>
      </c>
      <c r="B232" s="1075">
        <v>0.99029999999999996</v>
      </c>
      <c r="C232" s="1075">
        <v>0.99029999999999996</v>
      </c>
      <c r="D232" s="1075">
        <v>0.98970000000000002</v>
      </c>
      <c r="E232" s="1075">
        <v>0.98970000000000002</v>
      </c>
      <c r="F232" s="1075">
        <v>0.98970000000000002</v>
      </c>
      <c r="G232" s="1075">
        <v>0.98970000000000002</v>
      </c>
      <c r="H232" s="1075">
        <v>0.98970000000000002</v>
      </c>
      <c r="I232" s="1075">
        <v>0.85529999999999995</v>
      </c>
      <c r="J232" s="1075">
        <v>0.85529999999999995</v>
      </c>
      <c r="K232" s="1075">
        <v>0.85529999999999995</v>
      </c>
      <c r="L232" s="1075">
        <v>0.85529999999999995</v>
      </c>
      <c r="M232" s="1075">
        <v>0.85529999999999995</v>
      </c>
    </row>
    <row r="233" spans="1:13">
      <c r="A233" s="1076">
        <v>2.7</v>
      </c>
      <c r="B233" s="1075">
        <v>0.98109999999999997</v>
      </c>
      <c r="C233" s="1075">
        <v>0.98109999999999997</v>
      </c>
      <c r="D233" s="1075">
        <v>0.97989999999999999</v>
      </c>
      <c r="E233" s="1075">
        <v>0.97989999999999999</v>
      </c>
      <c r="F233" s="1075">
        <v>0.97989999999999999</v>
      </c>
      <c r="G233" s="1075">
        <v>0.97989999999999999</v>
      </c>
      <c r="H233" s="1075">
        <v>0.97989999999999999</v>
      </c>
      <c r="I233" s="1075">
        <v>0.84599999999999997</v>
      </c>
      <c r="J233" s="1075">
        <v>0.84599999999999997</v>
      </c>
      <c r="K233" s="1075">
        <v>0.84599999999999997</v>
      </c>
      <c r="L233" s="1075">
        <v>0.84599999999999997</v>
      </c>
      <c r="M233" s="1075">
        <v>0.84599999999999997</v>
      </c>
    </row>
    <row r="234" spans="1:13">
      <c r="A234" s="1076">
        <v>2.8</v>
      </c>
      <c r="B234" s="1075">
        <v>0.97240000000000004</v>
      </c>
      <c r="C234" s="1075">
        <v>0.97240000000000004</v>
      </c>
      <c r="D234" s="1075">
        <v>0.97060000000000002</v>
      </c>
      <c r="E234" s="1075">
        <v>0.97060000000000002</v>
      </c>
      <c r="F234" s="1075">
        <v>0.97060000000000002</v>
      </c>
      <c r="G234" s="1075">
        <v>0.97060000000000002</v>
      </c>
      <c r="H234" s="1075">
        <v>0.97060000000000002</v>
      </c>
      <c r="I234" s="1075">
        <v>0.83709999999999996</v>
      </c>
      <c r="J234" s="1075">
        <v>0.83709999999999996</v>
      </c>
      <c r="K234" s="1075">
        <v>0.83709999999999996</v>
      </c>
      <c r="L234" s="1075">
        <v>0.83709999999999996</v>
      </c>
      <c r="M234" s="1075">
        <v>0.83709999999999996</v>
      </c>
    </row>
    <row r="235" spans="1:13">
      <c r="A235" s="1076">
        <v>2.9</v>
      </c>
      <c r="B235" s="1075">
        <v>0.96419999999999995</v>
      </c>
      <c r="C235" s="1075">
        <v>0.96419999999999995</v>
      </c>
      <c r="D235" s="1075">
        <v>0.96179999999999999</v>
      </c>
      <c r="E235" s="1075">
        <v>0.96179999999999999</v>
      </c>
      <c r="F235" s="1075">
        <v>0.96179999999999999</v>
      </c>
      <c r="G235" s="1075">
        <v>0.96179999999999999</v>
      </c>
      <c r="H235" s="1075">
        <v>0.96179999999999999</v>
      </c>
      <c r="I235" s="1075">
        <v>0.82850000000000001</v>
      </c>
      <c r="J235" s="1075">
        <v>0.82850000000000001</v>
      </c>
      <c r="K235" s="1075">
        <v>0.82850000000000001</v>
      </c>
      <c r="L235" s="1075">
        <v>0.82850000000000001</v>
      </c>
      <c r="M235" s="1075">
        <v>0.82850000000000001</v>
      </c>
    </row>
    <row r="236" spans="1:13">
      <c r="A236" s="1076">
        <v>3</v>
      </c>
      <c r="B236" s="1075">
        <v>0.95640000000000003</v>
      </c>
      <c r="C236" s="1075">
        <v>0.95640000000000003</v>
      </c>
      <c r="D236" s="1075">
        <v>0.95340000000000003</v>
      </c>
      <c r="E236" s="1075">
        <v>0.95340000000000003</v>
      </c>
      <c r="F236" s="1075">
        <v>0.95340000000000003</v>
      </c>
      <c r="G236" s="1075">
        <v>0.95340000000000003</v>
      </c>
      <c r="H236" s="1075">
        <v>0.95340000000000003</v>
      </c>
      <c r="I236" s="1075">
        <v>0.82040000000000002</v>
      </c>
      <c r="J236" s="1075">
        <v>0.82040000000000002</v>
      </c>
      <c r="K236" s="1075">
        <v>0.82040000000000002</v>
      </c>
      <c r="L236" s="1075">
        <v>0.82040000000000002</v>
      </c>
      <c r="M236" s="1075">
        <v>0.82040000000000002</v>
      </c>
    </row>
    <row r="237" spans="1:13">
      <c r="A237" s="1076">
        <v>3.1</v>
      </c>
      <c r="B237" s="1075">
        <v>0.94899999999999995</v>
      </c>
      <c r="C237" s="1075">
        <v>0.94899999999999995</v>
      </c>
      <c r="D237" s="1075">
        <v>0.94550000000000001</v>
      </c>
      <c r="E237" s="1075">
        <v>0.94550000000000001</v>
      </c>
      <c r="F237" s="1075">
        <v>0.94550000000000001</v>
      </c>
      <c r="G237" s="1075">
        <v>0.94550000000000001</v>
      </c>
      <c r="H237" s="1075">
        <v>0.94550000000000001</v>
      </c>
      <c r="I237" s="1075">
        <v>0.81259999999999999</v>
      </c>
      <c r="J237" s="1075">
        <v>0.81259999999999999</v>
      </c>
      <c r="K237" s="1075">
        <v>0.81259999999999999</v>
      </c>
      <c r="L237" s="1075">
        <v>0.81259999999999999</v>
      </c>
      <c r="M237" s="1075">
        <v>0.81259999999999999</v>
      </c>
    </row>
    <row r="238" spans="1:13">
      <c r="A238" s="1076">
        <v>3.2</v>
      </c>
      <c r="B238" s="1075">
        <v>0.94199999999999995</v>
      </c>
      <c r="C238" s="1075">
        <v>0.94199999999999995</v>
      </c>
      <c r="D238" s="1075">
        <v>0.93789999999999996</v>
      </c>
      <c r="E238" s="1075">
        <v>0.93789999999999996</v>
      </c>
      <c r="F238" s="1075">
        <v>0.93789999999999996</v>
      </c>
      <c r="G238" s="1075">
        <v>0.93789999999999996</v>
      </c>
      <c r="H238" s="1075">
        <v>0.93789999999999996</v>
      </c>
      <c r="I238" s="1075">
        <v>0.80530000000000002</v>
      </c>
      <c r="J238" s="1075">
        <v>0.80530000000000002</v>
      </c>
      <c r="K238" s="1075">
        <v>0.80530000000000002</v>
      </c>
      <c r="L238" s="1075">
        <v>0.80530000000000002</v>
      </c>
      <c r="M238" s="1075">
        <v>0.80530000000000002</v>
      </c>
    </row>
    <row r="239" spans="1:13">
      <c r="A239" s="1076">
        <v>3.3</v>
      </c>
      <c r="B239" s="1075">
        <v>0.93540000000000001</v>
      </c>
      <c r="C239" s="1075">
        <v>0.93540000000000001</v>
      </c>
      <c r="D239" s="1075">
        <v>0.93069999999999997</v>
      </c>
      <c r="E239" s="1075">
        <v>0.93069999999999997</v>
      </c>
      <c r="F239" s="1075">
        <v>0.93069999999999997</v>
      </c>
      <c r="G239" s="1075">
        <v>0.93069999999999997</v>
      </c>
      <c r="H239" s="1075">
        <v>0.93069999999999997</v>
      </c>
      <c r="I239" s="1075">
        <v>0.79820000000000002</v>
      </c>
      <c r="J239" s="1075">
        <v>0.79820000000000002</v>
      </c>
      <c r="K239" s="1075">
        <v>0.79820000000000002</v>
      </c>
      <c r="L239" s="1075">
        <v>0.79820000000000002</v>
      </c>
      <c r="M239" s="1075">
        <v>0.79820000000000002</v>
      </c>
    </row>
    <row r="240" spans="1:13">
      <c r="A240" s="1076">
        <v>3.4</v>
      </c>
      <c r="B240" s="1075">
        <v>0.92920000000000003</v>
      </c>
      <c r="C240" s="1075">
        <v>0.92920000000000003</v>
      </c>
      <c r="D240" s="1075">
        <v>0.92390000000000005</v>
      </c>
      <c r="E240" s="1075">
        <v>0.92390000000000005</v>
      </c>
      <c r="F240" s="1075">
        <v>0.92390000000000005</v>
      </c>
      <c r="G240" s="1075">
        <v>0.92390000000000005</v>
      </c>
      <c r="H240" s="1075">
        <v>0.92390000000000005</v>
      </c>
      <c r="I240" s="1075">
        <v>0.79139999999999999</v>
      </c>
      <c r="J240" s="1075">
        <v>0.79139999999999999</v>
      </c>
      <c r="K240" s="1075">
        <v>0.79139999999999999</v>
      </c>
      <c r="L240" s="1075">
        <v>0.79139999999999999</v>
      </c>
      <c r="M240" s="1075">
        <v>0.79139999999999999</v>
      </c>
    </row>
    <row r="241" spans="1:13">
      <c r="A241" s="1076">
        <v>3.5</v>
      </c>
      <c r="B241" s="1075">
        <v>0.9234</v>
      </c>
      <c r="C241" s="1075">
        <v>0.9234</v>
      </c>
      <c r="D241" s="1075">
        <v>0.91749999999999998</v>
      </c>
      <c r="E241" s="1075">
        <v>0.91749999999999998</v>
      </c>
      <c r="F241" s="1075">
        <v>0.91749999999999998</v>
      </c>
      <c r="G241" s="1075">
        <v>0.91749999999999998</v>
      </c>
      <c r="H241" s="1075">
        <v>0.91749999999999998</v>
      </c>
      <c r="I241" s="1075">
        <v>0.78490000000000004</v>
      </c>
      <c r="J241" s="1075">
        <v>0.78490000000000004</v>
      </c>
      <c r="K241" s="1075">
        <v>0.78490000000000004</v>
      </c>
      <c r="L241" s="1075">
        <v>0.78490000000000004</v>
      </c>
      <c r="M241" s="1075">
        <v>0.78490000000000004</v>
      </c>
    </row>
    <row r="242" spans="1:13">
      <c r="A242" s="1076">
        <v>3.6</v>
      </c>
      <c r="B242" s="1075">
        <v>0.91790000000000005</v>
      </c>
      <c r="C242" s="1075">
        <v>0.91790000000000005</v>
      </c>
      <c r="D242" s="1075">
        <v>0.91139999999999999</v>
      </c>
      <c r="E242" s="1075">
        <v>0.91139999999999999</v>
      </c>
      <c r="F242" s="1075">
        <v>0.91139999999999999</v>
      </c>
      <c r="G242" s="1075">
        <v>0.91139999999999999</v>
      </c>
      <c r="H242" s="1075">
        <v>0.91139999999999999</v>
      </c>
      <c r="I242" s="1075">
        <v>0.77880000000000005</v>
      </c>
      <c r="J242" s="1075">
        <v>0.77880000000000005</v>
      </c>
      <c r="K242" s="1075">
        <v>0.77880000000000005</v>
      </c>
      <c r="L242" s="1075">
        <v>0.77880000000000005</v>
      </c>
      <c r="M242" s="1075">
        <v>0.77880000000000005</v>
      </c>
    </row>
    <row r="243" spans="1:13">
      <c r="A243" s="1076">
        <v>3.7</v>
      </c>
      <c r="B243" s="1075">
        <v>0.91269999999999996</v>
      </c>
      <c r="C243" s="1075">
        <v>0.91269999999999996</v>
      </c>
      <c r="D243" s="1075">
        <v>0.90559999999999996</v>
      </c>
      <c r="E243" s="1075">
        <v>0.90559999999999996</v>
      </c>
      <c r="F243" s="1075">
        <v>0.90559999999999996</v>
      </c>
      <c r="G243" s="1075">
        <v>0.90559999999999996</v>
      </c>
      <c r="H243" s="1075">
        <v>0.90559999999999996</v>
      </c>
      <c r="I243" s="1075">
        <v>0.77300000000000002</v>
      </c>
      <c r="J243" s="1075">
        <v>0.77300000000000002</v>
      </c>
      <c r="K243" s="1075">
        <v>0.77300000000000002</v>
      </c>
      <c r="L243" s="1075">
        <v>0.77300000000000002</v>
      </c>
      <c r="M243" s="1075">
        <v>0.77300000000000002</v>
      </c>
    </row>
    <row r="244" spans="1:13">
      <c r="A244" s="1076">
        <v>3.8</v>
      </c>
      <c r="B244" s="1075">
        <v>0.90780000000000005</v>
      </c>
      <c r="C244" s="1075">
        <v>0.90780000000000005</v>
      </c>
      <c r="D244" s="1075">
        <v>0.90010000000000001</v>
      </c>
      <c r="E244" s="1075">
        <v>0.90010000000000001</v>
      </c>
      <c r="F244" s="1075">
        <v>0.90010000000000001</v>
      </c>
      <c r="G244" s="1075">
        <v>0.90010000000000001</v>
      </c>
      <c r="H244" s="1075">
        <v>0.90010000000000001</v>
      </c>
      <c r="I244" s="1075">
        <v>0.76739999999999997</v>
      </c>
      <c r="J244" s="1075">
        <v>0.76739999999999997</v>
      </c>
      <c r="K244" s="1075">
        <v>0.76739999999999997</v>
      </c>
      <c r="L244" s="1075">
        <v>0.76739999999999997</v>
      </c>
      <c r="M244" s="1075">
        <v>0.76739999999999997</v>
      </c>
    </row>
    <row r="245" spans="1:13">
      <c r="A245" s="1076">
        <v>3.9</v>
      </c>
      <c r="B245" s="1075">
        <v>0.9032</v>
      </c>
      <c r="C245" s="1075">
        <v>0.9032</v>
      </c>
      <c r="D245" s="1075">
        <v>0.89490000000000003</v>
      </c>
      <c r="E245" s="1075">
        <v>0.89490000000000003</v>
      </c>
      <c r="F245" s="1075">
        <v>0.89490000000000003</v>
      </c>
      <c r="G245" s="1075">
        <v>0.89490000000000003</v>
      </c>
      <c r="H245" s="1075">
        <v>0.89490000000000003</v>
      </c>
      <c r="I245" s="1075">
        <v>0.7621</v>
      </c>
      <c r="J245" s="1075">
        <v>0.7621</v>
      </c>
      <c r="K245" s="1075">
        <v>0.7621</v>
      </c>
      <c r="L245" s="1075">
        <v>0.7621</v>
      </c>
      <c r="M245" s="1075">
        <v>0.7621</v>
      </c>
    </row>
    <row r="246" spans="1:13">
      <c r="A246" s="1076">
        <v>4</v>
      </c>
      <c r="B246" s="1075">
        <v>0.89890000000000003</v>
      </c>
      <c r="C246" s="1075">
        <v>0.89890000000000003</v>
      </c>
      <c r="D246" s="1075">
        <v>0.89</v>
      </c>
      <c r="E246" s="1075">
        <v>0.89</v>
      </c>
      <c r="F246" s="1075">
        <v>0.89</v>
      </c>
      <c r="G246" s="1075">
        <v>0.89</v>
      </c>
      <c r="H246" s="1075">
        <v>0.89</v>
      </c>
      <c r="I246" s="1075">
        <v>0.7571</v>
      </c>
      <c r="J246" s="1075">
        <v>0.7571</v>
      </c>
      <c r="K246" s="1075">
        <v>0.7571</v>
      </c>
      <c r="L246" s="1075">
        <v>0.7571</v>
      </c>
      <c r="M246" s="1075">
        <v>0.7571</v>
      </c>
    </row>
    <row r="247" spans="1:13">
      <c r="A247" s="1076">
        <v>4.0999999999999996</v>
      </c>
      <c r="B247" s="1075">
        <v>0.89480000000000004</v>
      </c>
      <c r="C247" s="1075">
        <v>0.89480000000000004</v>
      </c>
      <c r="D247" s="1075">
        <v>0.88539999999999996</v>
      </c>
      <c r="E247" s="1075">
        <v>0.88539999999999996</v>
      </c>
      <c r="F247" s="1075">
        <v>0.88539999999999996</v>
      </c>
      <c r="G247" s="1075">
        <v>0.88539999999999996</v>
      </c>
      <c r="H247" s="1075">
        <v>0.88539999999999996</v>
      </c>
      <c r="I247" s="1075">
        <v>0.75229999999999997</v>
      </c>
      <c r="J247" s="1075">
        <v>0.75229999999999997</v>
      </c>
      <c r="K247" s="1075">
        <v>0.75229999999999997</v>
      </c>
      <c r="L247" s="1075">
        <v>0.75229999999999997</v>
      </c>
      <c r="M247" s="1075">
        <v>0.75229999999999997</v>
      </c>
    </row>
    <row r="248" spans="1:13">
      <c r="A248" s="1076">
        <v>4.2</v>
      </c>
      <c r="B248" s="1075">
        <v>0.89100000000000001</v>
      </c>
      <c r="C248" s="1075">
        <v>0.89100000000000001</v>
      </c>
      <c r="D248" s="1075">
        <v>0.88109999999999999</v>
      </c>
      <c r="E248" s="1075">
        <v>0.88109999999999999</v>
      </c>
      <c r="F248" s="1075">
        <v>0.88109999999999999</v>
      </c>
      <c r="G248" s="1075">
        <v>0.88109999999999999</v>
      </c>
      <c r="H248" s="1075">
        <v>0.88109999999999999</v>
      </c>
      <c r="I248" s="1075">
        <v>0.74780000000000002</v>
      </c>
      <c r="J248" s="1075">
        <v>0.74780000000000002</v>
      </c>
      <c r="K248" s="1075">
        <v>0.74780000000000002</v>
      </c>
      <c r="L248" s="1075">
        <v>0.74780000000000002</v>
      </c>
      <c r="M248" s="1075">
        <v>0.74780000000000002</v>
      </c>
    </row>
    <row r="249" spans="1:13">
      <c r="A249" s="1076">
        <v>4.3</v>
      </c>
      <c r="B249" s="1075">
        <v>0.88739999999999997</v>
      </c>
      <c r="C249" s="1075">
        <v>0.88739999999999997</v>
      </c>
      <c r="D249" s="1075">
        <v>0.877</v>
      </c>
      <c r="E249" s="1075">
        <v>0.877</v>
      </c>
      <c r="F249" s="1075">
        <v>0.877</v>
      </c>
      <c r="G249" s="1075">
        <v>0.877</v>
      </c>
      <c r="H249" s="1075">
        <v>0.877</v>
      </c>
      <c r="I249" s="1075">
        <v>0.74329999999999996</v>
      </c>
      <c r="J249" s="1075">
        <v>0.74329999999999996</v>
      </c>
      <c r="K249" s="1075">
        <v>0.74329999999999996</v>
      </c>
      <c r="L249" s="1075">
        <v>0.74329999999999996</v>
      </c>
      <c r="M249" s="1075">
        <v>0.74329999999999996</v>
      </c>
    </row>
    <row r="250" spans="1:13">
      <c r="A250" s="1076">
        <v>4.4000000000000004</v>
      </c>
      <c r="B250" s="1075">
        <v>0.88400000000000001</v>
      </c>
      <c r="C250" s="1075">
        <v>0.88400000000000001</v>
      </c>
      <c r="D250" s="1075">
        <v>0.87309999999999999</v>
      </c>
      <c r="E250" s="1075">
        <v>0.87309999999999999</v>
      </c>
      <c r="F250" s="1075">
        <v>0.87309999999999999</v>
      </c>
      <c r="G250" s="1075">
        <v>0.87309999999999999</v>
      </c>
      <c r="H250" s="1075">
        <v>0.87309999999999999</v>
      </c>
      <c r="I250" s="1075">
        <v>0.73909999999999998</v>
      </c>
      <c r="J250" s="1075">
        <v>0.73909999999999998</v>
      </c>
      <c r="K250" s="1075">
        <v>0.73909999999999998</v>
      </c>
      <c r="L250" s="1075">
        <v>0.73909999999999998</v>
      </c>
      <c r="M250" s="1075">
        <v>0.73909999999999998</v>
      </c>
    </row>
    <row r="251" spans="1:13">
      <c r="A251" s="1076">
        <v>4.5</v>
      </c>
      <c r="B251" s="1075">
        <v>0.88080000000000003</v>
      </c>
      <c r="C251" s="1075">
        <v>0.88080000000000003</v>
      </c>
      <c r="D251" s="1075">
        <v>0.86939999999999995</v>
      </c>
      <c r="E251" s="1075">
        <v>0.86939999999999995</v>
      </c>
      <c r="F251" s="1075">
        <v>0.86939999999999995</v>
      </c>
      <c r="G251" s="1075">
        <v>0.86939999999999995</v>
      </c>
      <c r="H251" s="1075">
        <v>0.86939999999999995</v>
      </c>
      <c r="I251" s="1075">
        <v>0.73499999999999999</v>
      </c>
      <c r="J251" s="1075">
        <v>0.73499999999999999</v>
      </c>
      <c r="K251" s="1075">
        <v>0.73499999999999999</v>
      </c>
      <c r="L251" s="1075">
        <v>0.73499999999999999</v>
      </c>
      <c r="M251" s="1075">
        <v>0.73499999999999999</v>
      </c>
    </row>
    <row r="252" spans="1:13">
      <c r="A252" s="1076">
        <v>4.5999999999999996</v>
      </c>
      <c r="B252" s="1075">
        <v>0.87780000000000002</v>
      </c>
      <c r="C252" s="1075">
        <v>0.87780000000000002</v>
      </c>
      <c r="D252" s="1075">
        <v>0.8659</v>
      </c>
      <c r="E252" s="1075">
        <v>0.8659</v>
      </c>
      <c r="F252" s="1075">
        <v>0.8659</v>
      </c>
      <c r="G252" s="1075">
        <v>0.8659</v>
      </c>
      <c r="H252" s="1075">
        <v>0.8659</v>
      </c>
      <c r="I252" s="1075">
        <v>0.73109999999999997</v>
      </c>
      <c r="J252" s="1075">
        <v>0.73109999999999997</v>
      </c>
      <c r="K252" s="1075">
        <v>0.73109999999999997</v>
      </c>
      <c r="L252" s="1075">
        <v>0.73109999999999997</v>
      </c>
      <c r="M252" s="1075">
        <v>0.73109999999999997</v>
      </c>
    </row>
    <row r="253" spans="1:13">
      <c r="A253" s="1076">
        <v>4.7</v>
      </c>
      <c r="B253" s="1075">
        <v>0.875</v>
      </c>
      <c r="C253" s="1075">
        <v>0.875</v>
      </c>
      <c r="D253" s="1075">
        <v>0.86260000000000003</v>
      </c>
      <c r="E253" s="1075">
        <v>0.86260000000000003</v>
      </c>
      <c r="F253" s="1075">
        <v>0.86260000000000003</v>
      </c>
      <c r="G253" s="1075">
        <v>0.86260000000000003</v>
      </c>
      <c r="H253" s="1075">
        <v>0.86260000000000003</v>
      </c>
      <c r="I253" s="1075">
        <v>0.72750000000000004</v>
      </c>
      <c r="J253" s="1075">
        <v>0.72750000000000004</v>
      </c>
      <c r="K253" s="1075">
        <v>0.72750000000000004</v>
      </c>
      <c r="L253" s="1075">
        <v>0.72750000000000004</v>
      </c>
      <c r="M253" s="1075">
        <v>0.72750000000000004</v>
      </c>
    </row>
    <row r="254" spans="1:13">
      <c r="A254" s="1076">
        <v>4.8</v>
      </c>
      <c r="B254" s="1075">
        <v>0.87229999999999996</v>
      </c>
      <c r="C254" s="1075">
        <v>0.87229999999999996</v>
      </c>
      <c r="D254" s="1075">
        <v>0.85950000000000004</v>
      </c>
      <c r="E254" s="1075">
        <v>0.85950000000000004</v>
      </c>
      <c r="F254" s="1075">
        <v>0.85950000000000004</v>
      </c>
      <c r="G254" s="1075">
        <v>0.85950000000000004</v>
      </c>
      <c r="H254" s="1075">
        <v>0.85950000000000004</v>
      </c>
      <c r="I254" s="1075">
        <v>0.72399999999999998</v>
      </c>
      <c r="J254" s="1075">
        <v>0.72399999999999998</v>
      </c>
      <c r="K254" s="1075">
        <v>0.72399999999999998</v>
      </c>
      <c r="L254" s="1075">
        <v>0.72399999999999998</v>
      </c>
      <c r="M254" s="1075">
        <v>0.72399999999999998</v>
      </c>
    </row>
    <row r="255" spans="1:13">
      <c r="A255" s="1076">
        <v>4.9000000000000004</v>
      </c>
      <c r="B255" s="1075">
        <v>0.86980000000000002</v>
      </c>
      <c r="C255" s="1075">
        <v>0.86980000000000002</v>
      </c>
      <c r="D255" s="1075">
        <v>0.85660000000000003</v>
      </c>
      <c r="E255" s="1075">
        <v>0.85660000000000003</v>
      </c>
      <c r="F255" s="1075">
        <v>0.85660000000000003</v>
      </c>
      <c r="G255" s="1075">
        <v>0.85660000000000003</v>
      </c>
      <c r="H255" s="1075">
        <v>0.85660000000000003</v>
      </c>
      <c r="I255" s="1075">
        <v>0.7208</v>
      </c>
      <c r="J255" s="1075">
        <v>0.7208</v>
      </c>
      <c r="K255" s="1075">
        <v>0.7208</v>
      </c>
      <c r="L255" s="1075">
        <v>0.7208</v>
      </c>
      <c r="M255" s="1075">
        <v>0.7208</v>
      </c>
    </row>
    <row r="256" spans="1:13">
      <c r="A256" s="1076">
        <v>5</v>
      </c>
      <c r="B256" s="1075">
        <v>0.86739999999999995</v>
      </c>
      <c r="C256" s="1075">
        <v>0.86739999999999995</v>
      </c>
      <c r="D256" s="1075">
        <v>0.8538</v>
      </c>
      <c r="E256" s="1075">
        <v>0.8538</v>
      </c>
      <c r="F256" s="1075">
        <v>0.8538</v>
      </c>
      <c r="G256" s="1075">
        <v>0.8538</v>
      </c>
      <c r="H256" s="1075">
        <v>0.8538</v>
      </c>
      <c r="I256" s="1075">
        <v>0.71760000000000002</v>
      </c>
      <c r="J256" s="1075">
        <v>0.71760000000000002</v>
      </c>
      <c r="K256" s="1075">
        <v>0.71760000000000002</v>
      </c>
      <c r="L256" s="1075">
        <v>0.71760000000000002</v>
      </c>
      <c r="M256" s="1075">
        <v>0.71760000000000002</v>
      </c>
    </row>
    <row r="257" spans="1:13">
      <c r="A257" s="1072">
        <v>5.0999999999999996</v>
      </c>
      <c r="B257" s="1075">
        <v>0.86519999999999997</v>
      </c>
      <c r="C257" s="1075">
        <v>0.86519999999999997</v>
      </c>
      <c r="D257" s="1075">
        <v>0.85109999999999997</v>
      </c>
      <c r="E257" s="1075">
        <v>0.85109999999999997</v>
      </c>
      <c r="F257" s="1075">
        <v>0.85109999999999997</v>
      </c>
      <c r="G257" s="1075">
        <v>0.85109999999999997</v>
      </c>
      <c r="H257" s="1075">
        <v>0.85109999999999997</v>
      </c>
      <c r="I257" s="1075">
        <v>0.7147</v>
      </c>
      <c r="J257" s="1075">
        <v>0.7147</v>
      </c>
      <c r="K257" s="1075">
        <v>0.7147</v>
      </c>
      <c r="L257" s="1075">
        <v>0.7147</v>
      </c>
      <c r="M257" s="1075">
        <v>0.7147</v>
      </c>
    </row>
    <row r="258" spans="1:13">
      <c r="A258" s="1072">
        <v>5.2</v>
      </c>
      <c r="B258" s="1075">
        <v>0.86309999999999998</v>
      </c>
      <c r="C258" s="1075">
        <v>0.86309999999999998</v>
      </c>
      <c r="D258" s="1075">
        <v>0.84860000000000002</v>
      </c>
      <c r="E258" s="1075">
        <v>0.84860000000000002</v>
      </c>
      <c r="F258" s="1075">
        <v>0.84860000000000002</v>
      </c>
      <c r="G258" s="1075">
        <v>0.84860000000000002</v>
      </c>
      <c r="H258" s="1075">
        <v>0.84860000000000002</v>
      </c>
      <c r="I258" s="1075">
        <v>0.71189999999999998</v>
      </c>
      <c r="J258" s="1075">
        <v>0.71189999999999998</v>
      </c>
      <c r="K258" s="1075">
        <v>0.71189999999999998</v>
      </c>
      <c r="L258" s="1075">
        <v>0.71189999999999998</v>
      </c>
      <c r="M258" s="1075">
        <v>0.71189999999999998</v>
      </c>
    </row>
    <row r="259" spans="1:13">
      <c r="A259" s="1072">
        <v>5.3</v>
      </c>
      <c r="B259" s="1075">
        <v>0.86119999999999997</v>
      </c>
      <c r="C259" s="1075">
        <v>0.86119999999999997</v>
      </c>
      <c r="D259" s="1075">
        <v>0.84619999999999995</v>
      </c>
      <c r="E259" s="1075">
        <v>0.84619999999999995</v>
      </c>
      <c r="F259" s="1075">
        <v>0.84619999999999995</v>
      </c>
      <c r="G259" s="1075">
        <v>0.84619999999999995</v>
      </c>
      <c r="H259" s="1075">
        <v>0.84619999999999995</v>
      </c>
      <c r="I259" s="1075">
        <v>0.70909999999999995</v>
      </c>
      <c r="J259" s="1075">
        <v>0.70909999999999995</v>
      </c>
      <c r="K259" s="1075">
        <v>0.70909999999999995</v>
      </c>
      <c r="L259" s="1075">
        <v>0.70909999999999995</v>
      </c>
      <c r="M259" s="1075">
        <v>0.70909999999999995</v>
      </c>
    </row>
    <row r="260" spans="1:13">
      <c r="A260" s="1072">
        <v>5.4</v>
      </c>
      <c r="B260" s="1075">
        <v>0.85940000000000005</v>
      </c>
      <c r="C260" s="1075">
        <v>0.85940000000000005</v>
      </c>
      <c r="D260" s="1075">
        <v>0.84389999999999998</v>
      </c>
      <c r="E260" s="1075">
        <v>0.84389999999999998</v>
      </c>
      <c r="F260" s="1075">
        <v>0.84389999999999998</v>
      </c>
      <c r="G260" s="1075">
        <v>0.84389999999999998</v>
      </c>
      <c r="H260" s="1075">
        <v>0.84389999999999998</v>
      </c>
      <c r="I260" s="1075">
        <v>0.70650000000000002</v>
      </c>
      <c r="J260" s="1075">
        <v>0.70650000000000002</v>
      </c>
      <c r="K260" s="1075">
        <v>0.70650000000000002</v>
      </c>
      <c r="L260" s="1075">
        <v>0.70650000000000002</v>
      </c>
      <c r="M260" s="1075">
        <v>0.70650000000000002</v>
      </c>
    </row>
    <row r="261" spans="1:13">
      <c r="A261" s="1072">
        <v>5.5</v>
      </c>
      <c r="B261" s="1075">
        <v>0.85770000000000002</v>
      </c>
      <c r="C261" s="1075">
        <v>0.85770000000000002</v>
      </c>
      <c r="D261" s="1075">
        <v>0.84179999999999999</v>
      </c>
      <c r="E261" s="1075">
        <v>0.84179999999999999</v>
      </c>
      <c r="F261" s="1075">
        <v>0.84179999999999999</v>
      </c>
      <c r="G261" s="1075">
        <v>0.84179999999999999</v>
      </c>
      <c r="H261" s="1075">
        <v>0.84179999999999999</v>
      </c>
      <c r="I261" s="1075">
        <v>0.70399999999999996</v>
      </c>
      <c r="J261" s="1075">
        <v>0.70399999999999996</v>
      </c>
      <c r="K261" s="1075">
        <v>0.70399999999999996</v>
      </c>
      <c r="L261" s="1075">
        <v>0.70399999999999996</v>
      </c>
      <c r="M261" s="1075">
        <v>0.70399999999999996</v>
      </c>
    </row>
    <row r="262" spans="1:13">
      <c r="A262" s="1072">
        <v>5.6</v>
      </c>
      <c r="B262" s="1075">
        <v>0.85599999999999998</v>
      </c>
      <c r="C262" s="1075">
        <v>0.85599999999999998</v>
      </c>
      <c r="D262" s="1075">
        <v>0.83979999999999999</v>
      </c>
      <c r="E262" s="1075">
        <v>0.83979999999999999</v>
      </c>
      <c r="F262" s="1075">
        <v>0.83979999999999999</v>
      </c>
      <c r="G262" s="1075">
        <v>0.83979999999999999</v>
      </c>
      <c r="H262" s="1075">
        <v>0.83979999999999999</v>
      </c>
      <c r="I262" s="1075">
        <v>0.7016</v>
      </c>
      <c r="J262" s="1075">
        <v>0.7016</v>
      </c>
      <c r="K262" s="1075">
        <v>0.7016</v>
      </c>
      <c r="L262" s="1075">
        <v>0.7016</v>
      </c>
      <c r="M262" s="1075">
        <v>0.7016</v>
      </c>
    </row>
    <row r="263" spans="1:13">
      <c r="A263" s="1076">
        <v>5.7</v>
      </c>
      <c r="B263" s="1075">
        <v>0.85440000000000005</v>
      </c>
      <c r="C263" s="1075">
        <v>0.85440000000000005</v>
      </c>
      <c r="D263" s="1075">
        <v>0.83789999999999998</v>
      </c>
      <c r="E263" s="1075">
        <v>0.83789999999999998</v>
      </c>
      <c r="F263" s="1075">
        <v>0.83789999999999998</v>
      </c>
      <c r="G263" s="1075">
        <v>0.83789999999999998</v>
      </c>
      <c r="H263" s="1075">
        <v>0.83789999999999998</v>
      </c>
      <c r="I263" s="1075">
        <v>0.69940000000000002</v>
      </c>
      <c r="J263" s="1075">
        <v>0.69940000000000002</v>
      </c>
      <c r="K263" s="1075">
        <v>0.69940000000000002</v>
      </c>
      <c r="L263" s="1075">
        <v>0.69940000000000002</v>
      </c>
      <c r="M263" s="1075">
        <v>0.69940000000000002</v>
      </c>
    </row>
    <row r="264" spans="1:13">
      <c r="A264" s="1072">
        <v>5.8</v>
      </c>
      <c r="B264" s="1075">
        <v>0.85289999999999999</v>
      </c>
      <c r="C264" s="1075">
        <v>0.85289999999999999</v>
      </c>
      <c r="D264" s="1075">
        <v>0.83599999999999997</v>
      </c>
      <c r="E264" s="1075">
        <v>0.83599999999999997</v>
      </c>
      <c r="F264" s="1075">
        <v>0.83599999999999997</v>
      </c>
      <c r="G264" s="1075">
        <v>0.83599999999999997</v>
      </c>
      <c r="H264" s="1075">
        <v>0.83599999999999997</v>
      </c>
      <c r="I264" s="1075">
        <v>0.69720000000000004</v>
      </c>
      <c r="J264" s="1075">
        <v>0.69720000000000004</v>
      </c>
      <c r="K264" s="1075">
        <v>0.69720000000000004</v>
      </c>
      <c r="L264" s="1075">
        <v>0.69720000000000004</v>
      </c>
      <c r="M264" s="1075">
        <v>0.69720000000000004</v>
      </c>
    </row>
    <row r="265" spans="1:13">
      <c r="A265" s="1072">
        <v>5.9</v>
      </c>
      <c r="B265" s="1075">
        <v>0.85150000000000003</v>
      </c>
      <c r="C265" s="1075">
        <v>0.85150000000000003</v>
      </c>
      <c r="D265" s="1075">
        <v>0.83430000000000004</v>
      </c>
      <c r="E265" s="1075">
        <v>0.83430000000000004</v>
      </c>
      <c r="F265" s="1075">
        <v>0.83430000000000004</v>
      </c>
      <c r="G265" s="1075">
        <v>0.83430000000000004</v>
      </c>
      <c r="H265" s="1075">
        <v>0.83430000000000004</v>
      </c>
      <c r="I265" s="1075">
        <v>0.69520000000000004</v>
      </c>
      <c r="J265" s="1075">
        <v>0.69520000000000004</v>
      </c>
      <c r="K265" s="1075">
        <v>0.69520000000000004</v>
      </c>
      <c r="L265" s="1075">
        <v>0.69520000000000004</v>
      </c>
      <c r="M265" s="1075">
        <v>0.69520000000000004</v>
      </c>
    </row>
    <row r="266" spans="1:13">
      <c r="A266" s="1072">
        <v>6</v>
      </c>
      <c r="B266" s="1075">
        <v>0.85019999999999996</v>
      </c>
      <c r="C266" s="1075">
        <v>0.85019999999999996</v>
      </c>
      <c r="D266" s="1075">
        <v>0.8327</v>
      </c>
      <c r="E266" s="1075">
        <v>0.8327</v>
      </c>
      <c r="F266" s="1075">
        <v>0.8327</v>
      </c>
      <c r="G266" s="1075">
        <v>0.8327</v>
      </c>
      <c r="H266" s="1075">
        <v>0.8327</v>
      </c>
      <c r="I266" s="1075">
        <v>0.69320000000000004</v>
      </c>
      <c r="J266" s="1075">
        <v>0.69320000000000004</v>
      </c>
      <c r="K266" s="1075">
        <v>0.69320000000000004</v>
      </c>
      <c r="L266" s="1075">
        <v>0.69320000000000004</v>
      </c>
      <c r="M266" s="1075">
        <v>0.69320000000000004</v>
      </c>
    </row>
    <row r="267" spans="1:13">
      <c r="A267" s="1072">
        <v>6.1</v>
      </c>
      <c r="B267" s="1075">
        <v>0.84899999999999998</v>
      </c>
      <c r="C267" s="1075">
        <v>0.84899999999999998</v>
      </c>
      <c r="D267" s="1075">
        <v>0.83109999999999995</v>
      </c>
      <c r="E267" s="1075">
        <v>0.83109999999999995</v>
      </c>
      <c r="F267" s="1075">
        <v>0.83109999999999995</v>
      </c>
      <c r="G267" s="1075">
        <v>0.83109999999999995</v>
      </c>
      <c r="H267" s="1075">
        <v>0.83109999999999995</v>
      </c>
      <c r="I267" s="1075">
        <v>0.69130000000000003</v>
      </c>
      <c r="J267" s="1075">
        <v>0.69130000000000003</v>
      </c>
      <c r="K267" s="1075">
        <v>0.69130000000000003</v>
      </c>
      <c r="L267" s="1075">
        <v>0.69130000000000003</v>
      </c>
      <c r="M267" s="1075">
        <v>0.69130000000000003</v>
      </c>
    </row>
    <row r="268" spans="1:13">
      <c r="A268" s="1072">
        <v>6.2</v>
      </c>
      <c r="B268" s="1075">
        <v>0.8478</v>
      </c>
      <c r="C268" s="1075">
        <v>0.8478</v>
      </c>
      <c r="D268" s="1075">
        <v>0.8296</v>
      </c>
      <c r="E268" s="1075">
        <v>0.8296</v>
      </c>
      <c r="F268" s="1075">
        <v>0.8296</v>
      </c>
      <c r="G268" s="1075">
        <v>0.8296</v>
      </c>
      <c r="H268" s="1075">
        <v>0.8296</v>
      </c>
      <c r="I268" s="1075">
        <v>0.68940000000000001</v>
      </c>
      <c r="J268" s="1075">
        <v>0.68940000000000001</v>
      </c>
      <c r="K268" s="1075">
        <v>0.68940000000000001</v>
      </c>
      <c r="L268" s="1075">
        <v>0.68940000000000001</v>
      </c>
      <c r="M268" s="1075">
        <v>0.68940000000000001</v>
      </c>
    </row>
    <row r="269" spans="1:13">
      <c r="A269" s="1072">
        <v>6.3</v>
      </c>
      <c r="B269" s="1075">
        <v>0.84670000000000001</v>
      </c>
      <c r="C269" s="1075">
        <v>0.84670000000000001</v>
      </c>
      <c r="D269" s="1075">
        <v>0.82820000000000005</v>
      </c>
      <c r="E269" s="1075">
        <v>0.82820000000000005</v>
      </c>
      <c r="F269" s="1075">
        <v>0.82820000000000005</v>
      </c>
      <c r="G269" s="1075">
        <v>0.82820000000000005</v>
      </c>
      <c r="H269" s="1075">
        <v>0.82820000000000005</v>
      </c>
      <c r="I269" s="1075">
        <v>0.68769999999999998</v>
      </c>
      <c r="J269" s="1075">
        <v>0.68769999999999998</v>
      </c>
      <c r="K269" s="1075">
        <v>0.68769999999999998</v>
      </c>
      <c r="L269" s="1075">
        <v>0.68769999999999998</v>
      </c>
      <c r="M269" s="1075">
        <v>0.68769999999999998</v>
      </c>
    </row>
    <row r="270" spans="1:13">
      <c r="A270" s="1072">
        <v>6.4</v>
      </c>
      <c r="B270" s="1075">
        <v>0.84570000000000001</v>
      </c>
      <c r="C270" s="1075">
        <v>0.84570000000000001</v>
      </c>
      <c r="D270" s="1075">
        <v>0.82689999999999997</v>
      </c>
      <c r="E270" s="1075">
        <v>0.82689999999999997</v>
      </c>
      <c r="F270" s="1075">
        <v>0.82689999999999997</v>
      </c>
      <c r="G270" s="1075">
        <v>0.82689999999999997</v>
      </c>
      <c r="H270" s="1075">
        <v>0.82689999999999997</v>
      </c>
      <c r="I270" s="1075">
        <v>0.68610000000000004</v>
      </c>
      <c r="J270" s="1075">
        <v>0.68610000000000004</v>
      </c>
      <c r="K270" s="1075">
        <v>0.68610000000000004</v>
      </c>
      <c r="L270" s="1075">
        <v>0.68610000000000004</v>
      </c>
      <c r="M270" s="1075">
        <v>0.68610000000000004</v>
      </c>
    </row>
    <row r="271" spans="1:13">
      <c r="A271" s="1072">
        <v>6.5</v>
      </c>
      <c r="B271" s="1075">
        <v>0.84470000000000001</v>
      </c>
      <c r="C271" s="1075">
        <v>0.84470000000000001</v>
      </c>
      <c r="D271" s="1075">
        <v>0.82569999999999999</v>
      </c>
      <c r="E271" s="1075">
        <v>0.82569999999999999</v>
      </c>
      <c r="F271" s="1075">
        <v>0.82569999999999999</v>
      </c>
      <c r="G271" s="1075">
        <v>0.82569999999999999</v>
      </c>
      <c r="H271" s="1075">
        <v>0.82569999999999999</v>
      </c>
      <c r="I271" s="1075">
        <v>0.68440000000000001</v>
      </c>
      <c r="J271" s="1075">
        <v>0.68440000000000001</v>
      </c>
      <c r="K271" s="1075">
        <v>0.68440000000000001</v>
      </c>
      <c r="L271" s="1075">
        <v>0.68440000000000001</v>
      </c>
      <c r="M271" s="1075">
        <v>0.68440000000000001</v>
      </c>
    </row>
    <row r="272" spans="1:13">
      <c r="A272" s="1072">
        <v>6.6</v>
      </c>
      <c r="B272" s="1075">
        <v>0.84370000000000001</v>
      </c>
      <c r="C272" s="1075">
        <v>0.84370000000000001</v>
      </c>
      <c r="D272" s="1075">
        <v>0.82450000000000001</v>
      </c>
      <c r="E272" s="1075">
        <v>0.82450000000000001</v>
      </c>
      <c r="F272" s="1075">
        <v>0.82450000000000001</v>
      </c>
      <c r="G272" s="1075">
        <v>0.82450000000000001</v>
      </c>
      <c r="H272" s="1075">
        <v>0.82450000000000001</v>
      </c>
      <c r="I272" s="1075">
        <v>0.68289999999999995</v>
      </c>
      <c r="J272" s="1075">
        <v>0.68289999999999995</v>
      </c>
      <c r="K272" s="1075">
        <v>0.68289999999999995</v>
      </c>
      <c r="L272" s="1075">
        <v>0.68289999999999995</v>
      </c>
      <c r="M272" s="1075">
        <v>0.68289999999999995</v>
      </c>
    </row>
    <row r="273" spans="1:13">
      <c r="A273" s="1072">
        <v>6.7</v>
      </c>
      <c r="B273" s="1075">
        <v>0.8427</v>
      </c>
      <c r="C273" s="1075">
        <v>0.8427</v>
      </c>
      <c r="D273" s="1075">
        <v>0.82330000000000003</v>
      </c>
      <c r="E273" s="1075">
        <v>0.82330000000000003</v>
      </c>
      <c r="F273" s="1075">
        <v>0.82330000000000003</v>
      </c>
      <c r="G273" s="1075">
        <v>0.82330000000000003</v>
      </c>
      <c r="H273" s="1075">
        <v>0.82330000000000003</v>
      </c>
      <c r="I273" s="1075">
        <v>0.68130000000000002</v>
      </c>
      <c r="J273" s="1075">
        <v>0.68130000000000002</v>
      </c>
      <c r="K273" s="1075">
        <v>0.68130000000000002</v>
      </c>
      <c r="L273" s="1075">
        <v>0.68130000000000002</v>
      </c>
      <c r="M273" s="1075">
        <v>0.68130000000000002</v>
      </c>
    </row>
    <row r="274" spans="1:13">
      <c r="A274" s="1072">
        <v>6.8</v>
      </c>
      <c r="B274" s="1075">
        <v>0.84179999999999999</v>
      </c>
      <c r="C274" s="1075">
        <v>0.84179999999999999</v>
      </c>
      <c r="D274" s="1075">
        <v>0.82210000000000005</v>
      </c>
      <c r="E274" s="1075">
        <v>0.82210000000000005</v>
      </c>
      <c r="F274" s="1075">
        <v>0.82210000000000005</v>
      </c>
      <c r="G274" s="1075">
        <v>0.82210000000000005</v>
      </c>
      <c r="H274" s="1075">
        <v>0.82210000000000005</v>
      </c>
      <c r="I274" s="1075">
        <v>0.67979999999999996</v>
      </c>
      <c r="J274" s="1075">
        <v>0.67979999999999996</v>
      </c>
      <c r="K274" s="1075">
        <v>0.67979999999999996</v>
      </c>
      <c r="L274" s="1075">
        <v>0.67979999999999996</v>
      </c>
      <c r="M274" s="1075">
        <v>0.67979999999999996</v>
      </c>
    </row>
    <row r="275" spans="1:13">
      <c r="A275" s="1072">
        <v>6.9</v>
      </c>
      <c r="B275" s="1075">
        <v>0.84089999999999998</v>
      </c>
      <c r="C275" s="1075">
        <v>0.84089999999999998</v>
      </c>
      <c r="D275" s="1075">
        <v>0.82099999999999995</v>
      </c>
      <c r="E275" s="1075">
        <v>0.82099999999999995</v>
      </c>
      <c r="F275" s="1075">
        <v>0.82099999999999995</v>
      </c>
      <c r="G275" s="1075">
        <v>0.82099999999999995</v>
      </c>
      <c r="H275" s="1075">
        <v>0.82099999999999995</v>
      </c>
      <c r="I275" s="1075">
        <v>0.67849999999999999</v>
      </c>
      <c r="J275" s="1075">
        <v>0.67849999999999999</v>
      </c>
      <c r="K275" s="1075">
        <v>0.67849999999999999</v>
      </c>
      <c r="L275" s="1075">
        <v>0.67849999999999999</v>
      </c>
      <c r="M275" s="1075">
        <v>0.67849999999999999</v>
      </c>
    </row>
    <row r="276" spans="1:13">
      <c r="A276" s="1072">
        <v>7</v>
      </c>
      <c r="B276" s="1075">
        <v>0.84009999999999996</v>
      </c>
      <c r="C276" s="1075">
        <v>0.84009999999999996</v>
      </c>
      <c r="D276" s="1075">
        <v>0.81989999999999996</v>
      </c>
      <c r="E276" s="1075">
        <v>0.81989999999999996</v>
      </c>
      <c r="F276" s="1075">
        <v>0.81989999999999996</v>
      </c>
      <c r="G276" s="1075">
        <v>0.81989999999999996</v>
      </c>
      <c r="H276" s="1075">
        <v>0.81989999999999996</v>
      </c>
      <c r="I276" s="1075">
        <v>0.67720000000000002</v>
      </c>
      <c r="J276" s="1075">
        <v>0.67720000000000002</v>
      </c>
      <c r="K276" s="1075">
        <v>0.67720000000000002</v>
      </c>
      <c r="L276" s="1075">
        <v>0.67720000000000002</v>
      </c>
      <c r="M276" s="1075">
        <v>0.67720000000000002</v>
      </c>
    </row>
    <row r="277" spans="1:13">
      <c r="A277" s="1072">
        <v>7.1</v>
      </c>
      <c r="B277" s="1075">
        <v>0.83930000000000005</v>
      </c>
      <c r="C277" s="1075">
        <v>0.83930000000000005</v>
      </c>
      <c r="D277" s="1075">
        <v>0.81889999999999996</v>
      </c>
      <c r="E277" s="1075">
        <v>0.81889999999999996</v>
      </c>
      <c r="F277" s="1075">
        <v>0.81889999999999996</v>
      </c>
      <c r="G277" s="1075">
        <v>0.81889999999999996</v>
      </c>
      <c r="H277" s="1075">
        <v>0.81889999999999996</v>
      </c>
      <c r="I277" s="1075">
        <v>0.67589999999999995</v>
      </c>
      <c r="J277" s="1075">
        <v>0.67589999999999995</v>
      </c>
      <c r="K277" s="1075">
        <v>0.67589999999999995</v>
      </c>
      <c r="L277" s="1075">
        <v>0.67589999999999995</v>
      </c>
      <c r="M277" s="1075">
        <v>0.67589999999999995</v>
      </c>
    </row>
    <row r="278" spans="1:13">
      <c r="A278" s="1072">
        <v>7.2</v>
      </c>
      <c r="B278" s="1075">
        <v>0.83850000000000002</v>
      </c>
      <c r="C278" s="1075">
        <v>0.83850000000000002</v>
      </c>
      <c r="D278" s="1075">
        <v>0.81789999999999996</v>
      </c>
      <c r="E278" s="1075">
        <v>0.81789999999999996</v>
      </c>
      <c r="F278" s="1075">
        <v>0.81789999999999996</v>
      </c>
      <c r="G278" s="1075">
        <v>0.81789999999999996</v>
      </c>
      <c r="H278" s="1075">
        <v>0.81789999999999996</v>
      </c>
      <c r="I278" s="1075">
        <v>0.67459999999999998</v>
      </c>
      <c r="J278" s="1075">
        <v>0.67459999999999998</v>
      </c>
      <c r="K278" s="1075">
        <v>0.67459999999999998</v>
      </c>
      <c r="L278" s="1075">
        <v>0.67459999999999998</v>
      </c>
      <c r="M278" s="1075">
        <v>0.67459999999999998</v>
      </c>
    </row>
    <row r="279" spans="1:13">
      <c r="A279" s="1072">
        <v>7.3</v>
      </c>
      <c r="B279" s="1075">
        <v>0.8377</v>
      </c>
      <c r="C279" s="1075">
        <v>0.8377</v>
      </c>
      <c r="D279" s="1075">
        <v>0.81689999999999996</v>
      </c>
      <c r="E279" s="1075">
        <v>0.81689999999999996</v>
      </c>
      <c r="F279" s="1075">
        <v>0.81689999999999996</v>
      </c>
      <c r="G279" s="1075">
        <v>0.81689999999999996</v>
      </c>
      <c r="H279" s="1075">
        <v>0.81689999999999996</v>
      </c>
      <c r="I279" s="1075">
        <v>0.6734</v>
      </c>
      <c r="J279" s="1075">
        <v>0.6734</v>
      </c>
      <c r="K279" s="1075">
        <v>0.6734</v>
      </c>
      <c r="L279" s="1075">
        <v>0.6734</v>
      </c>
      <c r="M279" s="1075">
        <v>0.6734</v>
      </c>
    </row>
    <row r="280" spans="1:13">
      <c r="A280" s="1072">
        <v>7.4</v>
      </c>
      <c r="B280" s="1075">
        <v>0.83699999999999997</v>
      </c>
      <c r="C280" s="1075">
        <v>0.83699999999999997</v>
      </c>
      <c r="D280" s="1075">
        <v>0.81599999999999995</v>
      </c>
      <c r="E280" s="1075">
        <v>0.81599999999999995</v>
      </c>
      <c r="F280" s="1075">
        <v>0.81599999999999995</v>
      </c>
      <c r="G280" s="1075">
        <v>0.81599999999999995</v>
      </c>
      <c r="H280" s="1075">
        <v>0.81599999999999995</v>
      </c>
      <c r="I280" s="1075">
        <v>0.67210000000000003</v>
      </c>
      <c r="J280" s="1075">
        <v>0.67210000000000003</v>
      </c>
      <c r="K280" s="1075">
        <v>0.67210000000000003</v>
      </c>
      <c r="L280" s="1075">
        <v>0.67210000000000003</v>
      </c>
      <c r="M280" s="1075">
        <v>0.67210000000000003</v>
      </c>
    </row>
    <row r="281" spans="1:13">
      <c r="A281" s="1072">
        <v>7.5</v>
      </c>
      <c r="B281" s="1075">
        <v>0.83630000000000004</v>
      </c>
      <c r="C281" s="1075">
        <v>0.83630000000000004</v>
      </c>
      <c r="D281" s="1075">
        <v>0.81510000000000005</v>
      </c>
      <c r="E281" s="1075">
        <v>0.81510000000000005</v>
      </c>
      <c r="F281" s="1075">
        <v>0.81510000000000005</v>
      </c>
      <c r="G281" s="1075">
        <v>0.81510000000000005</v>
      </c>
      <c r="H281" s="1075">
        <v>0.81510000000000005</v>
      </c>
      <c r="I281" s="1075">
        <v>0.67090000000000005</v>
      </c>
      <c r="J281" s="1075">
        <v>0.67090000000000005</v>
      </c>
      <c r="K281" s="1075">
        <v>0.67090000000000005</v>
      </c>
      <c r="L281" s="1075">
        <v>0.67090000000000005</v>
      </c>
      <c r="M281" s="1075">
        <v>0.67090000000000005</v>
      </c>
    </row>
    <row r="282" spans="1:13">
      <c r="A282" s="1072">
        <v>7.6</v>
      </c>
      <c r="B282" s="1075">
        <v>0.83560000000000001</v>
      </c>
      <c r="C282" s="1075">
        <v>0.83560000000000001</v>
      </c>
      <c r="D282" s="1075">
        <v>0.81420000000000003</v>
      </c>
      <c r="E282" s="1075">
        <v>0.81420000000000003</v>
      </c>
      <c r="F282" s="1075">
        <v>0.81420000000000003</v>
      </c>
      <c r="G282" s="1075">
        <v>0.81420000000000003</v>
      </c>
      <c r="H282" s="1075">
        <v>0.81420000000000003</v>
      </c>
      <c r="I282" s="1075">
        <v>0.66979999999999995</v>
      </c>
      <c r="J282" s="1075">
        <v>0.66979999999999995</v>
      </c>
      <c r="K282" s="1075">
        <v>0.66979999999999995</v>
      </c>
      <c r="L282" s="1075">
        <v>0.66979999999999995</v>
      </c>
      <c r="M282" s="1075">
        <v>0.66979999999999995</v>
      </c>
    </row>
    <row r="283" spans="1:13">
      <c r="A283" s="1072">
        <v>7.7</v>
      </c>
      <c r="B283" s="1075">
        <v>0.83489999999999998</v>
      </c>
      <c r="C283" s="1075">
        <v>0.83489999999999998</v>
      </c>
      <c r="D283" s="1075">
        <v>0.81330000000000002</v>
      </c>
      <c r="E283" s="1075">
        <v>0.81330000000000002</v>
      </c>
      <c r="F283" s="1075">
        <v>0.81330000000000002</v>
      </c>
      <c r="G283" s="1075">
        <v>0.81330000000000002</v>
      </c>
      <c r="H283" s="1075">
        <v>0.81330000000000002</v>
      </c>
      <c r="I283" s="1075">
        <v>0.66869999999999996</v>
      </c>
      <c r="J283" s="1075">
        <v>0.66869999999999996</v>
      </c>
      <c r="K283" s="1075">
        <v>0.66869999999999996</v>
      </c>
      <c r="L283" s="1075">
        <v>0.66869999999999996</v>
      </c>
      <c r="M283" s="1075">
        <v>0.66869999999999996</v>
      </c>
    </row>
    <row r="284" spans="1:13">
      <c r="A284" s="1072">
        <v>7.8</v>
      </c>
      <c r="B284" s="1075">
        <v>0.83420000000000005</v>
      </c>
      <c r="C284" s="1075">
        <v>0.83420000000000005</v>
      </c>
      <c r="D284" s="1075">
        <v>0.81240000000000001</v>
      </c>
      <c r="E284" s="1075">
        <v>0.81240000000000001</v>
      </c>
      <c r="F284" s="1075">
        <v>0.81240000000000001</v>
      </c>
      <c r="G284" s="1075">
        <v>0.81240000000000001</v>
      </c>
      <c r="H284" s="1075">
        <v>0.81240000000000001</v>
      </c>
      <c r="I284" s="1075">
        <v>0.66759999999999997</v>
      </c>
      <c r="J284" s="1075">
        <v>0.66759999999999997</v>
      </c>
      <c r="K284" s="1075">
        <v>0.66759999999999997</v>
      </c>
      <c r="L284" s="1075">
        <v>0.66759999999999997</v>
      </c>
      <c r="M284" s="1075">
        <v>0.66759999999999997</v>
      </c>
    </row>
    <row r="285" spans="1:13">
      <c r="A285" s="1072">
        <v>7.9</v>
      </c>
      <c r="B285" s="1075">
        <v>0.83350000000000002</v>
      </c>
      <c r="C285" s="1075">
        <v>0.83350000000000002</v>
      </c>
      <c r="D285" s="1075">
        <v>0.81159999999999999</v>
      </c>
      <c r="E285" s="1075">
        <v>0.81159999999999999</v>
      </c>
      <c r="F285" s="1075">
        <v>0.81159999999999999</v>
      </c>
      <c r="G285" s="1075">
        <v>0.81159999999999999</v>
      </c>
      <c r="H285" s="1075">
        <v>0.81159999999999999</v>
      </c>
      <c r="I285" s="1075">
        <v>0.66649999999999998</v>
      </c>
      <c r="J285" s="1075">
        <v>0.66649999999999998</v>
      </c>
      <c r="K285" s="1075">
        <v>0.66649999999999998</v>
      </c>
      <c r="L285" s="1075">
        <v>0.66649999999999998</v>
      </c>
      <c r="M285" s="1075">
        <v>0.66649999999999998</v>
      </c>
    </row>
    <row r="286" spans="1:13">
      <c r="A286" s="1072">
        <v>8</v>
      </c>
      <c r="B286" s="1075">
        <v>0.83279999999999998</v>
      </c>
      <c r="C286" s="1075">
        <v>0.83279999999999998</v>
      </c>
      <c r="D286" s="1075">
        <v>0.81079999999999997</v>
      </c>
      <c r="E286" s="1075">
        <v>0.81079999999999997</v>
      </c>
      <c r="F286" s="1075">
        <v>0.81079999999999997</v>
      </c>
      <c r="G286" s="1075">
        <v>0.81079999999999997</v>
      </c>
      <c r="H286" s="1075">
        <v>0.81079999999999997</v>
      </c>
      <c r="I286" s="1075">
        <v>0.66549999999999998</v>
      </c>
      <c r="J286" s="1075">
        <v>0.66549999999999998</v>
      </c>
      <c r="K286" s="1075">
        <v>0.66549999999999998</v>
      </c>
      <c r="L286" s="1075">
        <v>0.66549999999999998</v>
      </c>
      <c r="M286" s="1075">
        <v>0.66549999999999998</v>
      </c>
    </row>
    <row r="287" spans="1:13">
      <c r="A287" s="1072">
        <v>8.1</v>
      </c>
      <c r="B287" s="1075">
        <v>0.83220000000000005</v>
      </c>
      <c r="C287" s="1075">
        <v>0.83220000000000005</v>
      </c>
      <c r="D287" s="1075">
        <v>0.81</v>
      </c>
      <c r="E287" s="1075">
        <v>0.81</v>
      </c>
      <c r="F287" s="1075">
        <v>0.81</v>
      </c>
      <c r="G287" s="1075">
        <v>0.81</v>
      </c>
      <c r="H287" s="1075">
        <v>0.81</v>
      </c>
      <c r="I287" s="1075">
        <v>0.66439999999999999</v>
      </c>
      <c r="J287" s="1075">
        <v>0.66439999999999999</v>
      </c>
      <c r="K287" s="1075">
        <v>0.66439999999999999</v>
      </c>
      <c r="L287" s="1075">
        <v>0.66439999999999999</v>
      </c>
      <c r="M287" s="1075">
        <v>0.66439999999999999</v>
      </c>
    </row>
    <row r="288" spans="1:13">
      <c r="A288" s="1072">
        <v>8.1999999999999993</v>
      </c>
      <c r="B288" s="1075">
        <v>0.83160000000000001</v>
      </c>
      <c r="C288" s="1075">
        <v>0.83160000000000001</v>
      </c>
      <c r="D288" s="1075">
        <v>0.80920000000000003</v>
      </c>
      <c r="E288" s="1075">
        <v>0.80920000000000003</v>
      </c>
      <c r="F288" s="1075">
        <v>0.80920000000000003</v>
      </c>
      <c r="G288" s="1075">
        <v>0.80920000000000003</v>
      </c>
      <c r="H288" s="1075">
        <v>0.80920000000000003</v>
      </c>
      <c r="I288" s="1075">
        <v>0.66339999999999999</v>
      </c>
      <c r="J288" s="1075">
        <v>0.66339999999999999</v>
      </c>
      <c r="K288" s="1075">
        <v>0.66339999999999999</v>
      </c>
      <c r="L288" s="1075">
        <v>0.66339999999999999</v>
      </c>
      <c r="M288" s="1075">
        <v>0.66339999999999999</v>
      </c>
    </row>
    <row r="289" spans="1:13">
      <c r="A289" s="1072">
        <v>8.3000000000000007</v>
      </c>
      <c r="B289" s="1075">
        <v>0.83099999999999996</v>
      </c>
      <c r="C289" s="1075">
        <v>0.83099999999999996</v>
      </c>
      <c r="D289" s="1075">
        <v>0.80840000000000001</v>
      </c>
      <c r="E289" s="1075">
        <v>0.80840000000000001</v>
      </c>
      <c r="F289" s="1075">
        <v>0.80840000000000001</v>
      </c>
      <c r="G289" s="1075">
        <v>0.80840000000000001</v>
      </c>
      <c r="H289" s="1075">
        <v>0.80840000000000001</v>
      </c>
      <c r="I289" s="1075">
        <v>0.66239999999999999</v>
      </c>
      <c r="J289" s="1075">
        <v>0.66239999999999999</v>
      </c>
      <c r="K289" s="1075">
        <v>0.66239999999999999</v>
      </c>
      <c r="L289" s="1075">
        <v>0.66239999999999999</v>
      </c>
      <c r="M289" s="1075">
        <v>0.66239999999999999</v>
      </c>
    </row>
    <row r="290" spans="1:13">
      <c r="A290" s="1072">
        <v>8.4</v>
      </c>
      <c r="B290" s="1075">
        <v>0.83040000000000003</v>
      </c>
      <c r="C290" s="1075">
        <v>0.83040000000000003</v>
      </c>
      <c r="D290" s="1075">
        <v>0.80759999999999998</v>
      </c>
      <c r="E290" s="1075">
        <v>0.80759999999999998</v>
      </c>
      <c r="F290" s="1075">
        <v>0.80759999999999998</v>
      </c>
      <c r="G290" s="1075">
        <v>0.80759999999999998</v>
      </c>
      <c r="H290" s="1075">
        <v>0.80759999999999998</v>
      </c>
      <c r="I290" s="1075">
        <v>0.66139999999999999</v>
      </c>
      <c r="J290" s="1075">
        <v>0.66139999999999999</v>
      </c>
      <c r="K290" s="1075">
        <v>0.66139999999999999</v>
      </c>
      <c r="L290" s="1075">
        <v>0.66139999999999999</v>
      </c>
      <c r="M290" s="1075">
        <v>0.66139999999999999</v>
      </c>
    </row>
    <row r="291" spans="1:13">
      <c r="A291" s="1072">
        <v>8.5</v>
      </c>
      <c r="B291" s="1075">
        <v>0.82979999999999998</v>
      </c>
      <c r="C291" s="1075">
        <v>0.82979999999999998</v>
      </c>
      <c r="D291" s="1075">
        <v>0.80679999999999996</v>
      </c>
      <c r="E291" s="1075">
        <v>0.80679999999999996</v>
      </c>
      <c r="F291" s="1075">
        <v>0.80679999999999996</v>
      </c>
      <c r="G291" s="1075">
        <v>0.80679999999999996</v>
      </c>
      <c r="H291" s="1075">
        <v>0.80679999999999996</v>
      </c>
      <c r="I291" s="1075">
        <v>0.66049999999999998</v>
      </c>
      <c r="J291" s="1075">
        <v>0.66049999999999998</v>
      </c>
      <c r="K291" s="1075">
        <v>0.66049999999999998</v>
      </c>
      <c r="L291" s="1075">
        <v>0.66049999999999998</v>
      </c>
      <c r="M291" s="1075">
        <v>0.66049999999999998</v>
      </c>
    </row>
    <row r="292" spans="1:13">
      <c r="A292" s="1072">
        <v>8.6</v>
      </c>
      <c r="B292" s="1075">
        <v>0.82920000000000005</v>
      </c>
      <c r="C292" s="1075">
        <v>0.82920000000000005</v>
      </c>
      <c r="D292" s="1075">
        <v>0.80600000000000005</v>
      </c>
      <c r="E292" s="1075">
        <v>0.80600000000000005</v>
      </c>
      <c r="F292" s="1075">
        <v>0.80600000000000005</v>
      </c>
      <c r="G292" s="1075">
        <v>0.80600000000000005</v>
      </c>
      <c r="H292" s="1075">
        <v>0.80600000000000005</v>
      </c>
      <c r="I292" s="1075">
        <v>0.65949999999999998</v>
      </c>
      <c r="J292" s="1075">
        <v>0.65949999999999998</v>
      </c>
      <c r="K292" s="1075">
        <v>0.65949999999999998</v>
      </c>
      <c r="L292" s="1075">
        <v>0.65949999999999998</v>
      </c>
      <c r="M292" s="1075">
        <v>0.65949999999999998</v>
      </c>
    </row>
    <row r="293" spans="1:13">
      <c r="A293" s="1072">
        <v>8.6999999999999993</v>
      </c>
      <c r="B293" s="1075">
        <v>0.8286</v>
      </c>
      <c r="C293" s="1075">
        <v>0.8286</v>
      </c>
      <c r="D293" s="1075">
        <v>0.80520000000000003</v>
      </c>
      <c r="E293" s="1075">
        <v>0.80520000000000003</v>
      </c>
      <c r="F293" s="1075">
        <v>0.80520000000000003</v>
      </c>
      <c r="G293" s="1075">
        <v>0.80520000000000003</v>
      </c>
      <c r="H293" s="1075">
        <v>0.80520000000000003</v>
      </c>
      <c r="I293" s="1075">
        <v>0.65859999999999996</v>
      </c>
      <c r="J293" s="1075">
        <v>0.65859999999999996</v>
      </c>
      <c r="K293" s="1075">
        <v>0.65859999999999996</v>
      </c>
      <c r="L293" s="1075">
        <v>0.65859999999999996</v>
      </c>
      <c r="M293" s="1075">
        <v>0.65859999999999996</v>
      </c>
    </row>
    <row r="294" spans="1:13">
      <c r="A294" s="1072">
        <v>8.8000000000000007</v>
      </c>
      <c r="B294" s="1075">
        <v>0.82799999999999996</v>
      </c>
      <c r="C294" s="1075">
        <v>0.82799999999999996</v>
      </c>
      <c r="D294" s="1075">
        <v>0.8044</v>
      </c>
      <c r="E294" s="1075">
        <v>0.8044</v>
      </c>
      <c r="F294" s="1075">
        <v>0.8044</v>
      </c>
      <c r="G294" s="1075">
        <v>0.8044</v>
      </c>
      <c r="H294" s="1075">
        <v>0.8044</v>
      </c>
      <c r="I294" s="1075">
        <v>0.65759999999999996</v>
      </c>
      <c r="J294" s="1075">
        <v>0.65759999999999996</v>
      </c>
      <c r="K294" s="1075">
        <v>0.65759999999999996</v>
      </c>
      <c r="L294" s="1075">
        <v>0.65759999999999996</v>
      </c>
      <c r="M294" s="1075">
        <v>0.65759999999999996</v>
      </c>
    </row>
    <row r="295" spans="1:13">
      <c r="A295" s="1072">
        <v>8.9</v>
      </c>
      <c r="B295" s="1075">
        <v>0.82740000000000002</v>
      </c>
      <c r="C295" s="1075">
        <v>0.82740000000000002</v>
      </c>
      <c r="D295" s="1075">
        <v>0.80359999999999998</v>
      </c>
      <c r="E295" s="1075">
        <v>0.80359999999999998</v>
      </c>
      <c r="F295" s="1075">
        <v>0.80359999999999998</v>
      </c>
      <c r="G295" s="1075">
        <v>0.80359999999999998</v>
      </c>
      <c r="H295" s="1075">
        <v>0.80359999999999998</v>
      </c>
      <c r="I295" s="1075">
        <v>0.65669999999999995</v>
      </c>
      <c r="J295" s="1075">
        <v>0.65669999999999995</v>
      </c>
      <c r="K295" s="1075">
        <v>0.65669999999999995</v>
      </c>
      <c r="L295" s="1075">
        <v>0.65669999999999995</v>
      </c>
      <c r="M295" s="1075">
        <v>0.65669999999999995</v>
      </c>
    </row>
    <row r="296" spans="1:13">
      <c r="A296" s="1076">
        <v>9</v>
      </c>
      <c r="B296" s="1075">
        <v>0.82679999999999998</v>
      </c>
      <c r="C296" s="1075">
        <v>0.82679999999999998</v>
      </c>
      <c r="D296" s="1075">
        <v>0.80279999999999996</v>
      </c>
      <c r="E296" s="1075">
        <v>0.80279999999999996</v>
      </c>
      <c r="F296" s="1075">
        <v>0.80279999999999996</v>
      </c>
      <c r="G296" s="1075">
        <v>0.80279999999999996</v>
      </c>
      <c r="H296" s="1075">
        <v>0.80279999999999996</v>
      </c>
      <c r="I296" s="1075">
        <v>0.65569999999999995</v>
      </c>
      <c r="J296" s="1075">
        <v>0.65569999999999995</v>
      </c>
      <c r="K296" s="1075">
        <v>0.65569999999999995</v>
      </c>
      <c r="L296" s="1075">
        <v>0.65569999999999995</v>
      </c>
      <c r="M296" s="1075">
        <v>0.65569999999999995</v>
      </c>
    </row>
    <row r="297" spans="1:13">
      <c r="A297" s="1076">
        <v>9.1</v>
      </c>
      <c r="B297" s="1075">
        <v>0.82620000000000005</v>
      </c>
      <c r="C297" s="1075">
        <v>0.82620000000000005</v>
      </c>
      <c r="D297" s="1075">
        <v>0.80200000000000005</v>
      </c>
      <c r="E297" s="1075">
        <v>0.80200000000000005</v>
      </c>
      <c r="F297" s="1075">
        <v>0.80200000000000005</v>
      </c>
      <c r="G297" s="1075">
        <v>0.80200000000000005</v>
      </c>
      <c r="H297" s="1075">
        <v>0.80200000000000005</v>
      </c>
      <c r="I297" s="1075">
        <v>0.65480000000000005</v>
      </c>
      <c r="J297" s="1075">
        <v>0.65480000000000005</v>
      </c>
      <c r="K297" s="1075">
        <v>0.65480000000000005</v>
      </c>
      <c r="L297" s="1075">
        <v>0.65480000000000005</v>
      </c>
      <c r="M297" s="1075">
        <v>0.65480000000000005</v>
      </c>
    </row>
    <row r="298" spans="1:13">
      <c r="A298" s="1076">
        <v>9.1999999999999993</v>
      </c>
      <c r="B298" s="1075">
        <v>0.8256</v>
      </c>
      <c r="C298" s="1075">
        <v>0.8256</v>
      </c>
      <c r="D298" s="1075">
        <v>0.80120000000000002</v>
      </c>
      <c r="E298" s="1075">
        <v>0.80120000000000002</v>
      </c>
      <c r="F298" s="1075">
        <v>0.80120000000000002</v>
      </c>
      <c r="G298" s="1075">
        <v>0.80120000000000002</v>
      </c>
      <c r="H298" s="1075">
        <v>0.80120000000000002</v>
      </c>
      <c r="I298" s="1075">
        <v>0.65380000000000005</v>
      </c>
      <c r="J298" s="1075">
        <v>0.65380000000000005</v>
      </c>
      <c r="K298" s="1075">
        <v>0.65380000000000005</v>
      </c>
      <c r="L298" s="1075">
        <v>0.65380000000000005</v>
      </c>
      <c r="M298" s="1075">
        <v>0.65380000000000005</v>
      </c>
    </row>
    <row r="299" spans="1:13">
      <c r="A299" s="1076">
        <v>9.3000000000000007</v>
      </c>
      <c r="B299" s="1075">
        <v>0.82499999999999996</v>
      </c>
      <c r="C299" s="1075">
        <v>0.82499999999999996</v>
      </c>
      <c r="D299" s="1075">
        <v>0.8004</v>
      </c>
      <c r="E299" s="1075">
        <v>0.8004</v>
      </c>
      <c r="F299" s="1075">
        <v>0.8004</v>
      </c>
      <c r="G299" s="1075">
        <v>0.8004</v>
      </c>
      <c r="H299" s="1075">
        <v>0.8004</v>
      </c>
      <c r="I299" s="1075">
        <v>0.65290000000000004</v>
      </c>
      <c r="J299" s="1075">
        <v>0.65290000000000004</v>
      </c>
      <c r="K299" s="1075">
        <v>0.65290000000000004</v>
      </c>
      <c r="L299" s="1075">
        <v>0.65290000000000004</v>
      </c>
      <c r="M299" s="1075">
        <v>0.65290000000000004</v>
      </c>
    </row>
    <row r="300" spans="1:13">
      <c r="A300" s="1076">
        <v>9.4</v>
      </c>
      <c r="B300" s="1075">
        <v>0.82440000000000002</v>
      </c>
      <c r="C300" s="1075">
        <v>0.82440000000000002</v>
      </c>
      <c r="D300" s="1075">
        <v>0.79959999999999998</v>
      </c>
      <c r="E300" s="1075">
        <v>0.79959999999999998</v>
      </c>
      <c r="F300" s="1075">
        <v>0.79959999999999998</v>
      </c>
      <c r="G300" s="1075">
        <v>0.79959999999999998</v>
      </c>
      <c r="H300" s="1075">
        <v>0.79959999999999998</v>
      </c>
      <c r="I300" s="1075">
        <v>0.65190000000000003</v>
      </c>
      <c r="J300" s="1075">
        <v>0.65190000000000003</v>
      </c>
      <c r="K300" s="1075">
        <v>0.65190000000000003</v>
      </c>
      <c r="L300" s="1075">
        <v>0.65190000000000003</v>
      </c>
      <c r="M300" s="1075">
        <v>0.65190000000000003</v>
      </c>
    </row>
    <row r="301" spans="1:13">
      <c r="A301" s="1076">
        <v>9.5</v>
      </c>
      <c r="B301" s="1075">
        <v>0.82379999999999998</v>
      </c>
      <c r="C301" s="1075">
        <v>0.82379999999999998</v>
      </c>
      <c r="D301" s="1075">
        <v>0.79879999999999995</v>
      </c>
      <c r="E301" s="1075">
        <v>0.79879999999999995</v>
      </c>
      <c r="F301" s="1075">
        <v>0.79879999999999995</v>
      </c>
      <c r="G301" s="1075">
        <v>0.79879999999999995</v>
      </c>
      <c r="H301" s="1075">
        <v>0.79879999999999995</v>
      </c>
      <c r="I301" s="1075">
        <v>0.65100000000000002</v>
      </c>
      <c r="J301" s="1075">
        <v>0.65100000000000002</v>
      </c>
      <c r="K301" s="1075">
        <v>0.65100000000000002</v>
      </c>
      <c r="L301" s="1075">
        <v>0.65100000000000002</v>
      </c>
      <c r="M301" s="1075">
        <v>0.65100000000000002</v>
      </c>
    </row>
    <row r="302" spans="1:13">
      <c r="A302" s="1076">
        <v>9.6</v>
      </c>
      <c r="B302" s="1075">
        <v>0.82320000000000004</v>
      </c>
      <c r="C302" s="1075">
        <v>0.82320000000000004</v>
      </c>
      <c r="D302" s="1075">
        <v>0.79800000000000004</v>
      </c>
      <c r="E302" s="1075">
        <v>0.79800000000000004</v>
      </c>
      <c r="F302" s="1075">
        <v>0.79800000000000004</v>
      </c>
      <c r="G302" s="1075">
        <v>0.79800000000000004</v>
      </c>
      <c r="H302" s="1075">
        <v>0.79800000000000004</v>
      </c>
      <c r="I302" s="1075">
        <v>0.65</v>
      </c>
      <c r="J302" s="1075">
        <v>0.65</v>
      </c>
      <c r="K302" s="1075">
        <v>0.65</v>
      </c>
      <c r="L302" s="1075">
        <v>0.65</v>
      </c>
      <c r="M302" s="1075">
        <v>0.65</v>
      </c>
    </row>
    <row r="303" spans="1:13">
      <c r="A303" s="1076">
        <v>9.6999999999999993</v>
      </c>
      <c r="B303" s="1075">
        <v>0.8226</v>
      </c>
      <c r="C303" s="1075">
        <v>0.8226</v>
      </c>
      <c r="D303" s="1075">
        <v>0.79720000000000002</v>
      </c>
      <c r="E303" s="1075">
        <v>0.79720000000000002</v>
      </c>
      <c r="F303" s="1075">
        <v>0.79720000000000002</v>
      </c>
      <c r="G303" s="1075">
        <v>0.79720000000000002</v>
      </c>
      <c r="H303" s="1075">
        <v>0.79720000000000002</v>
      </c>
      <c r="I303" s="1075">
        <v>0.64900000000000002</v>
      </c>
      <c r="J303" s="1075">
        <v>0.64900000000000002</v>
      </c>
      <c r="K303" s="1075">
        <v>0.64900000000000002</v>
      </c>
      <c r="L303" s="1075">
        <v>0.64900000000000002</v>
      </c>
      <c r="M303" s="1075">
        <v>0.64900000000000002</v>
      </c>
    </row>
    <row r="304" spans="1:13">
      <c r="A304" s="1076">
        <v>9.8000000000000007</v>
      </c>
      <c r="B304" s="1075">
        <v>0.82199999999999995</v>
      </c>
      <c r="C304" s="1075">
        <v>0.82199999999999995</v>
      </c>
      <c r="D304" s="1075">
        <v>0.7964</v>
      </c>
      <c r="E304" s="1075">
        <v>0.7964</v>
      </c>
      <c r="F304" s="1075">
        <v>0.7964</v>
      </c>
      <c r="G304" s="1075">
        <v>0.7964</v>
      </c>
      <c r="H304" s="1075">
        <v>0.7964</v>
      </c>
      <c r="I304" s="1075">
        <v>0.64810000000000001</v>
      </c>
      <c r="J304" s="1075">
        <v>0.64810000000000001</v>
      </c>
      <c r="K304" s="1075">
        <v>0.64810000000000001</v>
      </c>
      <c r="L304" s="1075">
        <v>0.64810000000000001</v>
      </c>
      <c r="M304" s="1075">
        <v>0.64810000000000001</v>
      </c>
    </row>
    <row r="305" spans="1:13">
      <c r="A305" s="1076">
        <v>9.9</v>
      </c>
      <c r="B305" s="1075">
        <v>0.82140000000000002</v>
      </c>
      <c r="C305" s="1075">
        <v>0.82140000000000002</v>
      </c>
      <c r="D305" s="1075">
        <v>0.79559999999999997</v>
      </c>
      <c r="E305" s="1075">
        <v>0.79559999999999997</v>
      </c>
      <c r="F305" s="1075">
        <v>0.79559999999999997</v>
      </c>
      <c r="G305" s="1075">
        <v>0.79559999999999997</v>
      </c>
      <c r="H305" s="1075">
        <v>0.79559999999999997</v>
      </c>
      <c r="I305" s="1075">
        <v>0.64710000000000001</v>
      </c>
      <c r="J305" s="1075">
        <v>0.64710000000000001</v>
      </c>
      <c r="K305" s="1075">
        <v>0.64710000000000001</v>
      </c>
      <c r="L305" s="1075">
        <v>0.64710000000000001</v>
      </c>
      <c r="M305" s="1075">
        <v>0.64710000000000001</v>
      </c>
    </row>
    <row r="306" spans="1:13">
      <c r="A306" s="1076">
        <v>10</v>
      </c>
      <c r="B306" s="1075">
        <v>0.82079999999999997</v>
      </c>
      <c r="C306" s="1075">
        <v>0.82079999999999997</v>
      </c>
      <c r="D306" s="1075">
        <v>0.79479999999999995</v>
      </c>
      <c r="E306" s="1075">
        <v>0.79479999999999995</v>
      </c>
      <c r="F306" s="1075">
        <v>0.79479999999999995</v>
      </c>
      <c r="G306" s="1075">
        <v>0.79479999999999995</v>
      </c>
      <c r="H306" s="1075">
        <v>0.79479999999999995</v>
      </c>
      <c r="I306" s="1075">
        <v>0.6462</v>
      </c>
      <c r="J306" s="1075">
        <v>0.6462</v>
      </c>
      <c r="K306" s="1075">
        <v>0.6462</v>
      </c>
      <c r="L306" s="1075">
        <v>0.6462</v>
      </c>
      <c r="M306" s="1075">
        <v>0.6462</v>
      </c>
    </row>
    <row r="307" spans="1:13" ht="14.25">
      <c r="A307" s="1070" t="s">
        <v>1002</v>
      </c>
      <c r="B307" s="1071"/>
      <c r="C307" s="1071"/>
      <c r="D307" s="1071"/>
      <c r="E307" s="1071"/>
      <c r="F307" s="1071"/>
      <c r="G307" s="1071"/>
      <c r="H307" s="1071"/>
      <c r="I307" s="1071"/>
      <c r="J307" s="1071"/>
      <c r="K307" s="1071"/>
      <c r="L307" s="1071"/>
      <c r="M307" s="1071"/>
    </row>
    <row r="308" spans="1:13">
      <c r="A308" s="1072" t="s">
        <v>254</v>
      </c>
      <c r="B308" s="1073" t="s">
        <v>49</v>
      </c>
      <c r="C308" s="1073" t="s">
        <v>63</v>
      </c>
      <c r="D308" s="1073" t="s">
        <v>75</v>
      </c>
      <c r="E308" s="1073" t="s">
        <v>87</v>
      </c>
      <c r="F308" s="1073" t="s">
        <v>96</v>
      </c>
      <c r="G308" s="1073" t="s">
        <v>103</v>
      </c>
      <c r="H308" s="1074" t="s">
        <v>108</v>
      </c>
      <c r="I308" s="1074" t="s">
        <v>113</v>
      </c>
      <c r="J308" s="1077" t="s">
        <v>116</v>
      </c>
      <c r="K308" s="1077" t="s">
        <v>118</v>
      </c>
      <c r="L308" s="1077" t="s">
        <v>120</v>
      </c>
      <c r="M308" s="1077" t="s">
        <v>122</v>
      </c>
    </row>
    <row r="309" spans="1:13">
      <c r="A309" s="1072">
        <v>0.1</v>
      </c>
      <c r="B309" s="1075">
        <v>11.506</v>
      </c>
      <c r="C309" s="1075">
        <v>11.506</v>
      </c>
      <c r="D309" s="1075">
        <v>12.015000000000001</v>
      </c>
      <c r="E309" s="1075">
        <v>12.015000000000001</v>
      </c>
      <c r="F309" s="1075">
        <v>12.015000000000001</v>
      </c>
      <c r="G309" s="1075">
        <v>11.118</v>
      </c>
      <c r="H309" s="1075">
        <v>11.118</v>
      </c>
      <c r="I309" s="1075">
        <v>10</v>
      </c>
      <c r="J309" s="1075">
        <v>10</v>
      </c>
      <c r="K309" s="1075">
        <v>10</v>
      </c>
      <c r="L309" s="1075">
        <v>10</v>
      </c>
      <c r="M309" s="1075">
        <v>10</v>
      </c>
    </row>
    <row r="310" spans="1:13">
      <c r="A310" s="1072">
        <v>0.2</v>
      </c>
      <c r="B310" s="1075">
        <v>5.7530000000000001</v>
      </c>
      <c r="C310" s="1075">
        <v>5.7530000000000001</v>
      </c>
      <c r="D310" s="1075">
        <v>6.0075000000000003</v>
      </c>
      <c r="E310" s="1075">
        <v>6.0075000000000003</v>
      </c>
      <c r="F310" s="1075">
        <v>6.0075000000000003</v>
      </c>
      <c r="G310" s="1075">
        <v>5.5590000000000002</v>
      </c>
      <c r="H310" s="1075">
        <v>5.5590000000000002</v>
      </c>
      <c r="I310" s="1075">
        <v>5</v>
      </c>
      <c r="J310" s="1075">
        <v>5</v>
      </c>
      <c r="K310" s="1075">
        <v>5</v>
      </c>
      <c r="L310" s="1075">
        <v>5</v>
      </c>
      <c r="M310" s="1075">
        <v>5</v>
      </c>
    </row>
    <row r="311" spans="1:13">
      <c r="A311" s="1072">
        <v>0.3</v>
      </c>
      <c r="B311" s="1075">
        <v>3.8353000000000002</v>
      </c>
      <c r="C311" s="1075">
        <v>3.8353000000000002</v>
      </c>
      <c r="D311" s="1075">
        <v>4.0049999999999999</v>
      </c>
      <c r="E311" s="1075">
        <v>4.0049999999999999</v>
      </c>
      <c r="F311" s="1075">
        <v>4.0049999999999999</v>
      </c>
      <c r="G311" s="1075">
        <v>3.706</v>
      </c>
      <c r="H311" s="1075">
        <v>3.706</v>
      </c>
      <c r="I311" s="1075">
        <v>3.3332999999999999</v>
      </c>
      <c r="J311" s="1075">
        <v>3.3332999999999999</v>
      </c>
      <c r="K311" s="1075">
        <v>3.3332999999999999</v>
      </c>
      <c r="L311" s="1075">
        <v>3.3332999999999999</v>
      </c>
      <c r="M311" s="1075">
        <v>3.3332999999999999</v>
      </c>
    </row>
    <row r="312" spans="1:13">
      <c r="A312" s="1072">
        <v>0.4</v>
      </c>
      <c r="B312" s="1075">
        <v>2.8765000000000001</v>
      </c>
      <c r="C312" s="1075">
        <v>2.8765000000000001</v>
      </c>
      <c r="D312" s="1075">
        <v>3.0038</v>
      </c>
      <c r="E312" s="1075">
        <v>3.0038</v>
      </c>
      <c r="F312" s="1075">
        <v>3.0038</v>
      </c>
      <c r="G312" s="1075">
        <v>2.7795000000000001</v>
      </c>
      <c r="H312" s="1075">
        <v>2.7795000000000001</v>
      </c>
      <c r="I312" s="1075">
        <v>2.5</v>
      </c>
      <c r="J312" s="1075">
        <v>2.5</v>
      </c>
      <c r="K312" s="1075">
        <v>2.5</v>
      </c>
      <c r="L312" s="1075">
        <v>2.5</v>
      </c>
      <c r="M312" s="1075">
        <v>2.5</v>
      </c>
    </row>
    <row r="313" spans="1:13">
      <c r="A313" s="1072">
        <v>0.5</v>
      </c>
      <c r="B313" s="1075">
        <v>2.3012000000000001</v>
      </c>
      <c r="C313" s="1075">
        <v>2.3012000000000001</v>
      </c>
      <c r="D313" s="1075">
        <v>2.403</v>
      </c>
      <c r="E313" s="1075">
        <v>2.403</v>
      </c>
      <c r="F313" s="1075">
        <v>2.403</v>
      </c>
      <c r="G313" s="1075">
        <v>2.2235999999999998</v>
      </c>
      <c r="H313" s="1075">
        <v>2.2235999999999998</v>
      </c>
      <c r="I313" s="1075">
        <v>2</v>
      </c>
      <c r="J313" s="1075">
        <v>2</v>
      </c>
      <c r="K313" s="1075">
        <v>2</v>
      </c>
      <c r="L313" s="1075">
        <v>2</v>
      </c>
      <c r="M313" s="1075">
        <v>2</v>
      </c>
    </row>
    <row r="314" spans="1:13">
      <c r="A314" s="1072">
        <v>0.6</v>
      </c>
      <c r="B314" s="1075">
        <v>1.9177</v>
      </c>
      <c r="C314" s="1075">
        <v>1.9177</v>
      </c>
      <c r="D314" s="1075">
        <v>2.0024999999999999</v>
      </c>
      <c r="E314" s="1075">
        <v>2.0024999999999999</v>
      </c>
      <c r="F314" s="1075">
        <v>2.0024999999999999</v>
      </c>
      <c r="G314" s="1075">
        <v>1.853</v>
      </c>
      <c r="H314" s="1075">
        <v>1.853</v>
      </c>
      <c r="I314" s="1075">
        <v>1.6667000000000001</v>
      </c>
      <c r="J314" s="1075">
        <v>1.6667000000000001</v>
      </c>
      <c r="K314" s="1075">
        <v>1.6667000000000001</v>
      </c>
      <c r="L314" s="1075">
        <v>1.6667000000000001</v>
      </c>
      <c r="M314" s="1075">
        <v>1.6667000000000001</v>
      </c>
    </row>
    <row r="315" spans="1:13">
      <c r="A315" s="1072">
        <v>0.7</v>
      </c>
      <c r="B315" s="1075">
        <v>1.6436999999999999</v>
      </c>
      <c r="C315" s="1075">
        <v>1.6436999999999999</v>
      </c>
      <c r="D315" s="1075">
        <v>1.7163999999999999</v>
      </c>
      <c r="E315" s="1075">
        <v>1.7163999999999999</v>
      </c>
      <c r="F315" s="1075">
        <v>1.7163999999999999</v>
      </c>
      <c r="G315" s="1075">
        <v>1.5883</v>
      </c>
      <c r="H315" s="1075">
        <v>1.5883</v>
      </c>
      <c r="I315" s="1075">
        <v>1.4286000000000001</v>
      </c>
      <c r="J315" s="1075">
        <v>1.4286000000000001</v>
      </c>
      <c r="K315" s="1075">
        <v>1.4286000000000001</v>
      </c>
      <c r="L315" s="1075">
        <v>1.4286000000000001</v>
      </c>
      <c r="M315" s="1075">
        <v>1.4286000000000001</v>
      </c>
    </row>
    <row r="316" spans="1:13">
      <c r="A316" s="1072">
        <v>0.8</v>
      </c>
      <c r="B316" s="1075">
        <v>1.4382999999999999</v>
      </c>
      <c r="C316" s="1075">
        <v>1.4382999999999999</v>
      </c>
      <c r="D316" s="1075">
        <v>1.5019</v>
      </c>
      <c r="E316" s="1075">
        <v>1.5019</v>
      </c>
      <c r="F316" s="1075">
        <v>1.5019</v>
      </c>
      <c r="G316" s="1075">
        <v>1.3897999999999999</v>
      </c>
      <c r="H316" s="1075">
        <v>1.3897999999999999</v>
      </c>
      <c r="I316" s="1075">
        <v>1.25</v>
      </c>
      <c r="J316" s="1075">
        <v>1.25</v>
      </c>
      <c r="K316" s="1075">
        <v>1.25</v>
      </c>
      <c r="L316" s="1075">
        <v>1.25</v>
      </c>
      <c r="M316" s="1075">
        <v>1.25</v>
      </c>
    </row>
    <row r="317" spans="1:13">
      <c r="A317" s="1072">
        <v>0.9</v>
      </c>
      <c r="B317" s="1075">
        <v>1.2784</v>
      </c>
      <c r="C317" s="1075">
        <v>1.2784</v>
      </c>
      <c r="D317" s="1075">
        <v>1.335</v>
      </c>
      <c r="E317" s="1075">
        <v>1.335</v>
      </c>
      <c r="F317" s="1075">
        <v>1.335</v>
      </c>
      <c r="G317" s="1075">
        <v>1.2353000000000001</v>
      </c>
      <c r="H317" s="1075">
        <v>1.2353000000000001</v>
      </c>
      <c r="I317" s="1075">
        <v>1.1111</v>
      </c>
      <c r="J317" s="1075">
        <v>1.1111</v>
      </c>
      <c r="K317" s="1075">
        <v>1.1111</v>
      </c>
      <c r="L317" s="1075">
        <v>1.1111</v>
      </c>
      <c r="M317" s="1075">
        <v>1.1111</v>
      </c>
    </row>
    <row r="318" spans="1:13">
      <c r="A318" s="1072">
        <v>1</v>
      </c>
      <c r="B318" s="1075">
        <v>1.1506000000000001</v>
      </c>
      <c r="C318" s="1075">
        <v>1.1506000000000001</v>
      </c>
      <c r="D318" s="1075">
        <v>1.2015</v>
      </c>
      <c r="E318" s="1075">
        <v>1.2015</v>
      </c>
      <c r="F318" s="1075">
        <v>1.2015</v>
      </c>
      <c r="G318" s="1075">
        <v>1.1117999999999999</v>
      </c>
      <c r="H318" s="1075">
        <v>1.1117999999999999</v>
      </c>
      <c r="I318" s="1075">
        <v>1</v>
      </c>
      <c r="J318" s="1075">
        <v>1</v>
      </c>
      <c r="K318" s="1075">
        <v>1</v>
      </c>
      <c r="L318" s="1075">
        <v>1</v>
      </c>
      <c r="M318" s="1075">
        <v>1</v>
      </c>
    </row>
    <row r="319" spans="1:13">
      <c r="A319" s="1072">
        <v>1.1000000000000001</v>
      </c>
      <c r="B319" s="1075">
        <v>1.1158999999999999</v>
      </c>
      <c r="C319" s="1075">
        <v>1.1158999999999999</v>
      </c>
      <c r="D319" s="1075">
        <v>1.1440999999999999</v>
      </c>
      <c r="E319" s="1075">
        <v>1.1440999999999999</v>
      </c>
      <c r="F319" s="1075">
        <v>1.1440999999999999</v>
      </c>
      <c r="G319" s="1075">
        <v>1.0492999999999999</v>
      </c>
      <c r="H319" s="1075">
        <v>1.0492999999999999</v>
      </c>
      <c r="I319" s="1075">
        <v>0.93730000000000002</v>
      </c>
      <c r="J319" s="1075">
        <v>0.93730000000000002</v>
      </c>
      <c r="K319" s="1075">
        <v>0.93730000000000002</v>
      </c>
      <c r="L319" s="1075">
        <v>0.93730000000000002</v>
      </c>
      <c r="M319" s="1075">
        <v>0.93730000000000002</v>
      </c>
    </row>
    <row r="320" spans="1:13">
      <c r="A320" s="1072">
        <v>1.2</v>
      </c>
      <c r="B320" s="1075">
        <v>1.0837000000000001</v>
      </c>
      <c r="C320" s="1075">
        <v>1.0837000000000001</v>
      </c>
      <c r="D320" s="1075">
        <v>1.0972999999999999</v>
      </c>
      <c r="E320" s="1075">
        <v>1.0972999999999999</v>
      </c>
      <c r="F320" s="1075">
        <v>1.0972999999999999</v>
      </c>
      <c r="G320" s="1075">
        <v>1</v>
      </c>
      <c r="H320" s="1075">
        <v>1</v>
      </c>
      <c r="I320" s="1075">
        <v>0.88890000000000002</v>
      </c>
      <c r="J320" s="1075">
        <v>0.88890000000000002</v>
      </c>
      <c r="K320" s="1075">
        <v>0.88890000000000002</v>
      </c>
      <c r="L320" s="1075">
        <v>0.88890000000000002</v>
      </c>
      <c r="M320" s="1075">
        <v>0.88890000000000002</v>
      </c>
    </row>
    <row r="321" spans="1:13">
      <c r="A321" s="1072">
        <v>1.3</v>
      </c>
      <c r="B321" s="1075">
        <v>1.0538000000000001</v>
      </c>
      <c r="C321" s="1075">
        <v>1.0538000000000001</v>
      </c>
      <c r="D321" s="1075">
        <v>1.0589999999999999</v>
      </c>
      <c r="E321" s="1075">
        <v>1.0589999999999999</v>
      </c>
      <c r="F321" s="1075">
        <v>1.0589999999999999</v>
      </c>
      <c r="G321" s="1075">
        <v>0.96140000000000003</v>
      </c>
      <c r="H321" s="1075">
        <v>0.96140000000000003</v>
      </c>
      <c r="I321" s="1075">
        <v>0.85209999999999997</v>
      </c>
      <c r="J321" s="1075">
        <v>0.85209999999999997</v>
      </c>
      <c r="K321" s="1075">
        <v>0.85209999999999997</v>
      </c>
      <c r="L321" s="1075">
        <v>0.85209999999999997</v>
      </c>
      <c r="M321" s="1075">
        <v>0.85209999999999997</v>
      </c>
    </row>
    <row r="322" spans="1:13">
      <c r="A322" s="1072">
        <v>1.4</v>
      </c>
      <c r="B322" s="1075">
        <v>1.026</v>
      </c>
      <c r="C322" s="1075">
        <v>1.026</v>
      </c>
      <c r="D322" s="1075">
        <v>1.0271999999999999</v>
      </c>
      <c r="E322" s="1075">
        <v>1.0271999999999999</v>
      </c>
      <c r="F322" s="1075">
        <v>1.0271999999999999</v>
      </c>
      <c r="G322" s="1075">
        <v>0.93079999999999996</v>
      </c>
      <c r="H322" s="1075">
        <v>0.93079999999999996</v>
      </c>
      <c r="I322" s="1075">
        <v>0.82379999999999998</v>
      </c>
      <c r="J322" s="1075">
        <v>0.82379999999999998</v>
      </c>
      <c r="K322" s="1075">
        <v>0.82379999999999998</v>
      </c>
      <c r="L322" s="1075">
        <v>0.82379999999999998</v>
      </c>
      <c r="M322" s="1075">
        <v>0.82379999999999998</v>
      </c>
    </row>
    <row r="323" spans="1:13">
      <c r="A323" s="1072">
        <v>1.5</v>
      </c>
      <c r="B323" s="1075">
        <v>1</v>
      </c>
      <c r="C323" s="1075">
        <v>1</v>
      </c>
      <c r="D323" s="1075">
        <v>1</v>
      </c>
      <c r="E323" s="1075">
        <v>1</v>
      </c>
      <c r="F323" s="1075">
        <v>1</v>
      </c>
      <c r="G323" s="1075">
        <v>0.90559999999999996</v>
      </c>
      <c r="H323" s="1075">
        <v>0.90559999999999996</v>
      </c>
      <c r="I323" s="1075">
        <v>0.80110000000000003</v>
      </c>
      <c r="J323" s="1075">
        <v>0.80110000000000003</v>
      </c>
      <c r="K323" s="1075">
        <v>0.80110000000000003</v>
      </c>
      <c r="L323" s="1075">
        <v>0.80110000000000003</v>
      </c>
      <c r="M323" s="1075">
        <v>0.80110000000000003</v>
      </c>
    </row>
    <row r="324" spans="1:13">
      <c r="A324" s="1072">
        <v>1.6</v>
      </c>
      <c r="B324" s="1075">
        <v>0.97570000000000001</v>
      </c>
      <c r="C324" s="1075">
        <v>0.97570000000000001</v>
      </c>
      <c r="D324" s="1075">
        <v>0.97519999999999996</v>
      </c>
      <c r="E324" s="1075">
        <v>0.97519999999999996</v>
      </c>
      <c r="F324" s="1075">
        <v>0.97519999999999996</v>
      </c>
      <c r="G324" s="1075">
        <v>0.8831</v>
      </c>
      <c r="H324" s="1075">
        <v>0.8831</v>
      </c>
      <c r="I324" s="1075">
        <v>0.78100000000000003</v>
      </c>
      <c r="J324" s="1075">
        <v>0.78100000000000003</v>
      </c>
      <c r="K324" s="1075">
        <v>0.78100000000000003</v>
      </c>
      <c r="L324" s="1075">
        <v>0.78100000000000003</v>
      </c>
      <c r="M324" s="1075">
        <v>0.78100000000000003</v>
      </c>
    </row>
    <row r="325" spans="1:13">
      <c r="A325" s="1072">
        <v>1.7</v>
      </c>
      <c r="B325" s="1075">
        <v>0.95289999999999997</v>
      </c>
      <c r="C325" s="1075">
        <v>0.95289999999999997</v>
      </c>
      <c r="D325" s="1075">
        <v>0.95189999999999997</v>
      </c>
      <c r="E325" s="1075">
        <v>0.95189999999999997</v>
      </c>
      <c r="F325" s="1075">
        <v>0.95189999999999997</v>
      </c>
      <c r="G325" s="1075">
        <v>0.86180000000000001</v>
      </c>
      <c r="H325" s="1075">
        <v>0.86180000000000001</v>
      </c>
      <c r="I325" s="1075">
        <v>0.7621</v>
      </c>
      <c r="J325" s="1075">
        <v>0.7621</v>
      </c>
      <c r="K325" s="1075">
        <v>0.7621</v>
      </c>
      <c r="L325" s="1075">
        <v>0.7621</v>
      </c>
      <c r="M325" s="1075">
        <v>0.7621</v>
      </c>
    </row>
    <row r="326" spans="1:13">
      <c r="A326" s="1072">
        <v>1.8</v>
      </c>
      <c r="B326" s="1075">
        <v>0.93149999999999999</v>
      </c>
      <c r="C326" s="1075">
        <v>0.93149999999999999</v>
      </c>
      <c r="D326" s="1075">
        <v>0.93</v>
      </c>
      <c r="E326" s="1075">
        <v>0.93</v>
      </c>
      <c r="F326" s="1075">
        <v>0.93</v>
      </c>
      <c r="G326" s="1075">
        <v>0.84179999999999999</v>
      </c>
      <c r="H326" s="1075">
        <v>0.84179999999999999</v>
      </c>
      <c r="I326" s="1075">
        <v>0.74419999999999997</v>
      </c>
      <c r="J326" s="1075">
        <v>0.74419999999999997</v>
      </c>
      <c r="K326" s="1075">
        <v>0.74419999999999997</v>
      </c>
      <c r="L326" s="1075">
        <v>0.74419999999999997</v>
      </c>
      <c r="M326" s="1075">
        <v>0.74419999999999997</v>
      </c>
    </row>
    <row r="327" spans="1:13">
      <c r="A327" s="1072">
        <v>1.9</v>
      </c>
      <c r="B327" s="1075">
        <v>0.91139999999999999</v>
      </c>
      <c r="C327" s="1075">
        <v>0.91139999999999999</v>
      </c>
      <c r="D327" s="1075">
        <v>0.90939999999999999</v>
      </c>
      <c r="E327" s="1075">
        <v>0.90939999999999999</v>
      </c>
      <c r="F327" s="1075">
        <v>0.90939999999999999</v>
      </c>
      <c r="G327" s="1075">
        <v>0.82289999999999996</v>
      </c>
      <c r="H327" s="1075">
        <v>0.82289999999999996</v>
      </c>
      <c r="I327" s="1075">
        <v>0.72740000000000005</v>
      </c>
      <c r="J327" s="1075">
        <v>0.72740000000000005</v>
      </c>
      <c r="K327" s="1075">
        <v>0.72740000000000005</v>
      </c>
      <c r="L327" s="1075">
        <v>0.72740000000000005</v>
      </c>
      <c r="M327" s="1075">
        <v>0.72740000000000005</v>
      </c>
    </row>
    <row r="328" spans="1:13">
      <c r="A328" s="1072">
        <v>2</v>
      </c>
      <c r="B328" s="1075">
        <v>0.89270000000000005</v>
      </c>
      <c r="C328" s="1075">
        <v>0.89270000000000005</v>
      </c>
      <c r="D328" s="1075">
        <v>0.8901</v>
      </c>
      <c r="E328" s="1075">
        <v>0.8901</v>
      </c>
      <c r="F328" s="1075">
        <v>0.8901</v>
      </c>
      <c r="G328" s="1075">
        <v>0.80530000000000002</v>
      </c>
      <c r="H328" s="1075">
        <v>0.80530000000000002</v>
      </c>
      <c r="I328" s="1075">
        <v>0.71160000000000001</v>
      </c>
      <c r="J328" s="1075">
        <v>0.71160000000000001</v>
      </c>
      <c r="K328" s="1075">
        <v>0.71160000000000001</v>
      </c>
      <c r="L328" s="1075">
        <v>0.71160000000000001</v>
      </c>
      <c r="M328" s="1075">
        <v>0.71160000000000001</v>
      </c>
    </row>
    <row r="329" spans="1:13">
      <c r="A329" s="1076">
        <v>2.1</v>
      </c>
      <c r="B329" s="1075">
        <v>0.87519999999999998</v>
      </c>
      <c r="C329" s="1075">
        <v>0.87519999999999998</v>
      </c>
      <c r="D329" s="1075">
        <v>0.872</v>
      </c>
      <c r="E329" s="1075">
        <v>0.872</v>
      </c>
      <c r="F329" s="1075">
        <v>0.872</v>
      </c>
      <c r="G329" s="1075">
        <v>0.78869999999999996</v>
      </c>
      <c r="H329" s="1075">
        <v>0.78869999999999996</v>
      </c>
      <c r="I329" s="1075">
        <v>0.69669999999999999</v>
      </c>
      <c r="J329" s="1075">
        <v>0.69669999999999999</v>
      </c>
      <c r="K329" s="1075">
        <v>0.69669999999999999</v>
      </c>
      <c r="L329" s="1075">
        <v>0.69669999999999999</v>
      </c>
      <c r="M329" s="1075">
        <v>0.69669999999999999</v>
      </c>
    </row>
    <row r="330" spans="1:13">
      <c r="A330" s="1076">
        <v>2.2000000000000002</v>
      </c>
      <c r="B330" s="1075">
        <v>0.85880000000000001</v>
      </c>
      <c r="C330" s="1075">
        <v>0.85880000000000001</v>
      </c>
      <c r="D330" s="1075">
        <v>0.85499999999999998</v>
      </c>
      <c r="E330" s="1075">
        <v>0.85499999999999998</v>
      </c>
      <c r="F330" s="1075">
        <v>0.85499999999999998</v>
      </c>
      <c r="G330" s="1075">
        <v>0.77300000000000002</v>
      </c>
      <c r="H330" s="1075">
        <v>0.77300000000000002</v>
      </c>
      <c r="I330" s="1075">
        <v>0.68269999999999997</v>
      </c>
      <c r="J330" s="1075">
        <v>0.68269999999999997</v>
      </c>
      <c r="K330" s="1075">
        <v>0.68269999999999997</v>
      </c>
      <c r="L330" s="1075">
        <v>0.68269999999999997</v>
      </c>
      <c r="M330" s="1075">
        <v>0.68269999999999997</v>
      </c>
    </row>
    <row r="331" spans="1:13">
      <c r="A331" s="1076">
        <v>2.2999999999999998</v>
      </c>
      <c r="B331" s="1075">
        <v>0.84360000000000002</v>
      </c>
      <c r="C331" s="1075">
        <v>0.84360000000000002</v>
      </c>
      <c r="D331" s="1075">
        <v>0.83899999999999997</v>
      </c>
      <c r="E331" s="1075">
        <v>0.83899999999999997</v>
      </c>
      <c r="F331" s="1075">
        <v>0.83899999999999997</v>
      </c>
      <c r="G331" s="1075">
        <v>0.75839999999999996</v>
      </c>
      <c r="H331" s="1075">
        <v>0.75839999999999996</v>
      </c>
      <c r="I331" s="1075">
        <v>0.66949999999999998</v>
      </c>
      <c r="J331" s="1075">
        <v>0.66949999999999998</v>
      </c>
      <c r="K331" s="1075">
        <v>0.66949999999999998</v>
      </c>
      <c r="L331" s="1075">
        <v>0.66949999999999998</v>
      </c>
      <c r="M331" s="1075">
        <v>0.66949999999999998</v>
      </c>
    </row>
    <row r="332" spans="1:13">
      <c r="A332" s="1076">
        <v>2.4</v>
      </c>
      <c r="B332" s="1075">
        <v>0.82940000000000003</v>
      </c>
      <c r="C332" s="1075">
        <v>0.82940000000000003</v>
      </c>
      <c r="D332" s="1075">
        <v>0.82410000000000005</v>
      </c>
      <c r="E332" s="1075">
        <v>0.82410000000000005</v>
      </c>
      <c r="F332" s="1075">
        <v>0.82410000000000005</v>
      </c>
      <c r="G332" s="1075">
        <v>0.74460000000000004</v>
      </c>
      <c r="H332" s="1075">
        <v>0.74460000000000004</v>
      </c>
      <c r="I332" s="1075">
        <v>0.65710000000000002</v>
      </c>
      <c r="J332" s="1075">
        <v>0.65710000000000002</v>
      </c>
      <c r="K332" s="1075">
        <v>0.65710000000000002</v>
      </c>
      <c r="L332" s="1075">
        <v>0.65710000000000002</v>
      </c>
      <c r="M332" s="1075">
        <v>0.65710000000000002</v>
      </c>
    </row>
    <row r="333" spans="1:13">
      <c r="A333" s="1076">
        <v>2.5</v>
      </c>
      <c r="B333" s="1075">
        <v>0.81620000000000004</v>
      </c>
      <c r="C333" s="1075">
        <v>0.81620000000000004</v>
      </c>
      <c r="D333" s="1075">
        <v>0.81020000000000003</v>
      </c>
      <c r="E333" s="1075">
        <v>0.81020000000000003</v>
      </c>
      <c r="F333" s="1075">
        <v>0.81020000000000003</v>
      </c>
      <c r="G333" s="1075">
        <v>0.73180000000000001</v>
      </c>
      <c r="H333" s="1075">
        <v>0.73180000000000001</v>
      </c>
      <c r="I333" s="1075">
        <v>0.64549999999999996</v>
      </c>
      <c r="J333" s="1075">
        <v>0.64549999999999996</v>
      </c>
      <c r="K333" s="1075">
        <v>0.64549999999999996</v>
      </c>
      <c r="L333" s="1075">
        <v>0.64549999999999996</v>
      </c>
      <c r="M333" s="1075">
        <v>0.64549999999999996</v>
      </c>
    </row>
    <row r="334" spans="1:13">
      <c r="A334" s="1076">
        <v>2.6</v>
      </c>
      <c r="B334" s="1075">
        <v>0.80389999999999995</v>
      </c>
      <c r="C334" s="1075">
        <v>0.80389999999999995</v>
      </c>
      <c r="D334" s="1075">
        <v>0.79710000000000003</v>
      </c>
      <c r="E334" s="1075">
        <v>0.79710000000000003</v>
      </c>
      <c r="F334" s="1075">
        <v>0.79710000000000003</v>
      </c>
      <c r="G334" s="1075">
        <v>0.71970000000000001</v>
      </c>
      <c r="H334" s="1075">
        <v>0.71970000000000001</v>
      </c>
      <c r="I334" s="1075">
        <v>0.63460000000000005</v>
      </c>
      <c r="J334" s="1075">
        <v>0.63460000000000005</v>
      </c>
      <c r="K334" s="1075">
        <v>0.63460000000000005</v>
      </c>
      <c r="L334" s="1075">
        <v>0.63460000000000005</v>
      </c>
      <c r="M334" s="1075">
        <v>0.63460000000000005</v>
      </c>
    </row>
    <row r="335" spans="1:13">
      <c r="A335" s="1076">
        <v>2.7</v>
      </c>
      <c r="B335" s="1075">
        <v>0.79249999999999998</v>
      </c>
      <c r="C335" s="1075">
        <v>0.79249999999999998</v>
      </c>
      <c r="D335" s="1075">
        <v>0.78490000000000004</v>
      </c>
      <c r="E335" s="1075">
        <v>0.78490000000000004</v>
      </c>
      <c r="F335" s="1075">
        <v>0.78490000000000004</v>
      </c>
      <c r="G335" s="1075">
        <v>0.70840000000000003</v>
      </c>
      <c r="H335" s="1075">
        <v>0.70840000000000003</v>
      </c>
      <c r="I335" s="1075">
        <v>0.62439999999999996</v>
      </c>
      <c r="J335" s="1075">
        <v>0.62439999999999996</v>
      </c>
      <c r="K335" s="1075">
        <v>0.62439999999999996</v>
      </c>
      <c r="L335" s="1075">
        <v>0.62439999999999996</v>
      </c>
      <c r="M335" s="1075">
        <v>0.62439999999999996</v>
      </c>
    </row>
    <row r="336" spans="1:13">
      <c r="A336" s="1076">
        <v>2.8</v>
      </c>
      <c r="B336" s="1075">
        <v>0.78190000000000004</v>
      </c>
      <c r="C336" s="1075">
        <v>0.78190000000000004</v>
      </c>
      <c r="D336" s="1075">
        <v>0.77359999999999995</v>
      </c>
      <c r="E336" s="1075">
        <v>0.77359999999999995</v>
      </c>
      <c r="F336" s="1075">
        <v>0.77359999999999995</v>
      </c>
      <c r="G336" s="1075">
        <v>0.69789999999999996</v>
      </c>
      <c r="H336" s="1075">
        <v>0.69789999999999996</v>
      </c>
      <c r="I336" s="1075">
        <v>0.61480000000000001</v>
      </c>
      <c r="J336" s="1075">
        <v>0.61480000000000001</v>
      </c>
      <c r="K336" s="1075">
        <v>0.61480000000000001</v>
      </c>
      <c r="L336" s="1075">
        <v>0.61480000000000001</v>
      </c>
      <c r="M336" s="1075">
        <v>0.61480000000000001</v>
      </c>
    </row>
    <row r="337" spans="1:13">
      <c r="A337" s="1076">
        <v>2.9</v>
      </c>
      <c r="B337" s="1075">
        <v>0.77210000000000001</v>
      </c>
      <c r="C337" s="1075">
        <v>0.77210000000000001</v>
      </c>
      <c r="D337" s="1075">
        <v>0.76300000000000001</v>
      </c>
      <c r="E337" s="1075">
        <v>0.76300000000000001</v>
      </c>
      <c r="F337" s="1075">
        <v>0.76300000000000001</v>
      </c>
      <c r="G337" s="1075">
        <v>0.68799999999999994</v>
      </c>
      <c r="H337" s="1075">
        <v>0.68799999999999994</v>
      </c>
      <c r="I337" s="1075">
        <v>0.60589999999999999</v>
      </c>
      <c r="J337" s="1075">
        <v>0.60589999999999999</v>
      </c>
      <c r="K337" s="1075">
        <v>0.60589999999999999</v>
      </c>
      <c r="L337" s="1075">
        <v>0.60589999999999999</v>
      </c>
      <c r="M337" s="1075">
        <v>0.60589999999999999</v>
      </c>
    </row>
    <row r="338" spans="1:13">
      <c r="A338" s="1076">
        <v>3</v>
      </c>
      <c r="B338" s="1075">
        <v>0.7631</v>
      </c>
      <c r="C338" s="1075">
        <v>0.7631</v>
      </c>
      <c r="D338" s="1075">
        <v>0.75309999999999999</v>
      </c>
      <c r="E338" s="1075">
        <v>0.75309999999999999</v>
      </c>
      <c r="F338" s="1075">
        <v>0.75309999999999999</v>
      </c>
      <c r="G338" s="1075">
        <v>0.67879999999999996</v>
      </c>
      <c r="H338" s="1075">
        <v>0.67879999999999996</v>
      </c>
      <c r="I338" s="1075">
        <v>0.59750000000000003</v>
      </c>
      <c r="J338" s="1075">
        <v>0.59750000000000003</v>
      </c>
      <c r="K338" s="1075">
        <v>0.59750000000000003</v>
      </c>
      <c r="L338" s="1075">
        <v>0.59750000000000003</v>
      </c>
      <c r="M338" s="1075">
        <v>0.59750000000000003</v>
      </c>
    </row>
    <row r="339" spans="1:13">
      <c r="A339" s="1076">
        <v>3.1</v>
      </c>
      <c r="B339" s="1075">
        <v>0.75470000000000004</v>
      </c>
      <c r="C339" s="1075">
        <v>0.75470000000000004</v>
      </c>
      <c r="D339" s="1075">
        <v>0.74399999999999999</v>
      </c>
      <c r="E339" s="1075">
        <v>0.74399999999999999</v>
      </c>
      <c r="F339" s="1075">
        <v>0.74399999999999999</v>
      </c>
      <c r="G339" s="1075">
        <v>0.67020000000000002</v>
      </c>
      <c r="H339" s="1075">
        <v>0.67020000000000002</v>
      </c>
      <c r="I339" s="1075">
        <v>0.5897</v>
      </c>
      <c r="J339" s="1075">
        <v>0.5897</v>
      </c>
      <c r="K339" s="1075">
        <v>0.5897</v>
      </c>
      <c r="L339" s="1075">
        <v>0.5897</v>
      </c>
      <c r="M339" s="1075">
        <v>0.5897</v>
      </c>
    </row>
    <row r="340" spans="1:13">
      <c r="A340" s="1076">
        <v>3.2</v>
      </c>
      <c r="B340" s="1075">
        <v>0.747</v>
      </c>
      <c r="C340" s="1075">
        <v>0.747</v>
      </c>
      <c r="D340" s="1075">
        <v>0.73540000000000005</v>
      </c>
      <c r="E340" s="1075">
        <v>0.73540000000000005</v>
      </c>
      <c r="F340" s="1075">
        <v>0.73540000000000005</v>
      </c>
      <c r="G340" s="1075">
        <v>0.66220000000000001</v>
      </c>
      <c r="H340" s="1075">
        <v>0.66220000000000001</v>
      </c>
      <c r="I340" s="1075">
        <v>0.58230000000000004</v>
      </c>
      <c r="J340" s="1075">
        <v>0.58230000000000004</v>
      </c>
      <c r="K340" s="1075">
        <v>0.58230000000000004</v>
      </c>
      <c r="L340" s="1075">
        <v>0.58230000000000004</v>
      </c>
      <c r="M340" s="1075">
        <v>0.58230000000000004</v>
      </c>
    </row>
    <row r="341" spans="1:13">
      <c r="A341" s="1076">
        <v>3.3</v>
      </c>
      <c r="B341" s="1075">
        <v>0.7399</v>
      </c>
      <c r="C341" s="1075">
        <v>0.7399</v>
      </c>
      <c r="D341" s="1075">
        <v>0.72750000000000004</v>
      </c>
      <c r="E341" s="1075">
        <v>0.72750000000000004</v>
      </c>
      <c r="F341" s="1075">
        <v>0.72750000000000004</v>
      </c>
      <c r="G341" s="1075">
        <v>0.65480000000000005</v>
      </c>
      <c r="H341" s="1075">
        <v>0.65480000000000005</v>
      </c>
      <c r="I341" s="1075">
        <v>0.57540000000000002</v>
      </c>
      <c r="J341" s="1075">
        <v>0.57540000000000002</v>
      </c>
      <c r="K341" s="1075">
        <v>0.57540000000000002</v>
      </c>
      <c r="L341" s="1075">
        <v>0.57540000000000002</v>
      </c>
      <c r="M341" s="1075">
        <v>0.57540000000000002</v>
      </c>
    </row>
    <row r="342" spans="1:13">
      <c r="A342" s="1076">
        <v>3.4</v>
      </c>
      <c r="B342" s="1075">
        <v>0.73340000000000005</v>
      </c>
      <c r="C342" s="1075">
        <v>0.73340000000000005</v>
      </c>
      <c r="D342" s="1075">
        <v>0.72009999999999996</v>
      </c>
      <c r="E342" s="1075">
        <v>0.72009999999999996</v>
      </c>
      <c r="F342" s="1075">
        <v>0.72009999999999996</v>
      </c>
      <c r="G342" s="1075">
        <v>0.64780000000000004</v>
      </c>
      <c r="H342" s="1075">
        <v>0.64780000000000004</v>
      </c>
      <c r="I342" s="1075">
        <v>0.56899999999999995</v>
      </c>
      <c r="J342" s="1075">
        <v>0.56899999999999995</v>
      </c>
      <c r="K342" s="1075">
        <v>0.56899999999999995</v>
      </c>
      <c r="L342" s="1075">
        <v>0.56899999999999995</v>
      </c>
      <c r="M342" s="1075">
        <v>0.56899999999999995</v>
      </c>
    </row>
    <row r="343" spans="1:13">
      <c r="A343" s="1076">
        <v>3.5</v>
      </c>
      <c r="B343" s="1075">
        <v>0.72740000000000005</v>
      </c>
      <c r="C343" s="1075">
        <v>0.72740000000000005</v>
      </c>
      <c r="D343" s="1075">
        <v>0.71330000000000005</v>
      </c>
      <c r="E343" s="1075">
        <v>0.71330000000000005</v>
      </c>
      <c r="F343" s="1075">
        <v>0.71330000000000005</v>
      </c>
      <c r="G343" s="1075">
        <v>0.64129999999999998</v>
      </c>
      <c r="H343" s="1075">
        <v>0.64129999999999998</v>
      </c>
      <c r="I343" s="1075">
        <v>0.56310000000000004</v>
      </c>
      <c r="J343" s="1075">
        <v>0.56310000000000004</v>
      </c>
      <c r="K343" s="1075">
        <v>0.56310000000000004</v>
      </c>
      <c r="L343" s="1075">
        <v>0.56310000000000004</v>
      </c>
      <c r="M343" s="1075">
        <v>0.56310000000000004</v>
      </c>
    </row>
    <row r="344" spans="1:13">
      <c r="A344" s="1076">
        <v>3.6</v>
      </c>
      <c r="B344" s="1075">
        <v>0.72189999999999999</v>
      </c>
      <c r="C344" s="1075">
        <v>0.72189999999999999</v>
      </c>
      <c r="D344" s="1075">
        <v>0.70699999999999996</v>
      </c>
      <c r="E344" s="1075">
        <v>0.70699999999999996</v>
      </c>
      <c r="F344" s="1075">
        <v>0.70699999999999996</v>
      </c>
      <c r="G344" s="1075">
        <v>0.63529999999999998</v>
      </c>
      <c r="H344" s="1075">
        <v>0.63529999999999998</v>
      </c>
      <c r="I344" s="1075">
        <v>0.5575</v>
      </c>
      <c r="J344" s="1075">
        <v>0.5575</v>
      </c>
      <c r="K344" s="1075">
        <v>0.5575</v>
      </c>
      <c r="L344" s="1075">
        <v>0.5575</v>
      </c>
      <c r="M344" s="1075">
        <v>0.5575</v>
      </c>
    </row>
    <row r="345" spans="1:13">
      <c r="A345" s="1076">
        <v>3.7</v>
      </c>
      <c r="B345" s="1075">
        <v>0.71679999999999999</v>
      </c>
      <c r="C345" s="1075">
        <v>0.71679999999999999</v>
      </c>
      <c r="D345" s="1075">
        <v>0.70109999999999995</v>
      </c>
      <c r="E345" s="1075">
        <v>0.70109999999999995</v>
      </c>
      <c r="F345" s="1075">
        <v>0.70109999999999995</v>
      </c>
      <c r="G345" s="1075">
        <v>0.62970000000000004</v>
      </c>
      <c r="H345" s="1075">
        <v>0.62970000000000004</v>
      </c>
      <c r="I345" s="1075">
        <v>0.55230000000000001</v>
      </c>
      <c r="J345" s="1075">
        <v>0.55230000000000001</v>
      </c>
      <c r="K345" s="1075">
        <v>0.55230000000000001</v>
      </c>
      <c r="L345" s="1075">
        <v>0.55230000000000001</v>
      </c>
      <c r="M345" s="1075">
        <v>0.55230000000000001</v>
      </c>
    </row>
    <row r="346" spans="1:13">
      <c r="A346" s="1076">
        <v>3.8</v>
      </c>
      <c r="B346" s="1075">
        <v>0.71220000000000006</v>
      </c>
      <c r="C346" s="1075">
        <v>0.71220000000000006</v>
      </c>
      <c r="D346" s="1075">
        <v>0.6956</v>
      </c>
      <c r="E346" s="1075">
        <v>0.6956</v>
      </c>
      <c r="F346" s="1075">
        <v>0.6956</v>
      </c>
      <c r="G346" s="1075">
        <v>0.62439999999999996</v>
      </c>
      <c r="H346" s="1075">
        <v>0.62439999999999996</v>
      </c>
      <c r="I346" s="1075">
        <v>0.5474</v>
      </c>
      <c r="J346" s="1075">
        <v>0.5474</v>
      </c>
      <c r="K346" s="1075">
        <v>0.5474</v>
      </c>
      <c r="L346" s="1075">
        <v>0.5474</v>
      </c>
      <c r="M346" s="1075">
        <v>0.5474</v>
      </c>
    </row>
    <row r="347" spans="1:13">
      <c r="A347" s="1076">
        <v>3.9</v>
      </c>
      <c r="B347" s="1075">
        <v>0.70799999999999996</v>
      </c>
      <c r="C347" s="1075">
        <v>0.70799999999999996</v>
      </c>
      <c r="D347" s="1075">
        <v>0.69059999999999999</v>
      </c>
      <c r="E347" s="1075">
        <v>0.69059999999999999</v>
      </c>
      <c r="F347" s="1075">
        <v>0.69059999999999999</v>
      </c>
      <c r="G347" s="1075">
        <v>0.61950000000000005</v>
      </c>
      <c r="H347" s="1075">
        <v>0.61950000000000005</v>
      </c>
      <c r="I347" s="1075">
        <v>0.54279999999999995</v>
      </c>
      <c r="J347" s="1075">
        <v>0.54279999999999995</v>
      </c>
      <c r="K347" s="1075">
        <v>0.54279999999999995</v>
      </c>
      <c r="L347" s="1075">
        <v>0.54279999999999995</v>
      </c>
      <c r="M347" s="1075">
        <v>0.54279999999999995</v>
      </c>
    </row>
    <row r="348" spans="1:13">
      <c r="A348" s="1076">
        <v>4</v>
      </c>
      <c r="B348" s="1075">
        <v>0.70409999999999995</v>
      </c>
      <c r="C348" s="1075">
        <v>0.70409999999999995</v>
      </c>
      <c r="D348" s="1075">
        <v>0.68589999999999995</v>
      </c>
      <c r="E348" s="1075">
        <v>0.68589999999999995</v>
      </c>
      <c r="F348" s="1075">
        <v>0.68589999999999995</v>
      </c>
      <c r="G348" s="1075">
        <v>0.61499999999999999</v>
      </c>
      <c r="H348" s="1075">
        <v>0.61499999999999999</v>
      </c>
      <c r="I348" s="1075">
        <v>0.53859999999999997</v>
      </c>
      <c r="J348" s="1075">
        <v>0.53859999999999997</v>
      </c>
      <c r="K348" s="1075">
        <v>0.53859999999999997</v>
      </c>
      <c r="L348" s="1075">
        <v>0.53859999999999997</v>
      </c>
      <c r="M348" s="1075">
        <v>0.53859999999999997</v>
      </c>
    </row>
    <row r="349" spans="1:13">
      <c r="A349" s="1076">
        <v>4.0999999999999996</v>
      </c>
      <c r="B349" s="1075">
        <v>0.7006</v>
      </c>
      <c r="C349" s="1075">
        <v>0.7006</v>
      </c>
      <c r="D349" s="1075">
        <v>0.68159999999999998</v>
      </c>
      <c r="E349" s="1075">
        <v>0.68159999999999998</v>
      </c>
      <c r="F349" s="1075">
        <v>0.68159999999999998</v>
      </c>
      <c r="G349" s="1075">
        <v>0.61080000000000001</v>
      </c>
      <c r="H349" s="1075">
        <v>0.61080000000000001</v>
      </c>
      <c r="I349" s="1075">
        <v>0.53459999999999996</v>
      </c>
      <c r="J349" s="1075">
        <v>0.53459999999999996</v>
      </c>
      <c r="K349" s="1075">
        <v>0.53459999999999996</v>
      </c>
      <c r="L349" s="1075">
        <v>0.53459999999999996</v>
      </c>
      <c r="M349" s="1075">
        <v>0.53459999999999996</v>
      </c>
    </row>
    <row r="350" spans="1:13">
      <c r="A350" s="1076">
        <v>4.2</v>
      </c>
      <c r="B350" s="1075">
        <v>0.69740000000000002</v>
      </c>
      <c r="C350" s="1075">
        <v>0.69740000000000002</v>
      </c>
      <c r="D350" s="1075">
        <v>0.67759999999999998</v>
      </c>
      <c r="E350" s="1075">
        <v>0.67759999999999998</v>
      </c>
      <c r="F350" s="1075">
        <v>0.67759999999999998</v>
      </c>
      <c r="G350" s="1075">
        <v>0.60699999999999998</v>
      </c>
      <c r="H350" s="1075">
        <v>0.60699999999999998</v>
      </c>
      <c r="I350" s="1075">
        <v>0.53090000000000004</v>
      </c>
      <c r="J350" s="1075">
        <v>0.53090000000000004</v>
      </c>
      <c r="K350" s="1075">
        <v>0.53090000000000004</v>
      </c>
      <c r="L350" s="1075">
        <v>0.53090000000000004</v>
      </c>
      <c r="M350" s="1075">
        <v>0.53090000000000004</v>
      </c>
    </row>
    <row r="351" spans="1:13">
      <c r="A351" s="1076">
        <v>4.3</v>
      </c>
      <c r="B351" s="1075">
        <v>0.69450000000000001</v>
      </c>
      <c r="C351" s="1075">
        <v>0.69450000000000001</v>
      </c>
      <c r="D351" s="1075">
        <v>0.67390000000000005</v>
      </c>
      <c r="E351" s="1075">
        <v>0.67390000000000005</v>
      </c>
      <c r="F351" s="1075">
        <v>0.67390000000000005</v>
      </c>
      <c r="G351" s="1075">
        <v>0.60329999999999995</v>
      </c>
      <c r="H351" s="1075">
        <v>0.60329999999999995</v>
      </c>
      <c r="I351" s="1075">
        <v>0.52739999999999998</v>
      </c>
      <c r="J351" s="1075">
        <v>0.52739999999999998</v>
      </c>
      <c r="K351" s="1075">
        <v>0.52739999999999998</v>
      </c>
      <c r="L351" s="1075">
        <v>0.52739999999999998</v>
      </c>
      <c r="M351" s="1075">
        <v>0.52739999999999998</v>
      </c>
    </row>
    <row r="352" spans="1:13">
      <c r="A352" s="1076">
        <v>4.4000000000000004</v>
      </c>
      <c r="B352" s="1075">
        <v>0.69179999999999997</v>
      </c>
      <c r="C352" s="1075">
        <v>0.69179999999999997</v>
      </c>
      <c r="D352" s="1075">
        <v>0.67049999999999998</v>
      </c>
      <c r="E352" s="1075">
        <v>0.67049999999999998</v>
      </c>
      <c r="F352" s="1075">
        <v>0.67049999999999998</v>
      </c>
      <c r="G352" s="1075">
        <v>0.59989999999999999</v>
      </c>
      <c r="H352" s="1075">
        <v>0.59989999999999999</v>
      </c>
      <c r="I352" s="1075">
        <v>0.5242</v>
      </c>
      <c r="J352" s="1075">
        <v>0.5242</v>
      </c>
      <c r="K352" s="1075">
        <v>0.5242</v>
      </c>
      <c r="L352" s="1075">
        <v>0.5242</v>
      </c>
      <c r="M352" s="1075">
        <v>0.5242</v>
      </c>
    </row>
    <row r="353" spans="1:13">
      <c r="A353" s="1076">
        <v>4.5</v>
      </c>
      <c r="B353" s="1075">
        <v>0.68940000000000001</v>
      </c>
      <c r="C353" s="1075">
        <v>0.68940000000000001</v>
      </c>
      <c r="D353" s="1075">
        <v>0.6673</v>
      </c>
      <c r="E353" s="1075">
        <v>0.6673</v>
      </c>
      <c r="F353" s="1075">
        <v>0.6673</v>
      </c>
      <c r="G353" s="1075">
        <v>0.59670000000000001</v>
      </c>
      <c r="H353" s="1075">
        <v>0.59670000000000001</v>
      </c>
      <c r="I353" s="1075">
        <v>0.52110000000000001</v>
      </c>
      <c r="J353" s="1075">
        <v>0.52110000000000001</v>
      </c>
      <c r="K353" s="1075">
        <v>0.52110000000000001</v>
      </c>
      <c r="L353" s="1075">
        <v>0.52110000000000001</v>
      </c>
      <c r="M353" s="1075">
        <v>0.52110000000000001</v>
      </c>
    </row>
    <row r="354" spans="1:13">
      <c r="A354" s="1076">
        <v>4.5999999999999996</v>
      </c>
      <c r="B354" s="1075">
        <v>0.68720000000000003</v>
      </c>
      <c r="C354" s="1075">
        <v>0.68720000000000003</v>
      </c>
      <c r="D354" s="1075">
        <v>0.6643</v>
      </c>
      <c r="E354" s="1075">
        <v>0.6643</v>
      </c>
      <c r="F354" s="1075">
        <v>0.6643</v>
      </c>
      <c r="G354" s="1075">
        <v>0.59379999999999999</v>
      </c>
      <c r="H354" s="1075">
        <v>0.59379999999999999</v>
      </c>
      <c r="I354" s="1075">
        <v>0.51819999999999999</v>
      </c>
      <c r="J354" s="1075">
        <v>0.51819999999999999</v>
      </c>
      <c r="K354" s="1075">
        <v>0.51819999999999999</v>
      </c>
      <c r="L354" s="1075">
        <v>0.51819999999999999</v>
      </c>
      <c r="M354" s="1075">
        <v>0.51819999999999999</v>
      </c>
    </row>
    <row r="355" spans="1:13">
      <c r="A355" s="1076">
        <v>4.7</v>
      </c>
      <c r="B355" s="1075">
        <v>0.68520000000000003</v>
      </c>
      <c r="C355" s="1075">
        <v>0.68520000000000003</v>
      </c>
      <c r="D355" s="1075">
        <v>0.66149999999999998</v>
      </c>
      <c r="E355" s="1075">
        <v>0.66149999999999998</v>
      </c>
      <c r="F355" s="1075">
        <v>0.66149999999999998</v>
      </c>
      <c r="G355" s="1075">
        <v>0.59109999999999996</v>
      </c>
      <c r="H355" s="1075">
        <v>0.59109999999999996</v>
      </c>
      <c r="I355" s="1075">
        <v>0.51559999999999995</v>
      </c>
      <c r="J355" s="1075">
        <v>0.51559999999999995</v>
      </c>
      <c r="K355" s="1075">
        <v>0.51559999999999995</v>
      </c>
      <c r="L355" s="1075">
        <v>0.51559999999999995</v>
      </c>
      <c r="M355" s="1075">
        <v>0.51559999999999995</v>
      </c>
    </row>
    <row r="356" spans="1:13">
      <c r="A356" s="1076">
        <v>4.8</v>
      </c>
      <c r="B356" s="1075">
        <v>0.68340000000000001</v>
      </c>
      <c r="C356" s="1075">
        <v>0.68340000000000001</v>
      </c>
      <c r="D356" s="1075">
        <v>0.65900000000000003</v>
      </c>
      <c r="E356" s="1075">
        <v>0.65900000000000003</v>
      </c>
      <c r="F356" s="1075">
        <v>0.65900000000000003</v>
      </c>
      <c r="G356" s="1075">
        <v>0.58850000000000002</v>
      </c>
      <c r="H356" s="1075">
        <v>0.58850000000000002</v>
      </c>
      <c r="I356" s="1075">
        <v>0.51300000000000001</v>
      </c>
      <c r="J356" s="1075">
        <v>0.51300000000000001</v>
      </c>
      <c r="K356" s="1075">
        <v>0.51300000000000001</v>
      </c>
      <c r="L356" s="1075">
        <v>0.51300000000000001</v>
      </c>
      <c r="M356" s="1075">
        <v>0.51300000000000001</v>
      </c>
    </row>
    <row r="357" spans="1:13">
      <c r="A357" s="1076">
        <v>4.9000000000000004</v>
      </c>
      <c r="B357" s="1075">
        <v>0.68179999999999996</v>
      </c>
      <c r="C357" s="1075">
        <v>0.68179999999999996</v>
      </c>
      <c r="D357" s="1075">
        <v>0.65659999999999996</v>
      </c>
      <c r="E357" s="1075">
        <v>0.65659999999999996</v>
      </c>
      <c r="F357" s="1075">
        <v>0.65659999999999996</v>
      </c>
      <c r="G357" s="1075">
        <v>0.58599999999999997</v>
      </c>
      <c r="H357" s="1075">
        <v>0.58599999999999997</v>
      </c>
      <c r="I357" s="1075">
        <v>0.51060000000000005</v>
      </c>
      <c r="J357" s="1075">
        <v>0.51060000000000005</v>
      </c>
      <c r="K357" s="1075">
        <v>0.51060000000000005</v>
      </c>
      <c r="L357" s="1075">
        <v>0.51060000000000005</v>
      </c>
      <c r="M357" s="1075">
        <v>0.51060000000000005</v>
      </c>
    </row>
    <row r="358" spans="1:13">
      <c r="A358" s="1076">
        <v>5</v>
      </c>
      <c r="B358" s="1075">
        <v>0.68030000000000002</v>
      </c>
      <c r="C358" s="1075">
        <v>0.68030000000000002</v>
      </c>
      <c r="D358" s="1075">
        <v>0.65439999999999998</v>
      </c>
      <c r="E358" s="1075">
        <v>0.65439999999999998</v>
      </c>
      <c r="F358" s="1075">
        <v>0.65439999999999998</v>
      </c>
      <c r="G358" s="1075">
        <v>0.58379999999999999</v>
      </c>
      <c r="H358" s="1075">
        <v>0.58379999999999999</v>
      </c>
      <c r="I358" s="1075">
        <v>0.50839999999999996</v>
      </c>
      <c r="J358" s="1075">
        <v>0.50839999999999996</v>
      </c>
      <c r="K358" s="1075">
        <v>0.50839999999999996</v>
      </c>
      <c r="L358" s="1075">
        <v>0.50839999999999996</v>
      </c>
      <c r="M358" s="1075">
        <v>0.50839999999999996</v>
      </c>
    </row>
    <row r="359" spans="1:13">
      <c r="A359" s="1072">
        <v>5.0999999999999996</v>
      </c>
      <c r="B359" s="1075">
        <v>0.67889999999999995</v>
      </c>
      <c r="C359" s="1075">
        <v>0.67889999999999995</v>
      </c>
      <c r="D359" s="1075">
        <v>0.65229999999999999</v>
      </c>
      <c r="E359" s="1075">
        <v>0.65229999999999999</v>
      </c>
      <c r="F359" s="1075">
        <v>0.65229999999999999</v>
      </c>
      <c r="G359" s="1075">
        <v>0.58160000000000001</v>
      </c>
      <c r="H359" s="1075">
        <v>0.58160000000000001</v>
      </c>
      <c r="I359" s="1075">
        <v>0.50629999999999997</v>
      </c>
      <c r="J359" s="1075">
        <v>0.50629999999999997</v>
      </c>
      <c r="K359" s="1075">
        <v>0.50629999999999997</v>
      </c>
      <c r="L359" s="1075">
        <v>0.50629999999999997</v>
      </c>
      <c r="M359" s="1075">
        <v>0.50629999999999997</v>
      </c>
    </row>
    <row r="360" spans="1:13">
      <c r="A360" s="1072">
        <v>5.2</v>
      </c>
      <c r="B360" s="1075">
        <v>0.67749999999999999</v>
      </c>
      <c r="C360" s="1075">
        <v>0.67749999999999999</v>
      </c>
      <c r="D360" s="1075">
        <v>0.65029999999999999</v>
      </c>
      <c r="E360" s="1075">
        <v>0.65029999999999999</v>
      </c>
      <c r="F360" s="1075">
        <v>0.65029999999999999</v>
      </c>
      <c r="G360" s="1075">
        <v>0.57950000000000002</v>
      </c>
      <c r="H360" s="1075">
        <v>0.57950000000000002</v>
      </c>
      <c r="I360" s="1075">
        <v>0.50419999999999998</v>
      </c>
      <c r="J360" s="1075">
        <v>0.50419999999999998</v>
      </c>
      <c r="K360" s="1075">
        <v>0.50419999999999998</v>
      </c>
      <c r="L360" s="1075">
        <v>0.50419999999999998</v>
      </c>
      <c r="M360" s="1075">
        <v>0.50419999999999998</v>
      </c>
    </row>
    <row r="361" spans="1:13">
      <c r="A361" s="1072">
        <v>5.3</v>
      </c>
      <c r="B361" s="1075">
        <v>0.67620000000000002</v>
      </c>
      <c r="C361" s="1075">
        <v>0.67620000000000002</v>
      </c>
      <c r="D361" s="1075">
        <v>0.64839999999999998</v>
      </c>
      <c r="E361" s="1075">
        <v>0.64839999999999998</v>
      </c>
      <c r="F361" s="1075">
        <v>0.64839999999999998</v>
      </c>
      <c r="G361" s="1075">
        <v>0.5776</v>
      </c>
      <c r="H361" s="1075">
        <v>0.5776</v>
      </c>
      <c r="I361" s="1075">
        <v>0.50229999999999997</v>
      </c>
      <c r="J361" s="1075">
        <v>0.50229999999999997</v>
      </c>
      <c r="K361" s="1075">
        <v>0.50229999999999997</v>
      </c>
      <c r="L361" s="1075">
        <v>0.50229999999999997</v>
      </c>
      <c r="M361" s="1075">
        <v>0.50229999999999997</v>
      </c>
    </row>
    <row r="362" spans="1:13">
      <c r="A362" s="1072">
        <v>5.4</v>
      </c>
      <c r="B362" s="1075">
        <v>0.67500000000000004</v>
      </c>
      <c r="C362" s="1075">
        <v>0.67500000000000004</v>
      </c>
      <c r="D362" s="1075">
        <v>0.64670000000000005</v>
      </c>
      <c r="E362" s="1075">
        <v>0.64670000000000005</v>
      </c>
      <c r="F362" s="1075">
        <v>0.64670000000000005</v>
      </c>
      <c r="G362" s="1075">
        <v>0.57579999999999998</v>
      </c>
      <c r="H362" s="1075">
        <v>0.57579999999999998</v>
      </c>
      <c r="I362" s="1075">
        <v>0.50039999999999996</v>
      </c>
      <c r="J362" s="1075">
        <v>0.50039999999999996</v>
      </c>
      <c r="K362" s="1075">
        <v>0.50039999999999996</v>
      </c>
      <c r="L362" s="1075">
        <v>0.50039999999999996</v>
      </c>
      <c r="M362" s="1075">
        <v>0.50039999999999996</v>
      </c>
    </row>
    <row r="363" spans="1:13">
      <c r="A363" s="1072">
        <v>5.5</v>
      </c>
      <c r="B363" s="1075">
        <v>0.67379999999999995</v>
      </c>
      <c r="C363" s="1075">
        <v>0.67379999999999995</v>
      </c>
      <c r="D363" s="1075">
        <v>0.64500000000000002</v>
      </c>
      <c r="E363" s="1075">
        <v>0.64500000000000002</v>
      </c>
      <c r="F363" s="1075">
        <v>0.64500000000000002</v>
      </c>
      <c r="G363" s="1075">
        <v>0.57399999999999995</v>
      </c>
      <c r="H363" s="1075">
        <v>0.57399999999999995</v>
      </c>
      <c r="I363" s="1075">
        <v>0.49869999999999998</v>
      </c>
      <c r="J363" s="1075">
        <v>0.49869999999999998</v>
      </c>
      <c r="K363" s="1075">
        <v>0.49869999999999998</v>
      </c>
      <c r="L363" s="1075">
        <v>0.49869999999999998</v>
      </c>
      <c r="M363" s="1075">
        <v>0.49869999999999998</v>
      </c>
    </row>
    <row r="364" spans="1:13">
      <c r="A364" s="1072">
        <v>5.6</v>
      </c>
      <c r="B364" s="1075">
        <v>0.67259999999999998</v>
      </c>
      <c r="C364" s="1075">
        <v>0.67259999999999998</v>
      </c>
      <c r="D364" s="1075">
        <v>0.64339999999999997</v>
      </c>
      <c r="E364" s="1075">
        <v>0.64339999999999997</v>
      </c>
      <c r="F364" s="1075">
        <v>0.64339999999999997</v>
      </c>
      <c r="G364" s="1075">
        <v>0.57240000000000002</v>
      </c>
      <c r="H364" s="1075">
        <v>0.57240000000000002</v>
      </c>
      <c r="I364" s="1075">
        <v>0.49690000000000001</v>
      </c>
      <c r="J364" s="1075">
        <v>0.49690000000000001</v>
      </c>
      <c r="K364" s="1075">
        <v>0.49690000000000001</v>
      </c>
      <c r="L364" s="1075">
        <v>0.49690000000000001</v>
      </c>
      <c r="M364" s="1075">
        <v>0.49690000000000001</v>
      </c>
    </row>
    <row r="365" spans="1:13">
      <c r="A365" s="1076">
        <v>5.7</v>
      </c>
      <c r="B365" s="1075">
        <v>0.6714</v>
      </c>
      <c r="C365" s="1075">
        <v>0.6714</v>
      </c>
      <c r="D365" s="1075">
        <v>0.64190000000000003</v>
      </c>
      <c r="E365" s="1075">
        <v>0.64190000000000003</v>
      </c>
      <c r="F365" s="1075">
        <v>0.64190000000000003</v>
      </c>
      <c r="G365" s="1075">
        <v>0.57069999999999999</v>
      </c>
      <c r="H365" s="1075">
        <v>0.57069999999999999</v>
      </c>
      <c r="I365" s="1075">
        <v>0.49519999999999997</v>
      </c>
      <c r="J365" s="1075">
        <v>0.49519999999999997</v>
      </c>
      <c r="K365" s="1075">
        <v>0.49519999999999997</v>
      </c>
      <c r="L365" s="1075">
        <v>0.49519999999999997</v>
      </c>
      <c r="M365" s="1075">
        <v>0.49519999999999997</v>
      </c>
    </row>
    <row r="366" spans="1:13">
      <c r="A366" s="1072">
        <v>5.8</v>
      </c>
      <c r="B366" s="1075">
        <v>0.67020000000000002</v>
      </c>
      <c r="C366" s="1075">
        <v>0.67020000000000002</v>
      </c>
      <c r="D366" s="1075">
        <v>0.64039999999999997</v>
      </c>
      <c r="E366" s="1075">
        <v>0.64039999999999997</v>
      </c>
      <c r="F366" s="1075">
        <v>0.64039999999999997</v>
      </c>
      <c r="G366" s="1075">
        <v>0.56910000000000005</v>
      </c>
      <c r="H366" s="1075">
        <v>0.56910000000000005</v>
      </c>
      <c r="I366" s="1075">
        <v>0.49359999999999998</v>
      </c>
      <c r="J366" s="1075">
        <v>0.49359999999999998</v>
      </c>
      <c r="K366" s="1075">
        <v>0.49359999999999998</v>
      </c>
      <c r="L366" s="1075">
        <v>0.49359999999999998</v>
      </c>
      <c r="M366" s="1075">
        <v>0.49359999999999998</v>
      </c>
    </row>
    <row r="367" spans="1:13">
      <c r="A367" s="1072">
        <v>5.9</v>
      </c>
      <c r="B367" s="1075">
        <v>0.66910000000000003</v>
      </c>
      <c r="C367" s="1075">
        <v>0.66910000000000003</v>
      </c>
      <c r="D367" s="1075">
        <v>0.63890000000000002</v>
      </c>
      <c r="E367" s="1075">
        <v>0.63890000000000002</v>
      </c>
      <c r="F367" s="1075">
        <v>0.63890000000000002</v>
      </c>
      <c r="G367" s="1075">
        <v>0.5675</v>
      </c>
      <c r="H367" s="1075">
        <v>0.5675</v>
      </c>
      <c r="I367" s="1075">
        <v>0.4919</v>
      </c>
      <c r="J367" s="1075">
        <v>0.4919</v>
      </c>
      <c r="K367" s="1075">
        <v>0.4919</v>
      </c>
      <c r="L367" s="1075">
        <v>0.4919</v>
      </c>
      <c r="M367" s="1075">
        <v>0.4919</v>
      </c>
    </row>
    <row r="368" spans="1:13">
      <c r="A368" s="1072">
        <v>6</v>
      </c>
      <c r="B368" s="1075">
        <v>0.66800000000000004</v>
      </c>
      <c r="C368" s="1075">
        <v>0.66800000000000004</v>
      </c>
      <c r="D368" s="1075">
        <v>0.63739999999999997</v>
      </c>
      <c r="E368" s="1075">
        <v>0.63739999999999997</v>
      </c>
      <c r="F368" s="1075">
        <v>0.63739999999999997</v>
      </c>
      <c r="G368" s="1075">
        <v>0.56589999999999996</v>
      </c>
      <c r="H368" s="1075">
        <v>0.56589999999999996</v>
      </c>
      <c r="I368" s="1075">
        <v>0.49020000000000002</v>
      </c>
      <c r="J368" s="1075">
        <v>0.49020000000000002</v>
      </c>
      <c r="K368" s="1075">
        <v>0.49020000000000002</v>
      </c>
      <c r="L368" s="1075">
        <v>0.49020000000000002</v>
      </c>
      <c r="M368" s="1075">
        <v>0.49020000000000002</v>
      </c>
    </row>
    <row r="369" spans="1:13">
      <c r="A369" s="1072">
        <v>6.1</v>
      </c>
      <c r="B369" s="1075">
        <v>0.66690000000000005</v>
      </c>
      <c r="C369" s="1075">
        <v>0.66690000000000005</v>
      </c>
      <c r="D369" s="1075">
        <v>0.63590000000000002</v>
      </c>
      <c r="E369" s="1075">
        <v>0.63590000000000002</v>
      </c>
      <c r="F369" s="1075">
        <v>0.63590000000000002</v>
      </c>
      <c r="G369" s="1075">
        <v>0.56440000000000001</v>
      </c>
      <c r="H369" s="1075">
        <v>0.56440000000000001</v>
      </c>
      <c r="I369" s="1075">
        <v>0.48849999999999999</v>
      </c>
      <c r="J369" s="1075">
        <v>0.48849999999999999</v>
      </c>
      <c r="K369" s="1075">
        <v>0.48849999999999999</v>
      </c>
      <c r="L369" s="1075">
        <v>0.48849999999999999</v>
      </c>
      <c r="M369" s="1075">
        <v>0.48849999999999999</v>
      </c>
    </row>
    <row r="370" spans="1:13">
      <c r="A370" s="1072">
        <v>6.2</v>
      </c>
      <c r="B370" s="1075">
        <v>0.66579999999999995</v>
      </c>
      <c r="C370" s="1075">
        <v>0.66579999999999995</v>
      </c>
      <c r="D370" s="1075">
        <v>0.63439999999999996</v>
      </c>
      <c r="E370" s="1075">
        <v>0.63439999999999996</v>
      </c>
      <c r="F370" s="1075">
        <v>0.63439999999999996</v>
      </c>
      <c r="G370" s="1075">
        <v>0.56289999999999996</v>
      </c>
      <c r="H370" s="1075">
        <v>0.56289999999999996</v>
      </c>
      <c r="I370" s="1075">
        <v>0.48680000000000001</v>
      </c>
      <c r="J370" s="1075">
        <v>0.48680000000000001</v>
      </c>
      <c r="K370" s="1075">
        <v>0.48680000000000001</v>
      </c>
      <c r="L370" s="1075">
        <v>0.48680000000000001</v>
      </c>
      <c r="M370" s="1075">
        <v>0.48680000000000001</v>
      </c>
    </row>
    <row r="371" spans="1:13">
      <c r="A371" s="1072">
        <v>6.3</v>
      </c>
      <c r="B371" s="1075">
        <v>0.66469999999999996</v>
      </c>
      <c r="C371" s="1075">
        <v>0.66469999999999996</v>
      </c>
      <c r="D371" s="1075">
        <v>0.63290000000000002</v>
      </c>
      <c r="E371" s="1075">
        <v>0.63290000000000002</v>
      </c>
      <c r="F371" s="1075">
        <v>0.63290000000000002</v>
      </c>
      <c r="G371" s="1075">
        <v>0.56130000000000002</v>
      </c>
      <c r="H371" s="1075">
        <v>0.56130000000000002</v>
      </c>
      <c r="I371" s="1075">
        <v>0.48509999999999998</v>
      </c>
      <c r="J371" s="1075">
        <v>0.48509999999999998</v>
      </c>
      <c r="K371" s="1075">
        <v>0.48509999999999998</v>
      </c>
      <c r="L371" s="1075">
        <v>0.48509999999999998</v>
      </c>
      <c r="M371" s="1075">
        <v>0.48509999999999998</v>
      </c>
    </row>
    <row r="372" spans="1:13">
      <c r="A372" s="1072">
        <v>6.4</v>
      </c>
      <c r="B372" s="1075">
        <v>0.66359999999999997</v>
      </c>
      <c r="C372" s="1075">
        <v>0.66359999999999997</v>
      </c>
      <c r="D372" s="1075">
        <v>0.63139999999999996</v>
      </c>
      <c r="E372" s="1075">
        <v>0.63139999999999996</v>
      </c>
      <c r="F372" s="1075">
        <v>0.63139999999999996</v>
      </c>
      <c r="G372" s="1075">
        <v>0.55979999999999996</v>
      </c>
      <c r="H372" s="1075">
        <v>0.55979999999999996</v>
      </c>
      <c r="I372" s="1075">
        <v>0.48349999999999999</v>
      </c>
      <c r="J372" s="1075">
        <v>0.48349999999999999</v>
      </c>
      <c r="K372" s="1075">
        <v>0.48349999999999999</v>
      </c>
      <c r="L372" s="1075">
        <v>0.48349999999999999</v>
      </c>
      <c r="M372" s="1075">
        <v>0.48349999999999999</v>
      </c>
    </row>
    <row r="373" spans="1:13">
      <c r="A373" s="1072">
        <v>6.5</v>
      </c>
      <c r="B373" s="1075">
        <v>0.66249999999999998</v>
      </c>
      <c r="C373" s="1075">
        <v>0.66249999999999998</v>
      </c>
      <c r="D373" s="1075">
        <v>0.63</v>
      </c>
      <c r="E373" s="1075">
        <v>0.63</v>
      </c>
      <c r="F373" s="1075">
        <v>0.63</v>
      </c>
      <c r="G373" s="1075">
        <v>0.55820000000000003</v>
      </c>
      <c r="H373" s="1075">
        <v>0.55820000000000003</v>
      </c>
      <c r="I373" s="1075">
        <v>0.4819</v>
      </c>
      <c r="J373" s="1075">
        <v>0.4819</v>
      </c>
      <c r="K373" s="1075">
        <v>0.4819</v>
      </c>
      <c r="L373" s="1075">
        <v>0.4819</v>
      </c>
      <c r="M373" s="1075">
        <v>0.4819</v>
      </c>
    </row>
    <row r="374" spans="1:13">
      <c r="A374" s="1072">
        <v>6.6</v>
      </c>
      <c r="B374" s="1075">
        <v>0.66149999999999998</v>
      </c>
      <c r="C374" s="1075">
        <v>0.66149999999999998</v>
      </c>
      <c r="D374" s="1075">
        <v>0.62860000000000005</v>
      </c>
      <c r="E374" s="1075">
        <v>0.62860000000000005</v>
      </c>
      <c r="F374" s="1075">
        <v>0.62860000000000005</v>
      </c>
      <c r="G374" s="1075">
        <v>0.55669999999999997</v>
      </c>
      <c r="H374" s="1075">
        <v>0.55669999999999997</v>
      </c>
      <c r="I374" s="1075">
        <v>0.4803</v>
      </c>
      <c r="J374" s="1075">
        <v>0.4803</v>
      </c>
      <c r="K374" s="1075">
        <v>0.4803</v>
      </c>
      <c r="L374" s="1075">
        <v>0.4803</v>
      </c>
      <c r="M374" s="1075">
        <v>0.4803</v>
      </c>
    </row>
    <row r="375" spans="1:13">
      <c r="A375" s="1072">
        <v>6.7</v>
      </c>
      <c r="B375" s="1075">
        <v>0.66049999999999998</v>
      </c>
      <c r="C375" s="1075">
        <v>0.66049999999999998</v>
      </c>
      <c r="D375" s="1075">
        <v>0.62719999999999998</v>
      </c>
      <c r="E375" s="1075">
        <v>0.62719999999999998</v>
      </c>
      <c r="F375" s="1075">
        <v>0.62719999999999998</v>
      </c>
      <c r="G375" s="1075">
        <v>0.55520000000000003</v>
      </c>
      <c r="H375" s="1075">
        <v>0.55520000000000003</v>
      </c>
      <c r="I375" s="1075">
        <v>0.47870000000000001</v>
      </c>
      <c r="J375" s="1075">
        <v>0.47870000000000001</v>
      </c>
      <c r="K375" s="1075">
        <v>0.47870000000000001</v>
      </c>
      <c r="L375" s="1075">
        <v>0.47870000000000001</v>
      </c>
      <c r="M375" s="1075">
        <v>0.47870000000000001</v>
      </c>
    </row>
    <row r="376" spans="1:13">
      <c r="A376" s="1072">
        <v>6.8</v>
      </c>
      <c r="B376" s="1075">
        <v>0.65949999999999998</v>
      </c>
      <c r="C376" s="1075">
        <v>0.65949999999999998</v>
      </c>
      <c r="D376" s="1075">
        <v>0.62580000000000002</v>
      </c>
      <c r="E376" s="1075">
        <v>0.62580000000000002</v>
      </c>
      <c r="F376" s="1075">
        <v>0.62580000000000002</v>
      </c>
      <c r="G376" s="1075">
        <v>0.55359999999999998</v>
      </c>
      <c r="H376" s="1075">
        <v>0.55359999999999998</v>
      </c>
      <c r="I376" s="1075">
        <v>0.47710000000000002</v>
      </c>
      <c r="J376" s="1075">
        <v>0.47710000000000002</v>
      </c>
      <c r="K376" s="1075">
        <v>0.47710000000000002</v>
      </c>
      <c r="L376" s="1075">
        <v>0.47710000000000002</v>
      </c>
      <c r="M376" s="1075">
        <v>0.47710000000000002</v>
      </c>
    </row>
    <row r="377" spans="1:13">
      <c r="A377" s="1072">
        <v>6.9</v>
      </c>
      <c r="B377" s="1075">
        <v>0.65849999999999997</v>
      </c>
      <c r="C377" s="1075">
        <v>0.65849999999999997</v>
      </c>
      <c r="D377" s="1075">
        <v>0.62439999999999996</v>
      </c>
      <c r="E377" s="1075">
        <v>0.62439999999999996</v>
      </c>
      <c r="F377" s="1075">
        <v>0.62439999999999996</v>
      </c>
      <c r="G377" s="1075">
        <v>0.55220000000000002</v>
      </c>
      <c r="H377" s="1075">
        <v>0.55220000000000002</v>
      </c>
      <c r="I377" s="1075">
        <v>0.47549999999999998</v>
      </c>
      <c r="J377" s="1075">
        <v>0.47549999999999998</v>
      </c>
      <c r="K377" s="1075">
        <v>0.47549999999999998</v>
      </c>
      <c r="L377" s="1075">
        <v>0.47549999999999998</v>
      </c>
      <c r="M377" s="1075">
        <v>0.47549999999999998</v>
      </c>
    </row>
    <row r="378" spans="1:13">
      <c r="A378" s="1072">
        <v>7</v>
      </c>
      <c r="B378" s="1075">
        <v>0.65749999999999997</v>
      </c>
      <c r="C378" s="1075">
        <v>0.65749999999999997</v>
      </c>
      <c r="D378" s="1075">
        <v>0.623</v>
      </c>
      <c r="E378" s="1075">
        <v>0.623</v>
      </c>
      <c r="F378" s="1075">
        <v>0.623</v>
      </c>
      <c r="G378" s="1075">
        <v>0.55069999999999997</v>
      </c>
      <c r="H378" s="1075">
        <v>0.55069999999999997</v>
      </c>
      <c r="I378" s="1075">
        <v>0.47389999999999999</v>
      </c>
      <c r="J378" s="1075">
        <v>0.47389999999999999</v>
      </c>
      <c r="K378" s="1075">
        <v>0.47389999999999999</v>
      </c>
      <c r="L378" s="1075">
        <v>0.47389999999999999</v>
      </c>
      <c r="M378" s="1075">
        <v>0.47389999999999999</v>
      </c>
    </row>
    <row r="379" spans="1:13">
      <c r="A379" s="1072">
        <v>7.1</v>
      </c>
      <c r="B379" s="1075">
        <v>0.65649999999999997</v>
      </c>
      <c r="C379" s="1075">
        <v>0.65649999999999997</v>
      </c>
      <c r="D379" s="1075">
        <v>0.62160000000000004</v>
      </c>
      <c r="E379" s="1075">
        <v>0.62160000000000004</v>
      </c>
      <c r="F379" s="1075">
        <v>0.62160000000000004</v>
      </c>
      <c r="G379" s="1075">
        <v>0.54930000000000001</v>
      </c>
      <c r="H379" s="1075">
        <v>0.54930000000000001</v>
      </c>
      <c r="I379" s="1075">
        <v>0.47239999999999999</v>
      </c>
      <c r="J379" s="1075">
        <v>0.47239999999999999</v>
      </c>
      <c r="K379" s="1075">
        <v>0.47239999999999999</v>
      </c>
      <c r="L379" s="1075">
        <v>0.47239999999999999</v>
      </c>
      <c r="M379" s="1075">
        <v>0.47239999999999999</v>
      </c>
    </row>
    <row r="380" spans="1:13">
      <c r="A380" s="1072">
        <v>7.2</v>
      </c>
      <c r="B380" s="1075">
        <v>0.65549999999999997</v>
      </c>
      <c r="C380" s="1075">
        <v>0.65549999999999997</v>
      </c>
      <c r="D380" s="1075">
        <v>0.62019999999999997</v>
      </c>
      <c r="E380" s="1075">
        <v>0.62019999999999997</v>
      </c>
      <c r="F380" s="1075">
        <v>0.62019999999999997</v>
      </c>
      <c r="G380" s="1075">
        <v>0.54779999999999995</v>
      </c>
      <c r="H380" s="1075">
        <v>0.54779999999999995</v>
      </c>
      <c r="I380" s="1075">
        <v>0.47089999999999999</v>
      </c>
      <c r="J380" s="1075">
        <v>0.47089999999999999</v>
      </c>
      <c r="K380" s="1075">
        <v>0.47089999999999999</v>
      </c>
      <c r="L380" s="1075">
        <v>0.47089999999999999</v>
      </c>
      <c r="M380" s="1075">
        <v>0.47089999999999999</v>
      </c>
    </row>
    <row r="381" spans="1:13">
      <c r="A381" s="1072">
        <v>7.3</v>
      </c>
      <c r="B381" s="1075">
        <v>0.65449999999999997</v>
      </c>
      <c r="C381" s="1075">
        <v>0.65449999999999997</v>
      </c>
      <c r="D381" s="1075">
        <v>0.61880000000000002</v>
      </c>
      <c r="E381" s="1075">
        <v>0.61880000000000002</v>
      </c>
      <c r="F381" s="1075">
        <v>0.61880000000000002</v>
      </c>
      <c r="G381" s="1075">
        <v>0.5464</v>
      </c>
      <c r="H381" s="1075">
        <v>0.5464</v>
      </c>
      <c r="I381" s="1075">
        <v>0.46939999999999998</v>
      </c>
      <c r="J381" s="1075">
        <v>0.46939999999999998</v>
      </c>
      <c r="K381" s="1075">
        <v>0.46939999999999998</v>
      </c>
      <c r="L381" s="1075">
        <v>0.46939999999999998</v>
      </c>
      <c r="M381" s="1075">
        <v>0.46939999999999998</v>
      </c>
    </row>
    <row r="382" spans="1:13">
      <c r="A382" s="1072">
        <v>7.4</v>
      </c>
      <c r="B382" s="1075">
        <v>0.65349999999999997</v>
      </c>
      <c r="C382" s="1075">
        <v>0.65349999999999997</v>
      </c>
      <c r="D382" s="1075">
        <v>0.61750000000000005</v>
      </c>
      <c r="E382" s="1075">
        <v>0.61750000000000005</v>
      </c>
      <c r="F382" s="1075">
        <v>0.61750000000000005</v>
      </c>
      <c r="G382" s="1075">
        <v>0.54490000000000005</v>
      </c>
      <c r="H382" s="1075">
        <v>0.54490000000000005</v>
      </c>
      <c r="I382" s="1075">
        <v>0.46779999999999999</v>
      </c>
      <c r="J382" s="1075">
        <v>0.46779999999999999</v>
      </c>
      <c r="K382" s="1075">
        <v>0.46779999999999999</v>
      </c>
      <c r="L382" s="1075">
        <v>0.46779999999999999</v>
      </c>
      <c r="M382" s="1075">
        <v>0.46779999999999999</v>
      </c>
    </row>
    <row r="383" spans="1:13">
      <c r="A383" s="1072">
        <v>7.5</v>
      </c>
      <c r="B383" s="1075">
        <v>0.65249999999999997</v>
      </c>
      <c r="C383" s="1075">
        <v>0.65249999999999997</v>
      </c>
      <c r="D383" s="1075">
        <v>0.61619999999999997</v>
      </c>
      <c r="E383" s="1075">
        <v>0.61619999999999997</v>
      </c>
      <c r="F383" s="1075">
        <v>0.61619999999999997</v>
      </c>
      <c r="G383" s="1075">
        <v>0.54349999999999998</v>
      </c>
      <c r="H383" s="1075">
        <v>0.54349999999999998</v>
      </c>
      <c r="I383" s="1075">
        <v>0.46629999999999999</v>
      </c>
      <c r="J383" s="1075">
        <v>0.46629999999999999</v>
      </c>
      <c r="K383" s="1075">
        <v>0.46629999999999999</v>
      </c>
      <c r="L383" s="1075">
        <v>0.46629999999999999</v>
      </c>
      <c r="M383" s="1075">
        <v>0.46629999999999999</v>
      </c>
    </row>
    <row r="384" spans="1:13">
      <c r="A384" s="1072">
        <v>7.6</v>
      </c>
      <c r="B384" s="1075">
        <v>0.65149999999999997</v>
      </c>
      <c r="C384" s="1075">
        <v>0.65149999999999997</v>
      </c>
      <c r="D384" s="1075">
        <v>0.6149</v>
      </c>
      <c r="E384" s="1075">
        <v>0.6149</v>
      </c>
      <c r="F384" s="1075">
        <v>0.6149</v>
      </c>
      <c r="G384" s="1075">
        <v>0.54200000000000004</v>
      </c>
      <c r="H384" s="1075">
        <v>0.54200000000000004</v>
      </c>
      <c r="I384" s="1075">
        <v>0.46479999999999999</v>
      </c>
      <c r="J384" s="1075">
        <v>0.46479999999999999</v>
      </c>
      <c r="K384" s="1075">
        <v>0.46479999999999999</v>
      </c>
      <c r="L384" s="1075">
        <v>0.46479999999999999</v>
      </c>
      <c r="M384" s="1075">
        <v>0.46479999999999999</v>
      </c>
    </row>
    <row r="385" spans="1:13">
      <c r="A385" s="1072">
        <v>7.7</v>
      </c>
      <c r="B385" s="1075">
        <v>0.65049999999999997</v>
      </c>
      <c r="C385" s="1075">
        <v>0.65049999999999997</v>
      </c>
      <c r="D385" s="1075">
        <v>0.61360000000000003</v>
      </c>
      <c r="E385" s="1075">
        <v>0.61360000000000003</v>
      </c>
      <c r="F385" s="1075">
        <v>0.61360000000000003</v>
      </c>
      <c r="G385" s="1075">
        <v>0.54059999999999997</v>
      </c>
      <c r="H385" s="1075">
        <v>0.54059999999999997</v>
      </c>
      <c r="I385" s="1075">
        <v>0.46329999999999999</v>
      </c>
      <c r="J385" s="1075">
        <v>0.46329999999999999</v>
      </c>
      <c r="K385" s="1075">
        <v>0.46329999999999999</v>
      </c>
      <c r="L385" s="1075">
        <v>0.46329999999999999</v>
      </c>
      <c r="M385" s="1075">
        <v>0.46329999999999999</v>
      </c>
    </row>
    <row r="386" spans="1:13">
      <c r="A386" s="1072">
        <v>7.8</v>
      </c>
      <c r="B386" s="1075">
        <v>0.64949999999999997</v>
      </c>
      <c r="C386" s="1075">
        <v>0.64949999999999997</v>
      </c>
      <c r="D386" s="1075">
        <v>0.61229999999999996</v>
      </c>
      <c r="E386" s="1075">
        <v>0.61229999999999996</v>
      </c>
      <c r="F386" s="1075">
        <v>0.61229999999999996</v>
      </c>
      <c r="G386" s="1075">
        <v>0.53910000000000002</v>
      </c>
      <c r="H386" s="1075">
        <v>0.53910000000000002</v>
      </c>
      <c r="I386" s="1075">
        <v>0.4617</v>
      </c>
      <c r="J386" s="1075">
        <v>0.4617</v>
      </c>
      <c r="K386" s="1075">
        <v>0.4617</v>
      </c>
      <c r="L386" s="1075">
        <v>0.4617</v>
      </c>
      <c r="M386" s="1075">
        <v>0.4617</v>
      </c>
    </row>
    <row r="387" spans="1:13">
      <c r="A387" s="1072">
        <v>7.9</v>
      </c>
      <c r="B387" s="1075">
        <v>0.64849999999999997</v>
      </c>
      <c r="C387" s="1075">
        <v>0.64849999999999997</v>
      </c>
      <c r="D387" s="1075">
        <v>0.61099999999999999</v>
      </c>
      <c r="E387" s="1075">
        <v>0.61099999999999999</v>
      </c>
      <c r="F387" s="1075">
        <v>0.61099999999999999</v>
      </c>
      <c r="G387" s="1075">
        <v>0.53769999999999996</v>
      </c>
      <c r="H387" s="1075">
        <v>0.53769999999999996</v>
      </c>
      <c r="I387" s="1075">
        <v>0.4602</v>
      </c>
      <c r="J387" s="1075">
        <v>0.4602</v>
      </c>
      <c r="K387" s="1075">
        <v>0.4602</v>
      </c>
      <c r="L387" s="1075">
        <v>0.4602</v>
      </c>
      <c r="M387" s="1075">
        <v>0.4602</v>
      </c>
    </row>
    <row r="388" spans="1:13">
      <c r="A388" s="1072">
        <v>8</v>
      </c>
      <c r="B388" s="1075">
        <v>0.64749999999999996</v>
      </c>
      <c r="C388" s="1075">
        <v>0.64749999999999996</v>
      </c>
      <c r="D388" s="1075">
        <v>0.60970000000000002</v>
      </c>
      <c r="E388" s="1075">
        <v>0.60970000000000002</v>
      </c>
      <c r="F388" s="1075">
        <v>0.60970000000000002</v>
      </c>
      <c r="G388" s="1075">
        <v>0.53620000000000001</v>
      </c>
      <c r="H388" s="1075">
        <v>0.53620000000000001</v>
      </c>
      <c r="I388" s="1075">
        <v>0.4587</v>
      </c>
      <c r="J388" s="1075">
        <v>0.4587</v>
      </c>
      <c r="K388" s="1075">
        <v>0.4587</v>
      </c>
      <c r="L388" s="1075">
        <v>0.4587</v>
      </c>
      <c r="M388" s="1075">
        <v>0.4587</v>
      </c>
    </row>
    <row r="389" spans="1:13">
      <c r="A389" s="1072">
        <v>8.1</v>
      </c>
      <c r="B389" s="1075">
        <v>0.64649999999999996</v>
      </c>
      <c r="C389" s="1075">
        <v>0.64649999999999996</v>
      </c>
      <c r="D389" s="1075">
        <v>0.60840000000000005</v>
      </c>
      <c r="E389" s="1075">
        <v>0.60840000000000005</v>
      </c>
      <c r="F389" s="1075">
        <v>0.60840000000000005</v>
      </c>
      <c r="G389" s="1075">
        <v>0.53480000000000005</v>
      </c>
      <c r="H389" s="1075">
        <v>0.53480000000000005</v>
      </c>
      <c r="I389" s="1075">
        <v>0.4572</v>
      </c>
      <c r="J389" s="1075">
        <v>0.4572</v>
      </c>
      <c r="K389" s="1075">
        <v>0.4572</v>
      </c>
      <c r="L389" s="1075">
        <v>0.4572</v>
      </c>
      <c r="M389" s="1075">
        <v>0.4572</v>
      </c>
    </row>
    <row r="390" spans="1:13">
      <c r="A390" s="1072">
        <v>8.1999999999999993</v>
      </c>
      <c r="B390" s="1075">
        <v>0.64549999999999996</v>
      </c>
      <c r="C390" s="1075">
        <v>0.64549999999999996</v>
      </c>
      <c r="D390" s="1075">
        <v>0.60709999999999997</v>
      </c>
      <c r="E390" s="1075">
        <v>0.60709999999999997</v>
      </c>
      <c r="F390" s="1075">
        <v>0.60709999999999997</v>
      </c>
      <c r="G390" s="1075">
        <v>0.5333</v>
      </c>
      <c r="H390" s="1075">
        <v>0.5333</v>
      </c>
      <c r="I390" s="1075">
        <v>0.45569999999999999</v>
      </c>
      <c r="J390" s="1075">
        <v>0.45569999999999999</v>
      </c>
      <c r="K390" s="1075">
        <v>0.45569999999999999</v>
      </c>
      <c r="L390" s="1075">
        <v>0.45569999999999999</v>
      </c>
      <c r="M390" s="1075">
        <v>0.45569999999999999</v>
      </c>
    </row>
    <row r="391" spans="1:13">
      <c r="A391" s="1072">
        <v>8.3000000000000007</v>
      </c>
      <c r="B391" s="1075">
        <v>0.64449999999999996</v>
      </c>
      <c r="C391" s="1075">
        <v>0.64449999999999996</v>
      </c>
      <c r="D391" s="1075">
        <v>0.60580000000000001</v>
      </c>
      <c r="E391" s="1075">
        <v>0.60580000000000001</v>
      </c>
      <c r="F391" s="1075">
        <v>0.60580000000000001</v>
      </c>
      <c r="G391" s="1075">
        <v>0.53190000000000004</v>
      </c>
      <c r="H391" s="1075">
        <v>0.53190000000000004</v>
      </c>
      <c r="I391" s="1075">
        <v>0.45429999999999998</v>
      </c>
      <c r="J391" s="1075">
        <v>0.45429999999999998</v>
      </c>
      <c r="K391" s="1075">
        <v>0.45429999999999998</v>
      </c>
      <c r="L391" s="1075">
        <v>0.45429999999999998</v>
      </c>
      <c r="M391" s="1075">
        <v>0.45429999999999998</v>
      </c>
    </row>
    <row r="392" spans="1:13">
      <c r="A392" s="1072">
        <v>8.4</v>
      </c>
      <c r="B392" s="1075">
        <v>0.64349999999999996</v>
      </c>
      <c r="C392" s="1075">
        <v>0.64349999999999996</v>
      </c>
      <c r="D392" s="1075">
        <v>0.60450000000000004</v>
      </c>
      <c r="E392" s="1075">
        <v>0.60450000000000004</v>
      </c>
      <c r="F392" s="1075">
        <v>0.60450000000000004</v>
      </c>
      <c r="G392" s="1075">
        <v>0.53039999999999998</v>
      </c>
      <c r="H392" s="1075">
        <v>0.53039999999999998</v>
      </c>
      <c r="I392" s="1075">
        <v>0.45290000000000002</v>
      </c>
      <c r="J392" s="1075">
        <v>0.45290000000000002</v>
      </c>
      <c r="K392" s="1075">
        <v>0.45290000000000002</v>
      </c>
      <c r="L392" s="1075">
        <v>0.45290000000000002</v>
      </c>
      <c r="M392" s="1075">
        <v>0.45290000000000002</v>
      </c>
    </row>
    <row r="393" spans="1:13">
      <c r="A393" s="1072">
        <v>8.5</v>
      </c>
      <c r="B393" s="1075">
        <v>0.64249999999999996</v>
      </c>
      <c r="C393" s="1075">
        <v>0.64249999999999996</v>
      </c>
      <c r="D393" s="1075">
        <v>0.60319999999999996</v>
      </c>
      <c r="E393" s="1075">
        <v>0.60319999999999996</v>
      </c>
      <c r="F393" s="1075">
        <v>0.60319999999999996</v>
      </c>
      <c r="G393" s="1075">
        <v>0.52900000000000003</v>
      </c>
      <c r="H393" s="1075">
        <v>0.52900000000000003</v>
      </c>
      <c r="I393" s="1075">
        <v>0.45140000000000002</v>
      </c>
      <c r="J393" s="1075">
        <v>0.45140000000000002</v>
      </c>
      <c r="K393" s="1075">
        <v>0.45140000000000002</v>
      </c>
      <c r="L393" s="1075">
        <v>0.45140000000000002</v>
      </c>
      <c r="M393" s="1075">
        <v>0.45140000000000002</v>
      </c>
    </row>
    <row r="394" spans="1:13">
      <c r="A394" s="1072">
        <v>8.6</v>
      </c>
      <c r="B394" s="1075">
        <v>0.64149999999999996</v>
      </c>
      <c r="C394" s="1075">
        <v>0.64149999999999996</v>
      </c>
      <c r="D394" s="1075">
        <v>0.60189999999999999</v>
      </c>
      <c r="E394" s="1075">
        <v>0.60189999999999999</v>
      </c>
      <c r="F394" s="1075">
        <v>0.60189999999999999</v>
      </c>
      <c r="G394" s="1075">
        <v>0.52749999999999997</v>
      </c>
      <c r="H394" s="1075">
        <v>0.52749999999999997</v>
      </c>
      <c r="I394" s="1075">
        <v>0.45</v>
      </c>
      <c r="J394" s="1075">
        <v>0.45</v>
      </c>
      <c r="K394" s="1075">
        <v>0.45</v>
      </c>
      <c r="L394" s="1075">
        <v>0.45</v>
      </c>
      <c r="M394" s="1075">
        <v>0.45</v>
      </c>
    </row>
    <row r="395" spans="1:13">
      <c r="A395" s="1072">
        <v>8.6999999999999993</v>
      </c>
      <c r="B395" s="1075">
        <v>0.64049999999999996</v>
      </c>
      <c r="C395" s="1075">
        <v>0.64049999999999996</v>
      </c>
      <c r="D395" s="1075">
        <v>0.60060000000000002</v>
      </c>
      <c r="E395" s="1075">
        <v>0.60060000000000002</v>
      </c>
      <c r="F395" s="1075">
        <v>0.60060000000000002</v>
      </c>
      <c r="G395" s="1075">
        <v>0.52610000000000001</v>
      </c>
      <c r="H395" s="1075">
        <v>0.52610000000000001</v>
      </c>
      <c r="I395" s="1075">
        <v>0.44850000000000001</v>
      </c>
      <c r="J395" s="1075">
        <v>0.44850000000000001</v>
      </c>
      <c r="K395" s="1075">
        <v>0.44850000000000001</v>
      </c>
      <c r="L395" s="1075">
        <v>0.44850000000000001</v>
      </c>
      <c r="M395" s="1075">
        <v>0.44850000000000001</v>
      </c>
    </row>
    <row r="396" spans="1:13">
      <c r="A396" s="1072">
        <v>8.8000000000000007</v>
      </c>
      <c r="B396" s="1075">
        <v>0.63949999999999996</v>
      </c>
      <c r="C396" s="1075">
        <v>0.63949999999999996</v>
      </c>
      <c r="D396" s="1075">
        <v>0.59930000000000005</v>
      </c>
      <c r="E396" s="1075">
        <v>0.59930000000000005</v>
      </c>
      <c r="F396" s="1075">
        <v>0.59930000000000005</v>
      </c>
      <c r="G396" s="1075">
        <v>0.52459999999999996</v>
      </c>
      <c r="H396" s="1075">
        <v>0.52459999999999996</v>
      </c>
      <c r="I396" s="1075">
        <v>0.4471</v>
      </c>
      <c r="J396" s="1075">
        <v>0.4471</v>
      </c>
      <c r="K396" s="1075">
        <v>0.4471</v>
      </c>
      <c r="L396" s="1075">
        <v>0.4471</v>
      </c>
      <c r="M396" s="1075">
        <v>0.4471</v>
      </c>
    </row>
    <row r="397" spans="1:13">
      <c r="A397" s="1072">
        <v>8.9</v>
      </c>
      <c r="B397" s="1075">
        <v>0.63849999999999996</v>
      </c>
      <c r="C397" s="1075">
        <v>0.63849999999999996</v>
      </c>
      <c r="D397" s="1075">
        <v>0.59799999999999998</v>
      </c>
      <c r="E397" s="1075">
        <v>0.59799999999999998</v>
      </c>
      <c r="F397" s="1075">
        <v>0.59799999999999998</v>
      </c>
      <c r="G397" s="1075">
        <v>0.5232</v>
      </c>
      <c r="H397" s="1075">
        <v>0.5232</v>
      </c>
      <c r="I397" s="1075">
        <v>0.4456</v>
      </c>
      <c r="J397" s="1075">
        <v>0.4456</v>
      </c>
      <c r="K397" s="1075">
        <v>0.4456</v>
      </c>
      <c r="L397" s="1075">
        <v>0.4456</v>
      </c>
      <c r="M397" s="1075">
        <v>0.4456</v>
      </c>
    </row>
    <row r="398" spans="1:13">
      <c r="A398" s="1076">
        <v>9</v>
      </c>
      <c r="B398" s="1075">
        <v>0.63749999999999996</v>
      </c>
      <c r="C398" s="1075">
        <v>0.63749999999999996</v>
      </c>
      <c r="D398" s="1075">
        <v>0.59670000000000001</v>
      </c>
      <c r="E398" s="1075">
        <v>0.59670000000000001</v>
      </c>
      <c r="F398" s="1075">
        <v>0.59670000000000001</v>
      </c>
      <c r="G398" s="1075">
        <v>0.52170000000000005</v>
      </c>
      <c r="H398" s="1075">
        <v>0.52170000000000005</v>
      </c>
      <c r="I398" s="1075">
        <v>0.44429999999999997</v>
      </c>
      <c r="J398" s="1075">
        <v>0.44429999999999997</v>
      </c>
      <c r="K398" s="1075">
        <v>0.44429999999999997</v>
      </c>
      <c r="L398" s="1075">
        <v>0.44429999999999997</v>
      </c>
      <c r="M398" s="1075">
        <v>0.44429999999999997</v>
      </c>
    </row>
    <row r="399" spans="1:13">
      <c r="A399" s="1076">
        <v>9.1</v>
      </c>
      <c r="B399" s="1075">
        <v>0.63649999999999995</v>
      </c>
      <c r="C399" s="1075">
        <v>0.63649999999999995</v>
      </c>
      <c r="D399" s="1075">
        <v>0.59540000000000004</v>
      </c>
      <c r="E399" s="1075">
        <v>0.59540000000000004</v>
      </c>
      <c r="F399" s="1075">
        <v>0.59540000000000004</v>
      </c>
      <c r="G399" s="1075">
        <v>0.52029999999999998</v>
      </c>
      <c r="H399" s="1075">
        <v>0.52029999999999998</v>
      </c>
      <c r="I399" s="1075">
        <v>0.44290000000000002</v>
      </c>
      <c r="J399" s="1075">
        <v>0.44290000000000002</v>
      </c>
      <c r="K399" s="1075">
        <v>0.44290000000000002</v>
      </c>
      <c r="L399" s="1075">
        <v>0.44290000000000002</v>
      </c>
      <c r="M399" s="1075">
        <v>0.44290000000000002</v>
      </c>
    </row>
    <row r="400" spans="1:13">
      <c r="A400" s="1076">
        <v>9.1999999999999993</v>
      </c>
      <c r="B400" s="1075">
        <v>0.63549999999999995</v>
      </c>
      <c r="C400" s="1075">
        <v>0.63549999999999995</v>
      </c>
      <c r="D400" s="1075">
        <v>0.59409999999999996</v>
      </c>
      <c r="E400" s="1075">
        <v>0.59409999999999996</v>
      </c>
      <c r="F400" s="1075">
        <v>0.59409999999999996</v>
      </c>
      <c r="G400" s="1075">
        <v>0.51880000000000004</v>
      </c>
      <c r="H400" s="1075">
        <v>0.51880000000000004</v>
      </c>
      <c r="I400" s="1075">
        <v>0.44159999999999999</v>
      </c>
      <c r="J400" s="1075">
        <v>0.44159999999999999</v>
      </c>
      <c r="K400" s="1075">
        <v>0.44159999999999999</v>
      </c>
      <c r="L400" s="1075">
        <v>0.44159999999999999</v>
      </c>
      <c r="M400" s="1075">
        <v>0.44159999999999999</v>
      </c>
    </row>
    <row r="401" spans="1:13">
      <c r="A401" s="1076">
        <v>9.3000000000000007</v>
      </c>
      <c r="B401" s="1075">
        <v>0.63449999999999995</v>
      </c>
      <c r="C401" s="1075">
        <v>0.63449999999999995</v>
      </c>
      <c r="D401" s="1075">
        <v>0.59279999999999999</v>
      </c>
      <c r="E401" s="1075">
        <v>0.59279999999999999</v>
      </c>
      <c r="F401" s="1075">
        <v>0.59279999999999999</v>
      </c>
      <c r="G401" s="1075">
        <v>0.51739999999999997</v>
      </c>
      <c r="H401" s="1075">
        <v>0.51739999999999997</v>
      </c>
      <c r="I401" s="1075">
        <v>0.44019999999999998</v>
      </c>
      <c r="J401" s="1075">
        <v>0.44019999999999998</v>
      </c>
      <c r="K401" s="1075">
        <v>0.44019999999999998</v>
      </c>
      <c r="L401" s="1075">
        <v>0.44019999999999998</v>
      </c>
      <c r="M401" s="1075">
        <v>0.44019999999999998</v>
      </c>
    </row>
    <row r="402" spans="1:13">
      <c r="A402" s="1076">
        <v>9.4</v>
      </c>
      <c r="B402" s="1075">
        <v>0.63349999999999995</v>
      </c>
      <c r="C402" s="1075">
        <v>0.63349999999999995</v>
      </c>
      <c r="D402" s="1075">
        <v>0.59150000000000003</v>
      </c>
      <c r="E402" s="1075">
        <v>0.59150000000000003</v>
      </c>
      <c r="F402" s="1075">
        <v>0.59150000000000003</v>
      </c>
      <c r="G402" s="1075">
        <v>0.51600000000000001</v>
      </c>
      <c r="H402" s="1075">
        <v>0.51600000000000001</v>
      </c>
      <c r="I402" s="1075">
        <v>0.43880000000000002</v>
      </c>
      <c r="J402" s="1075">
        <v>0.43880000000000002</v>
      </c>
      <c r="K402" s="1075">
        <v>0.43880000000000002</v>
      </c>
      <c r="L402" s="1075">
        <v>0.43880000000000002</v>
      </c>
      <c r="M402" s="1075">
        <v>0.43880000000000002</v>
      </c>
    </row>
    <row r="403" spans="1:13">
      <c r="A403" s="1076">
        <v>9.5</v>
      </c>
      <c r="B403" s="1075">
        <v>0.63249999999999995</v>
      </c>
      <c r="C403" s="1075">
        <v>0.63249999999999995</v>
      </c>
      <c r="D403" s="1075">
        <v>0.59030000000000005</v>
      </c>
      <c r="E403" s="1075">
        <v>0.59030000000000005</v>
      </c>
      <c r="F403" s="1075">
        <v>0.59030000000000005</v>
      </c>
      <c r="G403" s="1075">
        <v>0.51470000000000005</v>
      </c>
      <c r="H403" s="1075">
        <v>0.51470000000000005</v>
      </c>
      <c r="I403" s="1075">
        <v>0.4375</v>
      </c>
      <c r="J403" s="1075">
        <v>0.4375</v>
      </c>
      <c r="K403" s="1075">
        <v>0.4375</v>
      </c>
      <c r="L403" s="1075">
        <v>0.4375</v>
      </c>
      <c r="M403" s="1075">
        <v>0.4375</v>
      </c>
    </row>
    <row r="404" spans="1:13">
      <c r="A404" s="1076">
        <v>9.6</v>
      </c>
      <c r="B404" s="1075">
        <v>0.63149999999999995</v>
      </c>
      <c r="C404" s="1075">
        <v>0.63149999999999995</v>
      </c>
      <c r="D404" s="1075">
        <v>0.58909999999999996</v>
      </c>
      <c r="E404" s="1075">
        <v>0.58909999999999996</v>
      </c>
      <c r="F404" s="1075">
        <v>0.58909999999999996</v>
      </c>
      <c r="G404" s="1075">
        <v>0.51329999999999998</v>
      </c>
      <c r="H404" s="1075">
        <v>0.51329999999999998</v>
      </c>
      <c r="I404" s="1075">
        <v>0.43609999999999999</v>
      </c>
      <c r="J404" s="1075">
        <v>0.43609999999999999</v>
      </c>
      <c r="K404" s="1075">
        <v>0.43609999999999999</v>
      </c>
      <c r="L404" s="1075">
        <v>0.43609999999999999</v>
      </c>
      <c r="M404" s="1075">
        <v>0.43609999999999999</v>
      </c>
    </row>
    <row r="405" spans="1:13">
      <c r="A405" s="1076">
        <v>9.6999999999999993</v>
      </c>
      <c r="B405" s="1075">
        <v>0.63049999999999995</v>
      </c>
      <c r="C405" s="1075">
        <v>0.63049999999999995</v>
      </c>
      <c r="D405" s="1075">
        <v>0.58789999999999998</v>
      </c>
      <c r="E405" s="1075">
        <v>0.58789999999999998</v>
      </c>
      <c r="F405" s="1075">
        <v>0.58789999999999998</v>
      </c>
      <c r="G405" s="1075">
        <v>0.51200000000000001</v>
      </c>
      <c r="H405" s="1075">
        <v>0.51200000000000001</v>
      </c>
      <c r="I405" s="1075">
        <v>0.43480000000000002</v>
      </c>
      <c r="J405" s="1075">
        <v>0.43480000000000002</v>
      </c>
      <c r="K405" s="1075">
        <v>0.43480000000000002</v>
      </c>
      <c r="L405" s="1075">
        <v>0.43480000000000002</v>
      </c>
      <c r="M405" s="1075">
        <v>0.43480000000000002</v>
      </c>
    </row>
    <row r="406" spans="1:13">
      <c r="A406" s="1076">
        <v>9.8000000000000007</v>
      </c>
      <c r="B406" s="1075">
        <v>0.62949999999999995</v>
      </c>
      <c r="C406" s="1075">
        <v>0.62949999999999995</v>
      </c>
      <c r="D406" s="1075">
        <v>0.5867</v>
      </c>
      <c r="E406" s="1075">
        <v>0.5867</v>
      </c>
      <c r="F406" s="1075">
        <v>0.5867</v>
      </c>
      <c r="G406" s="1075">
        <v>0.51060000000000005</v>
      </c>
      <c r="H406" s="1075">
        <v>0.51060000000000005</v>
      </c>
      <c r="I406" s="1075">
        <v>0.43340000000000001</v>
      </c>
      <c r="J406" s="1075">
        <v>0.43340000000000001</v>
      </c>
      <c r="K406" s="1075">
        <v>0.43340000000000001</v>
      </c>
      <c r="L406" s="1075">
        <v>0.43340000000000001</v>
      </c>
      <c r="M406" s="1075">
        <v>0.43340000000000001</v>
      </c>
    </row>
    <row r="407" spans="1:13">
      <c r="A407" s="1076">
        <v>9.9</v>
      </c>
      <c r="B407" s="1075">
        <v>0.62849999999999995</v>
      </c>
      <c r="C407" s="1075">
        <v>0.62849999999999995</v>
      </c>
      <c r="D407" s="1075">
        <v>0.58550000000000002</v>
      </c>
      <c r="E407" s="1075">
        <v>0.58550000000000002</v>
      </c>
      <c r="F407" s="1075">
        <v>0.58550000000000002</v>
      </c>
      <c r="G407" s="1075">
        <v>0.50919999999999999</v>
      </c>
      <c r="H407" s="1075">
        <v>0.50919999999999999</v>
      </c>
      <c r="I407" s="1075">
        <v>0.432</v>
      </c>
      <c r="J407" s="1075">
        <v>0.432</v>
      </c>
      <c r="K407" s="1075">
        <v>0.432</v>
      </c>
      <c r="L407" s="1075">
        <v>0.432</v>
      </c>
      <c r="M407" s="1075">
        <v>0.432</v>
      </c>
    </row>
    <row r="408" spans="1:13">
      <c r="A408" s="1076">
        <v>10</v>
      </c>
      <c r="B408" s="1075">
        <v>0.62749999999999995</v>
      </c>
      <c r="C408" s="1075">
        <v>0.62749999999999995</v>
      </c>
      <c r="D408" s="1075">
        <v>0.58430000000000004</v>
      </c>
      <c r="E408" s="1075">
        <v>0.58430000000000004</v>
      </c>
      <c r="F408" s="1075">
        <v>0.58430000000000004</v>
      </c>
      <c r="G408" s="1075">
        <v>0.50790000000000002</v>
      </c>
      <c r="H408" s="1075">
        <v>0.50790000000000002</v>
      </c>
      <c r="I408" s="1075">
        <v>0.43070000000000003</v>
      </c>
      <c r="J408" s="1075">
        <v>0.43070000000000003</v>
      </c>
      <c r="K408" s="1075">
        <v>0.43070000000000003</v>
      </c>
      <c r="L408" s="1075">
        <v>0.43070000000000003</v>
      </c>
      <c r="M408" s="1075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zoomScale="90" zoomScaleNormal="90" zoomScaleSheetLayoutView="89" workbookViewId="0">
      <selection activeCell="G28" sqref="G28"/>
    </sheetView>
  </sheetViews>
  <sheetFormatPr defaultColWidth="9" defaultRowHeight="12"/>
  <cols>
    <col min="1" max="1" width="13.375" style="887" customWidth="1"/>
    <col min="2" max="2" width="19.25" style="888" customWidth="1"/>
    <col min="3" max="4" width="12" style="889" customWidth="1"/>
    <col min="5" max="5" width="14.625" style="889" customWidth="1"/>
    <col min="6" max="6" width="16.875" style="889" customWidth="1"/>
    <col min="7" max="8" width="12" style="889" customWidth="1"/>
    <col min="9" max="9" width="12.2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892" t="s">
        <v>18</v>
      </c>
      <c r="B1" s="893"/>
      <c r="C1" s="894"/>
      <c r="D1" s="894"/>
      <c r="E1" s="894"/>
      <c r="F1" s="894"/>
      <c r="G1" s="895" t="s">
        <v>330</v>
      </c>
      <c r="H1" s="896">
        <f>主表!B7</f>
        <v>52.76</v>
      </c>
      <c r="I1" s="895" t="s">
        <v>1003</v>
      </c>
      <c r="J1" s="896">
        <f>主表!B6</f>
        <v>0</v>
      </c>
      <c r="AE1" s="988"/>
      <c r="AF1" s="988"/>
    </row>
    <row r="2" spans="1:36" ht="24">
      <c r="A2" s="897" t="s">
        <v>295</v>
      </c>
      <c r="B2" s="898" t="s">
        <v>48</v>
      </c>
      <c r="C2" s="899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五级</v>
      </c>
      <c r="H2" s="901" t="s">
        <v>331</v>
      </c>
      <c r="I2" s="724" t="s">
        <v>1004</v>
      </c>
      <c r="J2" s="894"/>
      <c r="AE2" s="988"/>
      <c r="AF2" s="988"/>
    </row>
    <row r="3" spans="1:36" ht="24">
      <c r="A3" s="902" t="s">
        <v>334</v>
      </c>
      <c r="B3" s="903">
        <f>C18</f>
        <v>2106</v>
      </c>
      <c r="C3" s="899" t="s">
        <v>335</v>
      </c>
      <c r="D3" s="900" t="s">
        <v>336</v>
      </c>
      <c r="E3" s="904" t="s">
        <v>844</v>
      </c>
      <c r="F3" s="905" t="s">
        <v>257</v>
      </c>
      <c r="G3" s="445">
        <f>IF(F3="容积率",主表!B8,主表!B9)</f>
        <v>2.94</v>
      </c>
      <c r="H3" s="906" t="s">
        <v>372</v>
      </c>
      <c r="I3" s="17">
        <f>SUMPRODUCT((A89:A92=E2)*(B88:K88=G2)*(B89:K92))</f>
        <v>2</v>
      </c>
      <c r="J3" s="894"/>
      <c r="AE3" s="988"/>
      <c r="AF3" s="988"/>
    </row>
    <row r="4" spans="1:36" ht="15.75">
      <c r="A4" s="897" t="s">
        <v>1005</v>
      </c>
      <c r="B4" s="898">
        <f>C20</f>
        <v>0</v>
      </c>
      <c r="C4" s="907" t="s">
        <v>335</v>
      </c>
      <c r="D4" s="908"/>
      <c r="E4" s="909"/>
      <c r="F4" s="909"/>
      <c r="G4" s="596"/>
      <c r="H4" s="910"/>
      <c r="I4" s="759"/>
      <c r="J4" s="894"/>
      <c r="AE4" s="988"/>
      <c r="AF4" s="988"/>
    </row>
    <row r="5" spans="1:36" ht="15.75">
      <c r="A5" s="895" t="s">
        <v>1006</v>
      </c>
      <c r="B5" s="911">
        <f>C22</f>
        <v>0</v>
      </c>
      <c r="C5" s="912" t="s">
        <v>335</v>
      </c>
      <c r="D5" s="913"/>
      <c r="E5" s="913"/>
      <c r="F5" s="913"/>
      <c r="G5" s="913"/>
      <c r="H5" s="913"/>
      <c r="I5" s="913"/>
      <c r="J5" s="1026"/>
      <c r="AE5" s="988"/>
      <c r="AF5" s="988"/>
    </row>
    <row r="6" spans="1:36" s="885" customFormat="1" ht="14.25">
      <c r="A6" s="914" t="s">
        <v>341</v>
      </c>
      <c r="B6" s="915" t="s">
        <v>1007</v>
      </c>
      <c r="C6" s="916"/>
      <c r="D6" s="917"/>
      <c r="E6" s="917"/>
      <c r="F6" s="917"/>
      <c r="G6" s="918"/>
      <c r="H6" s="918"/>
      <c r="I6" s="918"/>
      <c r="J6" s="1027"/>
      <c r="K6" s="1028"/>
      <c r="AE6" s="1048"/>
      <c r="AF6" s="1048"/>
      <c r="AG6" s="1049"/>
      <c r="AH6" s="1049"/>
      <c r="AI6" s="1049"/>
      <c r="AJ6" s="1049"/>
    </row>
    <row r="7" spans="1:36" ht="15.75">
      <c r="A7" s="719">
        <v>1</v>
      </c>
      <c r="B7" s="919" t="s">
        <v>1007</v>
      </c>
      <c r="C7" s="920">
        <f>IF(I2="地上",'2002地价表'!M1,ROUND('2002地价表'!M1/3,0))</f>
        <v>2145</v>
      </c>
      <c r="D7" s="921" t="s">
        <v>1008</v>
      </c>
      <c r="E7" s="922"/>
      <c r="F7" s="922"/>
      <c r="G7" s="923"/>
      <c r="H7" s="923"/>
      <c r="I7" s="923"/>
      <c r="J7" s="1029"/>
      <c r="K7" s="1030"/>
      <c r="AE7" s="988"/>
      <c r="AF7" s="988"/>
    </row>
    <row r="8" spans="1:36" ht="15.75">
      <c r="A8" s="924">
        <v>2</v>
      </c>
      <c r="B8" s="925" t="s">
        <v>1009</v>
      </c>
      <c r="C8" s="926"/>
      <c r="D8" s="927" t="str">
        <f>"取值范围:"&amp;SUMPRODUCT(('2002地价表'!K15:K24=G2)*('2002地价表'!L14:O14=E2)*('2002地价表'!L15:O24))&amp;"—"&amp;SUMPRODUCT(('2002地价表'!K15:K24=G2)*('2002地价表'!P14:S14=E2)*('2002地价表'!P15:S24))</f>
        <v>取值范围:300—680</v>
      </c>
      <c r="E8" s="928"/>
      <c r="F8" s="929" t="s">
        <v>1010</v>
      </c>
      <c r="G8" s="930"/>
      <c r="H8" s="930"/>
      <c r="I8" s="930"/>
      <c r="J8" s="1031"/>
      <c r="K8" s="1030"/>
      <c r="AE8" s="988"/>
      <c r="AF8" s="988"/>
    </row>
    <row r="9" spans="1:36" ht="15.75">
      <c r="A9" s="729" t="s">
        <v>373</v>
      </c>
      <c r="B9" s="931" t="s">
        <v>379</v>
      </c>
      <c r="C9" s="932">
        <f>IF(OR(H9&gt;=DATE(2014,8,28),H9&lt;DATE(2002,12,10)),0,ROUND(I9/F9,4))</f>
        <v>1.0385</v>
      </c>
      <c r="D9" s="933" t="s">
        <v>380</v>
      </c>
      <c r="E9" s="934">
        <v>37257</v>
      </c>
      <c r="F9" s="935">
        <f>ROUND(SUMIF(地价!B3:F3,E2,地价!B86:F86),0)</f>
        <v>104</v>
      </c>
      <c r="G9" s="936" t="s">
        <v>381</v>
      </c>
      <c r="H9" s="937">
        <f>主表!B4</f>
        <v>37924</v>
      </c>
      <c r="I9" s="1032">
        <f>ROUND(SUMPRODUCT((地价!A36:A86=YEAR(H9)&amp;"-"&amp;ROUNDUP(MONTH(H9)/3,0))*(地价!B3:F3=E2)*(地价!B36:F86)),0)</f>
        <v>108</v>
      </c>
      <c r="J9" s="1033"/>
      <c r="AE9" s="988"/>
      <c r="AF9" s="988"/>
    </row>
    <row r="10" spans="1:36" ht="24">
      <c r="A10" s="938" t="s">
        <v>378</v>
      </c>
      <c r="B10" s="939" t="s">
        <v>281</v>
      </c>
      <c r="C10" s="940">
        <f>ROUND(POWER(1+E10,H10-G10)*(POWER(1+E10,G10)-1)/(POWER(1+E10,H10)-1),4)</f>
        <v>1</v>
      </c>
      <c r="D10" s="941" t="s">
        <v>278</v>
      </c>
      <c r="E10" s="942">
        <v>0.04</v>
      </c>
      <c r="F10" s="943" t="s">
        <v>274</v>
      </c>
      <c r="G10" s="944">
        <f>IF(F10="剩余土地使用年限",主表!B15,主表!B16)</f>
        <v>70</v>
      </c>
      <c r="H10" s="944">
        <f>IF(E2="住宅/居住",70,IF(E2="商业",40,50))</f>
        <v>70</v>
      </c>
      <c r="I10" s="1034"/>
      <c r="J10" s="1035"/>
      <c r="AE10" s="988"/>
      <c r="AF10" s="988"/>
    </row>
    <row r="11" spans="1:36" ht="15">
      <c r="A11" s="945" t="s">
        <v>386</v>
      </c>
      <c r="B11" s="946" t="s">
        <v>392</v>
      </c>
      <c r="C11" s="947">
        <f>IF(E2="工业",1,IF(G3&gt;10,D14,IF(D11="郊区",D13,D12)))</f>
        <v>0.9204</v>
      </c>
      <c r="D11" s="948" t="s">
        <v>1011</v>
      </c>
      <c r="E11" s="918"/>
      <c r="F11" s="918"/>
      <c r="G11" s="918"/>
      <c r="H11" s="918"/>
      <c r="I11" s="918"/>
      <c r="J11" s="1036"/>
      <c r="AE11" s="988"/>
      <c r="AF11" s="988"/>
    </row>
    <row r="12" spans="1:36" ht="15">
      <c r="A12" s="664"/>
      <c r="B12" s="690" t="s">
        <v>1011</v>
      </c>
      <c r="C12" s="692" t="s">
        <v>1012</v>
      </c>
      <c r="D12" s="949">
        <f>IF(E12=G12,F12,IF(G3&lt;=10,ROUND(F12+(H12-F12)*(G3-E12)/(G12-E12),4),"——"))</f>
        <v>0.9204</v>
      </c>
      <c r="E12" s="950">
        <f>ROUNDDOWN(G3,1)</f>
        <v>2.9</v>
      </c>
      <c r="F12" s="951">
        <f>IF(G3&lt;=10,SUMPRODUCT(('2002容积率修正'!A3:A102=E12)*('2002容积率修正'!B2:D2=E2)*('2002容积率修正'!B3:D102)),"——")</f>
        <v>0.92200000000000004</v>
      </c>
      <c r="G12" s="952">
        <f>ROUNDUP(G3,1)</f>
        <v>3</v>
      </c>
      <c r="H12" s="692">
        <f>IF(G3&lt;=10,SUMPRODUCT(('2002容积率修正'!A3:A102=G12)*('2002容积率修正'!B2:D2=E2)*('2002容积率修正'!B3:D102)),"——")</f>
        <v>0.91800000000000004</v>
      </c>
      <c r="I12" s="1037"/>
      <c r="J12" s="1038"/>
      <c r="AE12" s="988"/>
      <c r="AF12" s="988"/>
    </row>
    <row r="13" spans="1:36" ht="15">
      <c r="A13" s="664"/>
      <c r="B13" s="690" t="s">
        <v>1013</v>
      </c>
      <c r="C13" s="692" t="s">
        <v>1012</v>
      </c>
      <c r="D13" s="949">
        <f>IF(E12=G12,F12,IF(G3&lt;=10,ROUND(F12+(H12-F12)*(G3-E12)/(G12-E12),4),"——"))</f>
        <v>0.9204</v>
      </c>
      <c r="E13" s="950">
        <f>ROUNDDOWN(G3,1)</f>
        <v>2.9</v>
      </c>
      <c r="F13" s="951">
        <f>IF(G3&lt;=10,SUMPRODUCT(('2002容积率修正'!A3:A102=E13)*('2002容积率修正'!E2:G2=E2)*('2002容积率修正'!E3:G102)),"——")</f>
        <v>0.78300000000000003</v>
      </c>
      <c r="G13" s="952">
        <f>ROUNDUP(G3,1)</f>
        <v>3</v>
      </c>
      <c r="H13" s="692">
        <f>IF(G3&lt;=10,SUMPRODUCT(('2002容积率修正'!A3:A102=G13)*('2002容积率修正'!E2:G2=E2)*('2002容积率修正'!E3:G102)),"——")</f>
        <v>0.78</v>
      </c>
      <c r="I13" s="1039"/>
      <c r="J13" s="661"/>
      <c r="AE13" s="988"/>
      <c r="AF13" s="988"/>
    </row>
    <row r="14" spans="1:36" ht="15">
      <c r="A14" s="668"/>
      <c r="B14" s="953"/>
      <c r="C14" s="954" t="s">
        <v>394</v>
      </c>
      <c r="D14" s="745" t="str">
        <f>IF(G3&gt;10,B81,"——")</f>
        <v>——</v>
      </c>
      <c r="E14" s="955"/>
      <c r="F14" s="954"/>
      <c r="G14" s="956"/>
      <c r="H14" s="954"/>
      <c r="I14" s="1040"/>
      <c r="J14" s="1041"/>
      <c r="AE14" s="988"/>
      <c r="AF14" s="988"/>
    </row>
    <row r="15" spans="1:36" ht="15.75">
      <c r="A15" s="743" t="s">
        <v>389</v>
      </c>
      <c r="B15" s="957" t="s">
        <v>397</v>
      </c>
      <c r="C15" s="958">
        <f>SUMIF(A40:A76,E2,B40:B76)</f>
        <v>1.0269999999999999</v>
      </c>
      <c r="D15" s="959"/>
      <c r="E15" s="960"/>
      <c r="F15" s="960"/>
      <c r="G15" s="960"/>
      <c r="H15" s="960"/>
      <c r="I15" s="960"/>
      <c r="J15" s="1042"/>
      <c r="AE15" s="988"/>
      <c r="AF15" s="988"/>
    </row>
    <row r="16" spans="1:36" ht="28.5">
      <c r="A16" s="938" t="s">
        <v>396</v>
      </c>
      <c r="B16" s="939" t="s">
        <v>1014</v>
      </c>
      <c r="C16" s="961">
        <v>1</v>
      </c>
      <c r="D16" s="962" t="s">
        <v>1015</v>
      </c>
      <c r="E16" s="963" t="s">
        <v>371</v>
      </c>
      <c r="F16" s="964" t="s">
        <v>1016</v>
      </c>
      <c r="G16" s="965" t="s">
        <v>370</v>
      </c>
      <c r="H16" s="966" t="str">
        <f>IF(E2="工业",IF(OR(G2="六级",G2="七级",G2="八级",G2="九级"),"五通一平","七通一平"),IF(OR(G2="七级",G2="八级",G2="九级",G2="十级"),"五通一平","七通一平"))</f>
        <v>七通一平</v>
      </c>
      <c r="I16" s="1043"/>
      <c r="J16" s="1044"/>
      <c r="L16" s="890"/>
      <c r="M16" s="890"/>
      <c r="N16" s="890"/>
      <c r="O16" s="890"/>
      <c r="P16" s="890"/>
      <c r="Q16" s="890"/>
      <c r="R16" s="890"/>
      <c r="S16" s="890"/>
      <c r="T16" s="890"/>
      <c r="U16" s="890"/>
      <c r="V16" s="890"/>
      <c r="W16" s="890"/>
      <c r="X16" s="890"/>
      <c r="Y16" s="890"/>
      <c r="Z16" s="890"/>
      <c r="AA16" s="890"/>
      <c r="AB16" s="890"/>
      <c r="AC16" s="890"/>
      <c r="AD16" s="890"/>
      <c r="AE16" s="988"/>
      <c r="AF16" s="988"/>
    </row>
    <row r="17" spans="1:37" ht="12" customHeight="1">
      <c r="A17" s="914" t="s">
        <v>398</v>
      </c>
      <c r="B17" s="967" t="s">
        <v>399</v>
      </c>
      <c r="C17" s="968" t="s">
        <v>1017</v>
      </c>
      <c r="D17" s="969" t="s">
        <v>1018</v>
      </c>
      <c r="E17" s="970" t="s">
        <v>403</v>
      </c>
      <c r="F17" s="917"/>
      <c r="G17" s="918"/>
      <c r="H17" s="918"/>
      <c r="I17" s="918"/>
      <c r="J17" s="1027"/>
      <c r="L17" s="890"/>
      <c r="M17" s="890"/>
      <c r="N17" s="890"/>
      <c r="O17" s="890"/>
      <c r="P17" s="890"/>
      <c r="Q17" s="890"/>
      <c r="R17" s="890"/>
      <c r="S17" s="890"/>
      <c r="T17" s="890"/>
      <c r="U17" s="890"/>
      <c r="V17" s="890"/>
      <c r="W17" s="890"/>
      <c r="X17" s="890"/>
      <c r="Y17" s="890"/>
      <c r="Z17" s="890"/>
      <c r="AA17" s="890"/>
      <c r="AB17" s="890"/>
      <c r="AC17" s="890"/>
      <c r="AD17" s="890"/>
      <c r="AE17" s="988"/>
      <c r="AF17" s="988"/>
    </row>
    <row r="18" spans="1:37" s="885" customFormat="1" ht="15.75">
      <c r="A18" s="1707" t="s">
        <v>1019</v>
      </c>
      <c r="B18" s="735" t="s">
        <v>1007</v>
      </c>
      <c r="C18" s="971">
        <f>ROUND(C7*C9*C10*C11*C15*C16,0)</f>
        <v>2106</v>
      </c>
      <c r="D18" s="736">
        <f>H1</f>
        <v>52.76</v>
      </c>
      <c r="E18" s="737">
        <f>ROUND(C18*D18,0)</f>
        <v>111113</v>
      </c>
      <c r="F18" s="972" t="s">
        <v>1020</v>
      </c>
      <c r="G18" s="973"/>
      <c r="H18" s="973"/>
      <c r="I18" s="973"/>
      <c r="J18" s="1045"/>
      <c r="K18" s="1046"/>
      <c r="L18" s="890"/>
      <c r="M18" s="890"/>
      <c r="N18" s="890"/>
      <c r="O18" s="890"/>
      <c r="P18" s="890"/>
      <c r="Q18" s="890"/>
      <c r="R18" s="890"/>
      <c r="S18" s="890"/>
      <c r="T18" s="890"/>
      <c r="U18" s="890"/>
      <c r="V18" s="890"/>
      <c r="W18" s="890"/>
      <c r="X18" s="890"/>
      <c r="Y18" s="890"/>
      <c r="Z18" s="988"/>
      <c r="AA18" s="988"/>
      <c r="AB18" s="988"/>
      <c r="AC18" s="988"/>
      <c r="AD18" s="988"/>
      <c r="AE18" s="988"/>
      <c r="AF18" s="988"/>
      <c r="AG18" s="887"/>
      <c r="AH18" s="887"/>
      <c r="AI18" s="887"/>
    </row>
    <row r="19" spans="1:37" s="885" customFormat="1" ht="15">
      <c r="A19" s="1708"/>
      <c r="B19" s="740" t="s">
        <v>1021</v>
      </c>
      <c r="C19" s="692">
        <f>ROUND(C7*C9*C10*C11*C15*C16*G3,0)</f>
        <v>6191</v>
      </c>
      <c r="D19" s="736">
        <f>J1</f>
        <v>0</v>
      </c>
      <c r="E19" s="737">
        <f>ROUND(C19*D19,0)</f>
        <v>0</v>
      </c>
      <c r="F19" s="974" t="s">
        <v>1022</v>
      </c>
      <c r="G19" s="923"/>
      <c r="H19" s="923"/>
      <c r="I19" s="923"/>
      <c r="J19" s="1029"/>
      <c r="K19" s="1046"/>
      <c r="L19" s="890"/>
      <c r="M19" s="890"/>
      <c r="N19" s="890"/>
      <c r="O19" s="890"/>
      <c r="P19" s="890"/>
      <c r="Q19" s="890"/>
      <c r="R19" s="890"/>
      <c r="S19" s="890"/>
      <c r="T19" s="890"/>
      <c r="U19" s="890"/>
      <c r="V19" s="890"/>
      <c r="W19" s="890"/>
      <c r="X19" s="890"/>
      <c r="Y19" s="890"/>
      <c r="Z19" s="988"/>
      <c r="AA19" s="988"/>
      <c r="AB19" s="988"/>
      <c r="AC19" s="988"/>
      <c r="AD19" s="988"/>
      <c r="AE19" s="988"/>
      <c r="AF19" s="988"/>
      <c r="AG19" s="887"/>
      <c r="AH19" s="887"/>
      <c r="AI19" s="887"/>
    </row>
    <row r="20" spans="1:37" s="885" customFormat="1" ht="15">
      <c r="A20" s="1709" t="s">
        <v>1023</v>
      </c>
      <c r="B20" s="690" t="s">
        <v>1024</v>
      </c>
      <c r="C20" s="703">
        <f>ROUND(IF(G3&gt;=I3,C8*C9*C10*C15,C8*C9*C10*C15*G3),0)</f>
        <v>0</v>
      </c>
      <c r="D20" s="741">
        <f>H1</f>
        <v>52.76</v>
      </c>
      <c r="E20" s="742">
        <f>ROUND(C20*D20,0)</f>
        <v>0</v>
      </c>
      <c r="F20" s="975" t="s">
        <v>1025</v>
      </c>
      <c r="G20" s="694"/>
      <c r="H20" s="694"/>
      <c r="I20" s="694"/>
      <c r="J20" s="1033"/>
      <c r="K20" s="1046"/>
      <c r="L20" s="890"/>
      <c r="M20" s="890"/>
      <c r="N20" s="890"/>
      <c r="O20" s="890"/>
      <c r="P20" s="890"/>
      <c r="Q20" s="890"/>
      <c r="R20" s="890"/>
      <c r="S20" s="890"/>
      <c r="T20" s="890"/>
      <c r="U20" s="890"/>
      <c r="V20" s="890"/>
      <c r="W20" s="890"/>
      <c r="X20" s="890"/>
      <c r="Y20" s="890"/>
      <c r="Z20" s="988"/>
      <c r="AA20" s="988"/>
      <c r="AB20" s="988"/>
      <c r="AC20" s="988"/>
      <c r="AD20" s="988"/>
      <c r="AE20" s="988"/>
      <c r="AF20" s="988"/>
      <c r="AG20" s="887"/>
      <c r="AH20" s="887"/>
      <c r="AI20" s="887"/>
    </row>
    <row r="21" spans="1:37" s="885" customFormat="1" ht="15">
      <c r="A21" s="1709"/>
      <c r="B21" s="976" t="s">
        <v>1026</v>
      </c>
      <c r="C21" s="977">
        <f>ROUND(IF(G3&lt;I3,C8*C9*C10*C15,C8*C9*C10*C15*G3),0)</f>
        <v>0</v>
      </c>
      <c r="D21" s="978">
        <f>J1</f>
        <v>0</v>
      </c>
      <c r="E21" s="979">
        <f t="shared" ref="E21" si="0">ROUND(C21*D21,0)</f>
        <v>0</v>
      </c>
      <c r="F21" s="980" t="s">
        <v>1027</v>
      </c>
      <c r="G21" s="694"/>
      <c r="H21" s="694"/>
      <c r="I21" s="694"/>
      <c r="J21" s="1033"/>
      <c r="K21" s="1046"/>
      <c r="L21" s="890"/>
      <c r="M21" s="890"/>
      <c r="N21" s="890"/>
      <c r="O21" s="890"/>
      <c r="P21" s="890"/>
      <c r="Q21" s="890"/>
      <c r="R21" s="890"/>
      <c r="S21" s="890"/>
      <c r="T21" s="890"/>
      <c r="U21" s="890"/>
      <c r="V21" s="890"/>
      <c r="W21" s="890"/>
      <c r="X21" s="890"/>
      <c r="Y21" s="890"/>
      <c r="Z21" s="988"/>
      <c r="AA21" s="988"/>
      <c r="AB21" s="988"/>
      <c r="AC21" s="988"/>
      <c r="AD21" s="988"/>
      <c r="AE21" s="1046"/>
      <c r="AF21" s="989"/>
      <c r="AG21" s="1050"/>
      <c r="AH21" s="887"/>
      <c r="AI21" s="1049"/>
      <c r="AJ21" s="1049"/>
      <c r="AK21" s="1049"/>
    </row>
    <row r="22" spans="1:37" s="885" customFormat="1" ht="15">
      <c r="A22" s="981" t="s">
        <v>1028</v>
      </c>
      <c r="B22" s="982"/>
      <c r="C22" s="983">
        <f>ROUND(IF(D22="四环路内",C20*0.4,C20*0.6),0)</f>
        <v>0</v>
      </c>
      <c r="D22" s="984"/>
      <c r="E22" s="985"/>
      <c r="F22" s="985"/>
      <c r="G22" s="985"/>
      <c r="H22" s="985"/>
      <c r="I22" s="985"/>
      <c r="J22" s="1047"/>
      <c r="K22" s="1046"/>
      <c r="L22" s="890"/>
      <c r="M22" s="890"/>
      <c r="N22" s="890"/>
      <c r="O22" s="890"/>
      <c r="P22" s="890"/>
      <c r="Q22" s="890"/>
      <c r="R22" s="890"/>
      <c r="S22" s="890"/>
      <c r="T22" s="890"/>
      <c r="U22" s="890"/>
      <c r="V22" s="890"/>
      <c r="W22" s="890"/>
      <c r="X22" s="890"/>
      <c r="Y22" s="890"/>
      <c r="Z22" s="988"/>
      <c r="AA22" s="988"/>
      <c r="AB22" s="988"/>
      <c r="AC22" s="988"/>
      <c r="AD22" s="988"/>
      <c r="AE22" s="1046"/>
      <c r="AF22" s="1046"/>
    </row>
    <row r="23" spans="1:37" s="885" customFormat="1" ht="13.5">
      <c r="A23" s="887"/>
      <c r="B23" s="888"/>
      <c r="C23" s="750"/>
      <c r="D23" s="889"/>
      <c r="E23" s="889"/>
      <c r="F23" s="889"/>
      <c r="G23" s="889"/>
      <c r="H23" s="889"/>
      <c r="I23" s="889"/>
      <c r="J23" s="889"/>
      <c r="K23" s="1046"/>
      <c r="L23" s="890"/>
      <c r="M23" s="890"/>
      <c r="N23" s="890"/>
      <c r="O23" s="890"/>
      <c r="P23" s="890"/>
      <c r="Q23" s="890"/>
      <c r="R23" s="890"/>
      <c r="S23" s="890"/>
      <c r="T23" s="890"/>
      <c r="U23" s="890"/>
      <c r="V23" s="890"/>
      <c r="W23" s="890"/>
      <c r="X23" s="890"/>
      <c r="Y23" s="890"/>
      <c r="Z23" s="988"/>
      <c r="AA23" s="988"/>
      <c r="AB23" s="988"/>
      <c r="AC23" s="988"/>
      <c r="AD23" s="988"/>
      <c r="AE23" s="1046"/>
      <c r="AF23" s="1046"/>
    </row>
    <row r="24" spans="1:37" s="885" customFormat="1" ht="13.5">
      <c r="A24" s="986" t="s">
        <v>375</v>
      </c>
      <c r="B24" s="987">
        <f>ROUNDDOWN(1+DATEDIF(E9,H9,"M")/3,0)</f>
        <v>8</v>
      </c>
      <c r="C24" s="988"/>
      <c r="D24" s="989"/>
      <c r="E24" s="989"/>
      <c r="F24" s="989"/>
      <c r="G24" s="989"/>
      <c r="H24" s="989"/>
      <c r="I24" s="988"/>
      <c r="J24" s="988"/>
      <c r="K24" s="988"/>
      <c r="L24" s="988"/>
      <c r="M24" s="890"/>
      <c r="N24" s="890"/>
      <c r="O24" s="1046"/>
      <c r="P24" s="1046"/>
      <c r="Q24" s="1046"/>
      <c r="R24" s="1046"/>
      <c r="S24" s="1046"/>
      <c r="T24" s="890"/>
      <c r="U24" s="890"/>
      <c r="V24" s="890"/>
      <c r="W24" s="890"/>
      <c r="X24" s="890"/>
      <c r="Y24" s="890"/>
      <c r="Z24" s="988"/>
      <c r="AA24" s="988"/>
      <c r="AB24" s="988"/>
      <c r="AC24" s="988"/>
      <c r="AD24" s="988"/>
      <c r="AE24" s="1046"/>
      <c r="AF24" s="1046"/>
    </row>
    <row r="25" spans="1:37" s="885" customFormat="1" ht="13.5">
      <c r="A25" s="990" t="s">
        <v>382</v>
      </c>
      <c r="B25" s="274" t="s">
        <v>1029</v>
      </c>
      <c r="C25" s="991" t="s">
        <v>1030</v>
      </c>
      <c r="D25" s="989"/>
      <c r="E25" s="989"/>
      <c r="F25" s="989"/>
      <c r="G25" s="989"/>
      <c r="H25" s="989"/>
      <c r="I25" s="988"/>
      <c r="J25" s="988"/>
      <c r="K25" s="988"/>
      <c r="L25" s="988"/>
      <c r="M25" s="890"/>
      <c r="N25" s="890"/>
      <c r="O25" s="1046"/>
      <c r="P25" s="1046"/>
      <c r="Q25" s="1046"/>
      <c r="R25" s="1046"/>
      <c r="S25" s="1046"/>
      <c r="T25" s="890"/>
      <c r="U25" s="890"/>
      <c r="V25" s="890"/>
      <c r="W25" s="890"/>
      <c r="X25" s="890"/>
      <c r="Y25" s="890"/>
      <c r="Z25" s="988"/>
      <c r="AA25" s="988"/>
      <c r="AB25" s="988"/>
      <c r="AC25" s="988"/>
      <c r="AD25" s="988"/>
      <c r="AE25" s="1046"/>
      <c r="AF25" s="1046"/>
    </row>
    <row r="26" spans="1:37" s="885" customFormat="1" ht="14.25">
      <c r="A26" s="992" t="s">
        <v>388</v>
      </c>
      <c r="B26" s="506"/>
      <c r="C26" s="993">
        <f>'地价（废）'!L2</f>
        <v>1.9300000000000001E-2</v>
      </c>
      <c r="D26" s="989"/>
      <c r="E26" s="989"/>
      <c r="F26" s="989"/>
      <c r="G26" s="989"/>
      <c r="H26" s="989"/>
      <c r="I26" s="988"/>
      <c r="J26" s="988"/>
      <c r="K26" s="988"/>
      <c r="L26" s="988"/>
      <c r="M26" s="890"/>
      <c r="N26" s="890"/>
      <c r="O26" s="1046"/>
      <c r="P26" s="1046"/>
      <c r="Q26" s="1046"/>
      <c r="R26" s="1046"/>
      <c r="S26" s="1046"/>
      <c r="T26" s="890"/>
      <c r="U26" s="890"/>
      <c r="V26" s="890"/>
      <c r="W26" s="890"/>
      <c r="X26" s="890"/>
      <c r="Y26" s="890"/>
      <c r="Z26" s="988"/>
      <c r="AA26" s="988"/>
      <c r="AB26" s="988"/>
      <c r="AC26" s="988"/>
      <c r="AD26" s="988"/>
      <c r="AE26" s="1046"/>
      <c r="AF26" s="1046"/>
    </row>
    <row r="27" spans="1:37" s="885" customFormat="1" ht="14.25">
      <c r="A27" s="992" t="s">
        <v>377</v>
      </c>
      <c r="B27" s="994">
        <v>0.02</v>
      </c>
      <c r="C27" s="993">
        <f>'地价（废）'!M2</f>
        <v>1.78E-2</v>
      </c>
      <c r="D27" s="989"/>
      <c r="E27" s="989"/>
      <c r="F27" s="989"/>
      <c r="G27" s="989"/>
      <c r="H27" s="989"/>
      <c r="I27" s="988"/>
      <c r="J27" s="988"/>
      <c r="K27" s="988"/>
      <c r="L27" s="988"/>
      <c r="M27" s="890"/>
      <c r="N27" s="890"/>
      <c r="O27" s="1046"/>
      <c r="P27" s="1046"/>
      <c r="Q27" s="1046"/>
      <c r="R27" s="1046"/>
      <c r="S27" s="1046"/>
      <c r="T27" s="890"/>
      <c r="U27" s="890"/>
      <c r="V27" s="890"/>
      <c r="W27" s="890"/>
      <c r="X27" s="890"/>
      <c r="Y27" s="890"/>
      <c r="Z27" s="988"/>
      <c r="AA27" s="988"/>
      <c r="AB27" s="988"/>
      <c r="AC27" s="988"/>
      <c r="AD27" s="988"/>
      <c r="AE27" s="1046"/>
      <c r="AF27" s="1046"/>
    </row>
    <row r="28" spans="1:37" s="885" customFormat="1" ht="14.25">
      <c r="A28" s="992" t="s">
        <v>78</v>
      </c>
      <c r="B28" s="994">
        <v>0.02</v>
      </c>
      <c r="C28" s="993">
        <f>'地价（废）'!N2</f>
        <v>1.78E-2</v>
      </c>
      <c r="D28" s="989"/>
      <c r="E28" s="989"/>
      <c r="F28" s="989"/>
      <c r="G28" s="989"/>
      <c r="H28" s="989"/>
      <c r="I28" s="988"/>
      <c r="J28" s="988"/>
      <c r="K28" s="988"/>
      <c r="L28" s="988"/>
      <c r="M28" s="890"/>
      <c r="N28" s="890"/>
      <c r="O28" s="1046"/>
      <c r="P28" s="1046"/>
      <c r="Q28" s="1046"/>
      <c r="R28" s="1046"/>
      <c r="S28" s="1046"/>
      <c r="T28" s="890"/>
      <c r="U28" s="890"/>
      <c r="V28" s="890"/>
      <c r="W28" s="890"/>
      <c r="X28" s="890"/>
      <c r="Y28" s="890"/>
      <c r="Z28" s="988"/>
      <c r="AA28" s="988"/>
      <c r="AB28" s="988"/>
      <c r="AC28" s="988"/>
      <c r="AD28" s="988"/>
      <c r="AE28" s="1046"/>
      <c r="AF28" s="1046"/>
    </row>
    <row r="29" spans="1:37" s="885" customFormat="1" ht="14.25">
      <c r="A29" s="992" t="s">
        <v>53</v>
      </c>
      <c r="B29" s="994">
        <v>1.9900000000000001E-2</v>
      </c>
      <c r="C29" s="993">
        <f>'地价（废）'!O2</f>
        <v>1.9900000000000001E-2</v>
      </c>
      <c r="D29" s="989"/>
      <c r="E29" s="989"/>
      <c r="F29" s="989"/>
      <c r="G29" s="989"/>
      <c r="H29" s="989"/>
      <c r="I29" s="988"/>
      <c r="J29" s="988"/>
      <c r="K29" s="988"/>
      <c r="L29" s="988"/>
      <c r="M29" s="890"/>
      <c r="N29" s="890"/>
      <c r="O29" s="1046"/>
      <c r="P29" s="1046"/>
      <c r="Q29" s="1046"/>
      <c r="R29" s="1046"/>
      <c r="S29" s="1046"/>
      <c r="T29" s="890"/>
      <c r="U29" s="890"/>
      <c r="V29" s="890"/>
      <c r="W29" s="890"/>
      <c r="X29" s="890"/>
      <c r="Y29" s="890"/>
      <c r="Z29" s="988"/>
      <c r="AA29" s="988"/>
      <c r="AB29" s="988"/>
      <c r="AC29" s="988"/>
      <c r="AD29" s="988"/>
      <c r="AE29" s="1046"/>
      <c r="AF29" s="1046"/>
    </row>
    <row r="30" spans="1:37" s="885" customFormat="1" ht="14.25">
      <c r="A30" s="995" t="s">
        <v>137</v>
      </c>
      <c r="B30" s="996">
        <v>0.02</v>
      </c>
      <c r="C30" s="997">
        <f>'地价（废）'!P2</f>
        <v>1.7899999999999999E-2</v>
      </c>
      <c r="D30" s="989"/>
      <c r="E30" s="989"/>
      <c r="F30" s="989"/>
      <c r="G30" s="989"/>
      <c r="H30" s="989"/>
      <c r="I30" s="988"/>
      <c r="J30" s="988"/>
      <c r="K30" s="988"/>
      <c r="L30" s="988"/>
      <c r="M30" s="890"/>
      <c r="N30" s="890"/>
      <c r="O30" s="1046"/>
      <c r="P30" s="1046"/>
      <c r="Q30" s="1046"/>
      <c r="R30" s="1046"/>
      <c r="S30" s="1046"/>
      <c r="T30" s="890"/>
      <c r="U30" s="890"/>
      <c r="V30" s="890"/>
      <c r="W30" s="890"/>
      <c r="X30" s="890"/>
      <c r="Y30" s="890"/>
      <c r="Z30" s="988"/>
      <c r="AA30" s="988"/>
      <c r="AB30" s="988"/>
      <c r="AC30" s="988"/>
      <c r="AD30" s="988"/>
      <c r="AE30" s="1046"/>
      <c r="AF30" s="1046"/>
    </row>
    <row r="31" spans="1:37" s="885" customFormat="1" ht="13.5">
      <c r="A31" s="989"/>
      <c r="B31" s="989"/>
      <c r="C31" s="989"/>
      <c r="D31" s="989"/>
      <c r="E31" s="989"/>
      <c r="F31" s="989"/>
      <c r="G31" s="989"/>
      <c r="H31" s="989"/>
      <c r="I31" s="988"/>
      <c r="J31" s="988"/>
      <c r="K31" s="988"/>
      <c r="L31" s="988"/>
      <c r="M31" s="890"/>
      <c r="N31" s="890"/>
      <c r="O31" s="1046"/>
      <c r="P31" s="1046"/>
      <c r="Q31" s="1046"/>
      <c r="R31" s="1046"/>
      <c r="S31" s="1046"/>
      <c r="T31" s="890"/>
      <c r="U31" s="890"/>
      <c r="V31" s="890"/>
      <c r="W31" s="890"/>
      <c r="X31" s="890"/>
      <c r="Y31" s="890"/>
      <c r="Z31" s="988"/>
      <c r="AA31" s="988"/>
      <c r="AB31" s="988"/>
      <c r="AC31" s="988"/>
      <c r="AD31" s="988"/>
      <c r="AE31" s="1046"/>
      <c r="AF31" s="1046"/>
    </row>
    <row r="32" spans="1:37" s="885" customFormat="1" ht="13.5">
      <c r="A32" s="989"/>
      <c r="B32" s="989"/>
      <c r="C32" s="989"/>
      <c r="D32" s="989"/>
      <c r="E32" s="989"/>
      <c r="F32" s="989"/>
      <c r="G32" s="989"/>
      <c r="H32" s="989"/>
      <c r="I32" s="988"/>
      <c r="J32" s="988"/>
      <c r="K32" s="988"/>
      <c r="L32" s="988"/>
      <c r="M32" s="890"/>
      <c r="N32" s="890"/>
      <c r="O32" s="1046"/>
      <c r="P32" s="1046"/>
      <c r="Q32" s="1046"/>
      <c r="R32" s="1046"/>
      <c r="S32" s="1046"/>
      <c r="T32" s="890"/>
      <c r="U32" s="890"/>
      <c r="V32" s="890"/>
      <c r="W32" s="890"/>
      <c r="X32" s="890"/>
      <c r="Y32" s="890"/>
      <c r="Z32" s="988"/>
      <c r="AA32" s="988"/>
      <c r="AB32" s="988"/>
      <c r="AC32" s="988"/>
      <c r="AD32" s="988"/>
      <c r="AE32" s="1046"/>
      <c r="AF32" s="1046"/>
    </row>
    <row r="33" spans="1:37" s="885" customFormat="1" ht="13.5">
      <c r="A33" s="989"/>
      <c r="B33" s="989"/>
      <c r="C33" s="989"/>
      <c r="D33" s="989"/>
      <c r="E33" s="989"/>
      <c r="F33" s="989"/>
      <c r="G33" s="989"/>
      <c r="H33" s="989"/>
      <c r="I33" s="988"/>
      <c r="J33" s="988"/>
      <c r="K33" s="988"/>
      <c r="L33" s="988"/>
      <c r="M33" s="890"/>
      <c r="N33" s="890"/>
      <c r="O33" s="1046"/>
      <c r="P33" s="1046"/>
      <c r="Q33" s="1046"/>
      <c r="R33" s="1046"/>
      <c r="S33" s="1046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1046"/>
      <c r="AF33" s="1046"/>
    </row>
    <row r="34" spans="1:37" s="885" customFormat="1" ht="13.5">
      <c r="A34" s="989"/>
      <c r="B34" s="989"/>
      <c r="C34" s="989"/>
      <c r="D34" s="989"/>
      <c r="E34" s="989"/>
      <c r="F34" s="989"/>
      <c r="G34" s="989"/>
      <c r="H34" s="989"/>
      <c r="I34" s="988"/>
      <c r="J34" s="988"/>
      <c r="K34" s="988"/>
      <c r="L34" s="988"/>
      <c r="M34" s="890"/>
      <c r="N34" s="890"/>
      <c r="O34" s="1046"/>
      <c r="P34" s="1046"/>
      <c r="Q34" s="1046"/>
      <c r="R34" s="1046"/>
      <c r="S34" s="1046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1046"/>
      <c r="AF34" s="1046"/>
    </row>
    <row r="35" spans="1:37" s="885" customFormat="1" ht="13.5">
      <c r="A35" s="989"/>
      <c r="B35" s="989"/>
      <c r="C35" s="989"/>
      <c r="D35" s="989"/>
      <c r="E35" s="989"/>
      <c r="F35" s="989"/>
      <c r="G35" s="989"/>
      <c r="H35" s="989"/>
      <c r="I35" s="988"/>
      <c r="J35" s="988"/>
      <c r="K35" s="988"/>
      <c r="L35" s="988"/>
      <c r="M35" s="890"/>
      <c r="N35" s="890"/>
      <c r="O35" s="1046"/>
      <c r="P35" s="1046"/>
      <c r="Q35" s="1046"/>
      <c r="R35" s="1046"/>
      <c r="S35" s="1046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1046"/>
      <c r="AF35" s="1046"/>
    </row>
    <row r="36" spans="1:37" s="885" customFormat="1" ht="13.5">
      <c r="A36" s="887"/>
      <c r="B36" s="888"/>
      <c r="C36" s="889"/>
      <c r="D36" s="989"/>
      <c r="E36" s="989"/>
      <c r="F36" s="989"/>
      <c r="G36" s="989"/>
      <c r="H36" s="989"/>
      <c r="I36" s="988"/>
      <c r="J36" s="988"/>
      <c r="K36" s="988"/>
      <c r="L36" s="988"/>
      <c r="M36" s="890"/>
      <c r="N36" s="890"/>
      <c r="O36" s="1046"/>
      <c r="P36" s="1046"/>
      <c r="Q36" s="1046"/>
      <c r="R36" s="1046"/>
      <c r="S36" s="1046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1046"/>
      <c r="AF36" s="1046"/>
    </row>
    <row r="37" spans="1:37">
      <c r="A37" s="988"/>
      <c r="B37" s="998"/>
      <c r="C37" s="890"/>
      <c r="D37" s="890"/>
      <c r="E37" s="890"/>
      <c r="F37" s="890"/>
      <c r="G37" s="890"/>
      <c r="H37" s="890"/>
      <c r="I37" s="890"/>
      <c r="J37" s="890"/>
      <c r="L37" s="890"/>
      <c r="M37" s="890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  <c r="AK37" s="887"/>
    </row>
    <row r="38" spans="1:37" s="885" customFormat="1" ht="13.5">
      <c r="A38" s="988"/>
      <c r="B38" s="998"/>
      <c r="C38" s="890"/>
      <c r="D38" s="890"/>
      <c r="E38" s="890"/>
      <c r="F38" s="890"/>
      <c r="G38" s="890"/>
      <c r="H38" s="890"/>
      <c r="I38" s="890"/>
      <c r="J38" s="890"/>
      <c r="K38" s="1046"/>
      <c r="L38" s="890"/>
      <c r="M38" s="890"/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1046"/>
      <c r="AF38" s="1046"/>
    </row>
    <row r="39" spans="1:37" ht="13.5">
      <c r="A39" s="999" t="s">
        <v>424</v>
      </c>
      <c r="B39" s="1000"/>
      <c r="C39" s="839"/>
      <c r="D39" s="839"/>
      <c r="E39" s="839"/>
      <c r="F39" s="860"/>
      <c r="G39" s="839"/>
      <c r="H39" s="860"/>
      <c r="I39" s="839"/>
      <c r="J39" s="839"/>
      <c r="L39" s="890"/>
      <c r="M39" s="890"/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ht="13.5" hidden="1">
      <c r="A40" s="1001" t="s">
        <v>377</v>
      </c>
      <c r="B40" s="1002">
        <f>1+E42</f>
        <v>1</v>
      </c>
      <c r="C40" s="1003"/>
      <c r="D40" s="1004"/>
      <c r="E40" s="1005"/>
      <c r="F40" s="999"/>
      <c r="G40" s="860"/>
      <c r="H40" s="839"/>
      <c r="I40" s="839"/>
      <c r="J40" s="839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</row>
    <row r="41" spans="1:37" ht="13.5" hidden="1">
      <c r="A41" s="1006" t="s">
        <v>425</v>
      </c>
      <c r="B41" s="1007" t="s">
        <v>426</v>
      </c>
      <c r="C41" s="1007" t="s">
        <v>427</v>
      </c>
      <c r="D41" s="1007" t="s">
        <v>428</v>
      </c>
      <c r="E41" s="1008" t="s">
        <v>429</v>
      </c>
      <c r="F41" s="1009" t="s">
        <v>433</v>
      </c>
      <c r="G41" s="1009" t="s">
        <v>434</v>
      </c>
      <c r="H41" s="1009" t="s">
        <v>435</v>
      </c>
      <c r="I41" s="1009" t="s">
        <v>436</v>
      </c>
      <c r="J41" s="1009" t="s">
        <v>437</v>
      </c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</row>
    <row r="42" spans="1:37" ht="36" hidden="1">
      <c r="A42" s="1006" t="s">
        <v>438</v>
      </c>
      <c r="B42" s="1010" t="str">
        <f>估价对象房地状况!C4</f>
        <v>估价对象位于XX商圈，周边商业氛围成熟，人流量大，商业繁华度好</v>
      </c>
      <c r="C42" s="1011"/>
      <c r="D42" s="1012">
        <f t="shared" ref="D42:D48" si="1">SUMIF($F$41:$J$41,C42,F42:J42)</f>
        <v>0</v>
      </c>
      <c r="E42" s="1013">
        <f>SUM(D42:D48)</f>
        <v>0</v>
      </c>
      <c r="F42" s="1014">
        <f>SUMPRODUCT(('2002因素修正幅度'!$A$36:$A$42=A42)*('2002因素修正幅度'!$B$35:$K$35=$G$2)*('2002因素修正幅度'!$B$36:$K$42))</f>
        <v>0.06</v>
      </c>
      <c r="G42" s="1014">
        <f>F42/2</f>
        <v>0.03</v>
      </c>
      <c r="H42" s="1015">
        <v>0</v>
      </c>
      <c r="I42" s="1014">
        <f>J42/2</f>
        <v>-0.03</v>
      </c>
      <c r="J42" s="1014">
        <f>SUMPRODUCT(('2002因素修正幅度'!$A$66:$A$72=A42)*('2002因素修正幅度'!$B$35:$K$35=$G$2)*('2002因素修正幅度'!$B$66:$K$72))</f>
        <v>-0.06</v>
      </c>
      <c r="L42" s="890"/>
      <c r="M42" s="890"/>
      <c r="N42" s="886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</row>
    <row r="43" spans="1:37" ht="48" hidden="1">
      <c r="A43" s="1006" t="s">
        <v>145</v>
      </c>
      <c r="B43" s="1007" t="str">
        <f>估价对象房地状况!C6</f>
        <v>估价对象周边道路状况、公共交通通达情况、停车便捷程度，综合评价交通便捷度较好</v>
      </c>
      <c r="C43" s="1011"/>
      <c r="D43" s="1012">
        <f t="shared" si="1"/>
        <v>0</v>
      </c>
      <c r="E43" s="1016"/>
      <c r="F43" s="1014">
        <f>SUMPRODUCT(('2002因素修正幅度'!$A$36:$A$42=A43)*('2002因素修正幅度'!$B$35:$K$35=$G$2)*('2002因素修正幅度'!$B$36:$K$42))</f>
        <v>0.03</v>
      </c>
      <c r="G43" s="1014">
        <f t="shared" ref="G43:G48" si="2">F43/2</f>
        <v>1.4999999999999999E-2</v>
      </c>
      <c r="H43" s="1015">
        <v>0</v>
      </c>
      <c r="I43" s="1014">
        <f t="shared" ref="I43:I48" si="3">J43/2</f>
        <v>-1.4999999999999999E-2</v>
      </c>
      <c r="J43" s="1014">
        <f>SUMPRODUCT(('2002因素修正幅度'!$A$66:$A$72=A43)*('2002因素修正幅度'!$B$35:$K$35=$G$2)*('2002因素修正幅度'!$B$66:$K$72))</f>
        <v>-0.03</v>
      </c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988"/>
      <c r="Z43" s="988"/>
      <c r="AA43" s="988"/>
      <c r="AB43" s="988"/>
      <c r="AC43" s="988"/>
      <c r="AD43" s="988"/>
      <c r="AE43" s="890"/>
      <c r="AF43" s="890"/>
      <c r="AG43" s="889"/>
      <c r="AH43" s="889"/>
      <c r="AI43" s="889"/>
      <c r="AJ43" s="889"/>
    </row>
    <row r="44" spans="1:37" ht="24" hidden="1">
      <c r="A44" s="1006" t="s">
        <v>38</v>
      </c>
      <c r="B44" s="1007" t="str">
        <f>估价对象房地状况!C7</f>
        <v>零星有其他用地，基本不影响本宗地</v>
      </c>
      <c r="C44" s="1011"/>
      <c r="D44" s="1012">
        <f t="shared" si="1"/>
        <v>0</v>
      </c>
      <c r="E44" s="1016"/>
      <c r="F44" s="1014">
        <f>SUMPRODUCT(('2002因素修正幅度'!$A$36:$A$42=A44)*('2002因素修正幅度'!$B$35:$K$35=$G$2)*('2002因素修正幅度'!$B$36:$K$42))</f>
        <v>0.02</v>
      </c>
      <c r="G44" s="1014">
        <f t="shared" si="2"/>
        <v>0.01</v>
      </c>
      <c r="H44" s="1015">
        <v>0</v>
      </c>
      <c r="I44" s="1014">
        <f t="shared" si="3"/>
        <v>-0.01</v>
      </c>
      <c r="J44" s="1014">
        <f>SUMPRODUCT(('2002因素修正幅度'!$A$66:$A$72=A44)*('2002因素修正幅度'!$B$35:$K$35=$G$2)*('2002因素修正幅度'!$B$66:$K$72))</f>
        <v>-0.02</v>
      </c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988"/>
      <c r="X44" s="988"/>
      <c r="Y44" s="988"/>
      <c r="Z44" s="988"/>
      <c r="AA44" s="988"/>
      <c r="AB44" s="988"/>
      <c r="AC44" s="988"/>
      <c r="AE44" s="890"/>
      <c r="AF44" s="890"/>
      <c r="AG44" s="889"/>
      <c r="AH44" s="889"/>
      <c r="AI44" s="889"/>
      <c r="AJ44" s="889"/>
    </row>
    <row r="45" spans="1:37" ht="36" hidden="1">
      <c r="A45" s="1006" t="s">
        <v>439</v>
      </c>
      <c r="B45" s="1017" t="s">
        <v>440</v>
      </c>
      <c r="C45" s="1011"/>
      <c r="D45" s="1012">
        <f t="shared" si="1"/>
        <v>0</v>
      </c>
      <c r="E45" s="1016"/>
      <c r="F45" s="1014">
        <f>SUMPRODUCT(('2002因素修正幅度'!$A$36:$A$42=A45)*('2002因素修正幅度'!$B$35:$K$35=$G$2)*('2002因素修正幅度'!$B$36:$K$42))</f>
        <v>0.04</v>
      </c>
      <c r="G45" s="1014">
        <f t="shared" si="2"/>
        <v>0.02</v>
      </c>
      <c r="H45" s="1015">
        <v>0</v>
      </c>
      <c r="I45" s="1014">
        <f t="shared" si="3"/>
        <v>-0.02</v>
      </c>
      <c r="J45" s="1014">
        <f>SUMPRODUCT(('2002因素修正幅度'!$A$66:$A$72=A45)*('2002因素修正幅度'!$B$35:$K$35=$G$2)*('2002因素修正幅度'!$B$66:$K$72))</f>
        <v>-0.04</v>
      </c>
      <c r="L45" s="890"/>
      <c r="M45" s="890"/>
      <c r="N45" s="890"/>
      <c r="O45" s="890"/>
      <c r="P45" s="890"/>
      <c r="Q45" s="890"/>
      <c r="R45" s="890"/>
      <c r="S45" s="890"/>
      <c r="T45" s="890"/>
      <c r="U45" s="890"/>
      <c r="V45" s="890"/>
      <c r="W45" s="988"/>
      <c r="X45" s="988"/>
      <c r="Y45" s="988"/>
      <c r="Z45" s="988"/>
      <c r="AA45" s="988"/>
      <c r="AB45" s="988"/>
      <c r="AC45" s="988"/>
      <c r="AE45" s="890"/>
      <c r="AF45" s="890"/>
      <c r="AG45" s="889"/>
      <c r="AH45" s="889"/>
      <c r="AI45" s="889"/>
      <c r="AJ45" s="889"/>
    </row>
    <row r="46" spans="1:37" ht="14.25" hidden="1">
      <c r="A46" s="1006" t="s">
        <v>441</v>
      </c>
      <c r="B46" s="1007">
        <f>估价对象房地状况!C12</f>
        <v>0</v>
      </c>
      <c r="C46" s="1011"/>
      <c r="D46" s="1012">
        <f t="shared" si="1"/>
        <v>0</v>
      </c>
      <c r="E46" s="1016"/>
      <c r="F46" s="1014">
        <f>SUMPRODUCT(('2002因素修正幅度'!$A$36:$A$42=A46)*('2002因素修正幅度'!$B$35:$K$35=$G$2)*('2002因素修正幅度'!$B$36:$K$42))</f>
        <v>0.02</v>
      </c>
      <c r="G46" s="1014">
        <f t="shared" si="2"/>
        <v>0.01</v>
      </c>
      <c r="H46" s="1015">
        <v>0</v>
      </c>
      <c r="I46" s="1014">
        <f t="shared" si="3"/>
        <v>-0.01</v>
      </c>
      <c r="J46" s="1014">
        <f>SUMPRODUCT(('2002因素修正幅度'!$A$66:$A$72=A46)*('2002因素修正幅度'!$B$35:$K$35=$G$2)*('2002因素修正幅度'!$B$66:$K$72))</f>
        <v>-0.02</v>
      </c>
      <c r="L46" s="890"/>
      <c r="M46" s="890"/>
      <c r="N46" s="890"/>
      <c r="O46" s="890"/>
      <c r="P46" s="890"/>
      <c r="Q46" s="890"/>
      <c r="R46" s="890"/>
      <c r="S46" s="890"/>
      <c r="T46" s="890"/>
      <c r="U46" s="890"/>
      <c r="V46" s="890"/>
      <c r="W46" s="988"/>
      <c r="X46" s="988"/>
      <c r="Y46" s="988"/>
      <c r="Z46" s="988"/>
      <c r="AA46" s="988"/>
      <c r="AB46" s="988"/>
      <c r="AC46" s="988"/>
      <c r="AE46" s="890"/>
      <c r="AF46" s="890"/>
      <c r="AG46" s="889"/>
      <c r="AH46" s="889"/>
      <c r="AI46" s="889"/>
      <c r="AJ46" s="889"/>
    </row>
    <row r="47" spans="1:37" ht="24" hidden="1">
      <c r="A47" s="1006" t="s">
        <v>442</v>
      </c>
      <c r="B47" s="1018" t="s">
        <v>443</v>
      </c>
      <c r="C47" s="1011"/>
      <c r="D47" s="1012">
        <f t="shared" si="1"/>
        <v>0</v>
      </c>
      <c r="E47" s="1016"/>
      <c r="F47" s="1014">
        <f>SUMPRODUCT(('2002因素修正幅度'!$A$36:$A$42=A47)*('2002因素修正幅度'!$B$35:$K$35=$G$2)*('2002因素修正幅度'!$B$36:$K$42))</f>
        <v>1.6E-2</v>
      </c>
      <c r="G47" s="1014">
        <f t="shared" si="2"/>
        <v>8.0000000000000002E-3</v>
      </c>
      <c r="H47" s="1015">
        <v>0</v>
      </c>
      <c r="I47" s="1014">
        <f t="shared" si="3"/>
        <v>-8.0000000000000002E-3</v>
      </c>
      <c r="J47" s="1014">
        <f>SUMPRODUCT(('2002因素修正幅度'!$A$66:$A$72=A47)*('2002因素修正幅度'!$B$35:$K$35=$G$2)*('2002因素修正幅度'!$B$66:$K$72))</f>
        <v>-1.6E-2</v>
      </c>
      <c r="L47" s="890"/>
      <c r="M47" s="890"/>
      <c r="N47" s="890"/>
      <c r="O47" s="890"/>
      <c r="P47" s="890"/>
      <c r="Q47" s="890"/>
      <c r="R47" s="890"/>
      <c r="S47" s="890"/>
      <c r="T47" s="890"/>
      <c r="U47" s="890"/>
      <c r="V47" s="890"/>
      <c r="W47" s="988"/>
      <c r="X47" s="988"/>
      <c r="Y47" s="988"/>
      <c r="Z47" s="988"/>
      <c r="AA47" s="988"/>
      <c r="AB47" s="988"/>
      <c r="AC47" s="988"/>
      <c r="AE47" s="988"/>
      <c r="AF47" s="988"/>
    </row>
    <row r="48" spans="1:37" ht="24" hidden="1">
      <c r="A48" s="827" t="s">
        <v>445</v>
      </c>
      <c r="B48" s="1007" t="str">
        <f>估价对象房地状况!C10</f>
        <v>估价对象所在区域基础设施水平</v>
      </c>
      <c r="C48" s="1011"/>
      <c r="D48" s="1012">
        <f t="shared" si="1"/>
        <v>0</v>
      </c>
      <c r="E48" s="1016"/>
      <c r="F48" s="1014">
        <f>SUMPRODUCT(('2002因素修正幅度'!$A$36:$A$42=A48)*('2002因素修正幅度'!$B$35:$K$35=$G$2)*('2002因素修正幅度'!$B$36:$K$42))</f>
        <v>1.4E-2</v>
      </c>
      <c r="G48" s="1014">
        <f t="shared" si="2"/>
        <v>7.0000000000000001E-3</v>
      </c>
      <c r="H48" s="1015">
        <v>0</v>
      </c>
      <c r="I48" s="1014">
        <f t="shared" si="3"/>
        <v>-7.0000000000000001E-3</v>
      </c>
      <c r="J48" s="1014">
        <f>SUMPRODUCT(('2002因素修正幅度'!$A$66:$A$72=A48)*('2002因素修正幅度'!$B$35:$K$35=$G$2)*('2002因素修正幅度'!$B$66:$K$72))</f>
        <v>-1.4E-2</v>
      </c>
      <c r="L48" s="890"/>
      <c r="M48" s="890"/>
      <c r="N48" s="890"/>
      <c r="O48" s="890"/>
      <c r="P48" s="890"/>
      <c r="Q48" s="890"/>
      <c r="R48" s="890"/>
      <c r="S48" s="890"/>
      <c r="T48" s="890"/>
      <c r="U48" s="890"/>
      <c r="V48" s="890"/>
      <c r="W48" s="988"/>
      <c r="X48" s="988"/>
      <c r="Y48" s="988"/>
      <c r="Z48" s="988"/>
      <c r="AA48" s="988"/>
      <c r="AB48" s="988"/>
      <c r="AC48" s="988"/>
      <c r="AE48" s="988"/>
      <c r="AF48" s="988"/>
    </row>
    <row r="49" spans="1:36" ht="15" hidden="1">
      <c r="A49" s="1001" t="s">
        <v>78</v>
      </c>
      <c r="B49" s="1019">
        <f>1+E51</f>
        <v>1</v>
      </c>
      <c r="C49" s="1004"/>
      <c r="D49" s="1020"/>
      <c r="E49" s="1021"/>
      <c r="F49" s="1022"/>
      <c r="G49" s="1022"/>
      <c r="H49" s="1022"/>
      <c r="I49" s="1022"/>
      <c r="J49" s="1022"/>
      <c r="L49" s="890"/>
      <c r="M49" s="890"/>
      <c r="N49" s="890"/>
      <c r="O49" s="890"/>
      <c r="P49" s="890"/>
      <c r="Q49" s="890"/>
      <c r="R49" s="890"/>
      <c r="S49" s="890"/>
      <c r="T49" s="890"/>
      <c r="U49" s="890"/>
      <c r="V49" s="890"/>
      <c r="W49" s="988"/>
      <c r="X49" s="988"/>
      <c r="Y49" s="988"/>
      <c r="Z49" s="988"/>
      <c r="AA49" s="988"/>
      <c r="AB49" s="988"/>
      <c r="AC49" s="988"/>
      <c r="AE49" s="988"/>
      <c r="AF49" s="988"/>
    </row>
    <row r="50" spans="1:36" ht="13.5" hidden="1">
      <c r="A50" s="1006" t="s">
        <v>425</v>
      </c>
      <c r="B50" s="1007"/>
      <c r="C50" s="1007" t="s">
        <v>427</v>
      </c>
      <c r="D50" s="4" t="s">
        <v>1031</v>
      </c>
      <c r="E50" s="1023" t="s">
        <v>1032</v>
      </c>
      <c r="F50" s="500" t="s">
        <v>1033</v>
      </c>
      <c r="G50" s="500" t="s">
        <v>1034</v>
      </c>
      <c r="H50" s="500" t="s">
        <v>1035</v>
      </c>
      <c r="I50" s="500" t="s">
        <v>1036</v>
      </c>
      <c r="J50" s="500" t="s">
        <v>1037</v>
      </c>
      <c r="L50" s="890"/>
      <c r="M50" s="890"/>
      <c r="N50" s="890"/>
      <c r="O50" s="890"/>
      <c r="P50" s="890"/>
      <c r="Q50" s="890"/>
      <c r="R50" s="890"/>
      <c r="S50" s="890"/>
      <c r="T50" s="890"/>
      <c r="U50" s="890"/>
      <c r="V50" s="890"/>
      <c r="W50" s="988"/>
      <c r="X50" s="988"/>
      <c r="Y50" s="988"/>
      <c r="Z50" s="988"/>
      <c r="AA50" s="988"/>
      <c r="AB50" s="988"/>
      <c r="AC50" s="988"/>
      <c r="AE50" s="988"/>
      <c r="AF50" s="988"/>
    </row>
    <row r="51" spans="1:36" ht="36" hidden="1">
      <c r="A51" s="1006" t="s">
        <v>147</v>
      </c>
      <c r="B51" s="1010" t="str">
        <f>估价对象房地状况!C5</f>
        <v>估价对象位于XX商圈，周边办公楼项目较多，入驻率高，办公集聚程度较好</v>
      </c>
      <c r="C51" s="1011"/>
      <c r="D51" s="1012">
        <f t="shared" ref="D51:D57" si="4">SUMIF($F$50:$J$50,C51,F51:J51)</f>
        <v>0</v>
      </c>
      <c r="E51" s="1013">
        <f>SUM(D51:D57)</f>
        <v>0</v>
      </c>
      <c r="F51" s="1014">
        <f>SUMPRODUCT(('2002因素修正幅度'!$A$43:$A$49=A51)*('2002因素修正幅度'!$B$35:$K$35=$G$2)*('2002因素修正幅度'!$B$43:$K$49))</f>
        <v>3.4000000000000002E-2</v>
      </c>
      <c r="G51" s="1014">
        <f>F51/2</f>
        <v>1.7000000000000001E-2</v>
      </c>
      <c r="H51" s="1015">
        <v>0</v>
      </c>
      <c r="I51" s="1014">
        <f>J51/2</f>
        <v>-1.7999999999999999E-2</v>
      </c>
      <c r="J51" s="1014">
        <f>SUMPRODUCT(('2002因素修正幅度'!$A$73:$A$79=A51)*('2002因素修正幅度'!$B$35:$K$35=$G$2)*('2002因素修正幅度'!$B$73:$K$79))</f>
        <v>-3.5999999999999997E-2</v>
      </c>
      <c r="L51" s="890"/>
      <c r="M51" s="890"/>
      <c r="N51" s="890"/>
      <c r="O51" s="890"/>
      <c r="P51" s="890"/>
      <c r="Q51" s="890"/>
      <c r="R51" s="890"/>
      <c r="S51" s="890"/>
      <c r="T51" s="890"/>
      <c r="U51" s="890"/>
      <c r="V51" s="890"/>
      <c r="W51" s="988"/>
      <c r="X51" s="988"/>
      <c r="Y51" s="988"/>
      <c r="Z51" s="988"/>
      <c r="AA51" s="988"/>
      <c r="AB51" s="988"/>
      <c r="AC51" s="988"/>
      <c r="AE51" s="988"/>
      <c r="AF51" s="988"/>
    </row>
    <row r="52" spans="1:36" ht="48" hidden="1">
      <c r="A52" s="1006" t="s">
        <v>145</v>
      </c>
      <c r="B52" s="1007" t="str">
        <f>估价对象房地状况!C6</f>
        <v>估价对象周边道路状况、公共交通通达情况、停车便捷程度，综合评价交通便捷度较好</v>
      </c>
      <c r="C52" s="1011"/>
      <c r="D52" s="1012">
        <f t="shared" si="4"/>
        <v>0</v>
      </c>
      <c r="E52" s="1016"/>
      <c r="F52" s="1014">
        <f>SUMPRODUCT(('2002因素修正幅度'!$A$43:$A$49=A52)*('2002因素修正幅度'!$B$35:$K$35=$G$2)*('2002因素修正幅度'!$B$43:$K$49))</f>
        <v>4.2500000000000003E-2</v>
      </c>
      <c r="G52" s="1014">
        <f t="shared" ref="G52:G57" si="5">F52/2</f>
        <v>2.1250000000000002E-2</v>
      </c>
      <c r="H52" s="1015">
        <v>0</v>
      </c>
      <c r="I52" s="1014">
        <f t="shared" ref="I52:I57" si="6">J52/2</f>
        <v>-2.2499999999999999E-2</v>
      </c>
      <c r="J52" s="1014">
        <f>SUMPRODUCT(('2002因素修正幅度'!$A$73:$A$79=A52)*('2002因素修正幅度'!$B$35:$K$35=$G$2)*('2002因素修正幅度'!$B$73:$K$79))</f>
        <v>-4.4999999999999998E-2</v>
      </c>
      <c r="L52" s="890"/>
      <c r="M52" s="890"/>
      <c r="N52" s="890"/>
      <c r="O52" s="890"/>
      <c r="P52" s="890"/>
      <c r="Q52" s="890"/>
      <c r="R52" s="890"/>
      <c r="S52" s="890"/>
      <c r="T52" s="890"/>
      <c r="U52" s="890"/>
      <c r="V52" s="890"/>
      <c r="W52" s="988"/>
      <c r="X52" s="988"/>
      <c r="Y52" s="988"/>
      <c r="Z52" s="988"/>
      <c r="AA52" s="988"/>
      <c r="AB52" s="988"/>
      <c r="AC52" s="988"/>
      <c r="AE52" s="988"/>
      <c r="AF52" s="988"/>
    </row>
    <row r="53" spans="1:36" ht="24" hidden="1">
      <c r="A53" s="1006" t="s">
        <v>38</v>
      </c>
      <c r="B53" s="1007" t="str">
        <f>估价对象房地状况!C7</f>
        <v>零星有其他用地，基本不影响本宗地</v>
      </c>
      <c r="C53" s="1011"/>
      <c r="D53" s="1012">
        <f t="shared" si="4"/>
        <v>0</v>
      </c>
      <c r="E53" s="1016"/>
      <c r="F53" s="1014">
        <f>SUMPRODUCT(('2002因素修正幅度'!$A$43:$A$49=A53)*('2002因素修正幅度'!$B$35:$K$35=$G$2)*('2002因素修正幅度'!$B$43:$K$49))</f>
        <v>1.7000000000000001E-2</v>
      </c>
      <c r="G53" s="1014">
        <f t="shared" si="5"/>
        <v>8.5000000000000006E-3</v>
      </c>
      <c r="H53" s="1015">
        <v>0</v>
      </c>
      <c r="I53" s="1014">
        <f t="shared" si="6"/>
        <v>-8.9999999999999993E-3</v>
      </c>
      <c r="J53" s="1014">
        <f>SUMPRODUCT(('2002因素修正幅度'!$A$73:$A$79=A53)*('2002因素修正幅度'!$B$35:$K$35=$G$2)*('2002因素修正幅度'!$B$73:$K$79))</f>
        <v>-1.7999999999999999E-2</v>
      </c>
      <c r="L53" s="890"/>
      <c r="M53" s="890"/>
      <c r="N53" s="890"/>
      <c r="O53" s="890"/>
      <c r="P53" s="890"/>
      <c r="Q53" s="890"/>
      <c r="R53" s="890"/>
      <c r="S53" s="890"/>
      <c r="T53" s="890"/>
      <c r="U53" s="890"/>
      <c r="V53" s="890"/>
      <c r="W53" s="988"/>
      <c r="X53" s="988"/>
      <c r="Y53" s="988"/>
      <c r="Z53" s="988"/>
      <c r="AA53" s="988"/>
      <c r="AB53" s="988"/>
      <c r="AC53" s="988"/>
      <c r="AE53" s="988"/>
      <c r="AF53" s="988"/>
    </row>
    <row r="54" spans="1:36" s="886" customFormat="1" ht="36" hidden="1">
      <c r="A54" s="1006" t="s">
        <v>439</v>
      </c>
      <c r="B54" s="1017" t="s">
        <v>440</v>
      </c>
      <c r="C54" s="1011"/>
      <c r="D54" s="1012">
        <f t="shared" si="4"/>
        <v>0</v>
      </c>
      <c r="E54" s="1016"/>
      <c r="F54" s="1014">
        <f>SUMPRODUCT(('2002因素修正幅度'!$A$43:$A$49=A54)*('2002因素修正幅度'!$B$35:$K$35=$G$2)*('2002因素修正幅度'!$B$43:$K$49))</f>
        <v>1.7000000000000001E-2</v>
      </c>
      <c r="G54" s="1014">
        <f t="shared" si="5"/>
        <v>8.5000000000000006E-3</v>
      </c>
      <c r="H54" s="1015">
        <v>0</v>
      </c>
      <c r="I54" s="1014">
        <f t="shared" si="6"/>
        <v>-8.9999999999999993E-3</v>
      </c>
      <c r="J54" s="1014">
        <f>SUMPRODUCT(('2002因素修正幅度'!$A$73:$A$79=A54)*('2002因素修正幅度'!$B$35:$K$35=$G$2)*('2002因素修正幅度'!$B$73:$K$79))</f>
        <v>-1.7999999999999999E-2</v>
      </c>
      <c r="K54" s="890"/>
      <c r="L54" s="890"/>
      <c r="M54" s="890"/>
      <c r="N54" s="890"/>
      <c r="O54" s="890"/>
      <c r="P54" s="890"/>
      <c r="Q54" s="890"/>
      <c r="R54" s="890"/>
      <c r="S54" s="890"/>
      <c r="T54" s="890"/>
      <c r="U54" s="890"/>
      <c r="V54" s="890"/>
      <c r="W54" s="988"/>
      <c r="X54" s="988"/>
      <c r="Y54" s="988"/>
      <c r="Z54" s="988"/>
      <c r="AA54" s="988"/>
      <c r="AB54" s="988"/>
      <c r="AC54" s="988"/>
      <c r="AD54" s="891"/>
      <c r="AE54" s="988"/>
      <c r="AF54" s="988"/>
      <c r="AG54" s="891"/>
      <c r="AH54" s="891"/>
      <c r="AI54" s="891"/>
      <c r="AJ54" s="891"/>
    </row>
    <row r="55" spans="1:36" s="886" customFormat="1" ht="14.25" hidden="1">
      <c r="A55" s="1006" t="s">
        <v>441</v>
      </c>
      <c r="B55" s="1007">
        <f>估价对象房地状况!C12</f>
        <v>0</v>
      </c>
      <c r="C55" s="1011"/>
      <c r="D55" s="1012">
        <f t="shared" si="4"/>
        <v>0</v>
      </c>
      <c r="E55" s="1016"/>
      <c r="F55" s="1014">
        <f>SUMPRODUCT(('2002因素修正幅度'!$A$43:$A$49=A55)*('2002因素修正幅度'!$B$35:$K$35=$G$2)*('2002因素修正幅度'!$B$43:$K$49))</f>
        <v>2.5499999999999998E-2</v>
      </c>
      <c r="G55" s="1014">
        <f t="shared" si="5"/>
        <v>1.2749999999999999E-2</v>
      </c>
      <c r="H55" s="1015">
        <v>0</v>
      </c>
      <c r="I55" s="1014">
        <f t="shared" si="6"/>
        <v>-1.35E-2</v>
      </c>
      <c r="J55" s="1014">
        <f>SUMPRODUCT(('2002因素修正幅度'!$A$73:$A$79=A55)*('2002因素修正幅度'!$B$35:$K$35=$G$2)*('2002因素修正幅度'!$B$73:$K$79))</f>
        <v>-2.7E-2</v>
      </c>
      <c r="K55" s="890"/>
      <c r="L55" s="890"/>
      <c r="M55" s="890"/>
      <c r="N55" s="890"/>
      <c r="O55" s="890"/>
      <c r="P55" s="890"/>
      <c r="Q55" s="890"/>
      <c r="R55" s="890"/>
      <c r="S55" s="890"/>
      <c r="T55" s="890"/>
      <c r="U55" s="890"/>
      <c r="V55" s="890"/>
      <c r="W55" s="988"/>
      <c r="X55" s="988"/>
      <c r="Y55" s="988"/>
      <c r="Z55" s="988"/>
      <c r="AA55" s="988"/>
      <c r="AB55" s="988"/>
      <c r="AC55" s="988"/>
      <c r="AD55" s="891"/>
      <c r="AE55" s="988"/>
      <c r="AF55" s="988"/>
      <c r="AG55" s="891"/>
      <c r="AH55" s="891"/>
      <c r="AI55" s="891"/>
      <c r="AJ55" s="891"/>
    </row>
    <row r="56" spans="1:36" s="886" customFormat="1" ht="24" hidden="1">
      <c r="A56" s="1006" t="s">
        <v>442</v>
      </c>
      <c r="B56" s="1018" t="s">
        <v>443</v>
      </c>
      <c r="C56" s="1011"/>
      <c r="D56" s="1012">
        <f t="shared" si="4"/>
        <v>0</v>
      </c>
      <c r="E56" s="1016"/>
      <c r="F56" s="1014">
        <f>SUMPRODUCT(('2002因素修正幅度'!$A$43:$A$49=A56)*('2002因素修正幅度'!$B$35:$K$35=$G$2)*('2002因素修正幅度'!$B$43:$K$49))</f>
        <v>1.3599999999999999E-2</v>
      </c>
      <c r="G56" s="1014">
        <f t="shared" si="5"/>
        <v>6.7999999999999996E-3</v>
      </c>
      <c r="H56" s="1015">
        <v>0</v>
      </c>
      <c r="I56" s="1014">
        <f t="shared" si="6"/>
        <v>-7.1999999999999998E-3</v>
      </c>
      <c r="J56" s="1014">
        <f>SUMPRODUCT(('2002因素修正幅度'!$A$73:$A$79=A56)*('2002因素修正幅度'!$B$35:$K$35=$G$2)*('2002因素修正幅度'!$B$73:$K$79))</f>
        <v>-1.44E-2</v>
      </c>
      <c r="K56" s="890"/>
      <c r="L56" s="890"/>
      <c r="M56" s="890"/>
      <c r="N56" s="890"/>
      <c r="O56" s="890"/>
      <c r="P56" s="890"/>
      <c r="Q56" s="890"/>
      <c r="R56" s="890"/>
      <c r="S56" s="890"/>
      <c r="T56" s="890"/>
      <c r="U56" s="890"/>
      <c r="V56" s="890"/>
      <c r="W56" s="988"/>
      <c r="X56" s="988"/>
      <c r="Y56" s="988"/>
      <c r="Z56" s="988"/>
      <c r="AA56" s="988"/>
      <c r="AB56" s="988"/>
      <c r="AC56" s="988"/>
      <c r="AD56" s="891"/>
      <c r="AE56" s="988"/>
      <c r="AF56" s="988"/>
      <c r="AG56" s="891"/>
      <c r="AH56" s="891"/>
      <c r="AI56" s="891"/>
      <c r="AJ56" s="891"/>
    </row>
    <row r="57" spans="1:36" s="886" customFormat="1" ht="36" hidden="1">
      <c r="A57" s="1006" t="s">
        <v>1038</v>
      </c>
      <c r="B57" s="1024" t="str">
        <f>估价对象房地状况!C9&amp;","&amp;估价对象房地状况!C10</f>
        <v>估价对象所在区域公共配套设施齐备情况,估价对象所在区域基础设施水平</v>
      </c>
      <c r="C57" s="1011"/>
      <c r="D57" s="1012">
        <f t="shared" si="4"/>
        <v>0</v>
      </c>
      <c r="E57" s="1016"/>
      <c r="F57" s="1014">
        <f>SUMPRODUCT(('2002因素修正幅度'!$A$43:$A$49=A57)*('2002因素修正幅度'!$B$35:$K$35=$G$2)*('2002因素修正幅度'!$B$43:$K$49))</f>
        <v>2.0400000000000001E-2</v>
      </c>
      <c r="G57" s="1014">
        <f t="shared" si="5"/>
        <v>1.0200000000000001E-2</v>
      </c>
      <c r="H57" s="1015">
        <v>0</v>
      </c>
      <c r="I57" s="1014">
        <f t="shared" si="6"/>
        <v>-1.0800000000000001E-2</v>
      </c>
      <c r="J57" s="1014">
        <f>SUMPRODUCT(('2002因素修正幅度'!$A$73:$A$79=A57)*('2002因素修正幅度'!$B$35:$K$35=$G$2)*('2002因素修正幅度'!$B$73:$K$79))</f>
        <v>-2.1600000000000001E-2</v>
      </c>
      <c r="K57" s="890"/>
      <c r="L57" s="890"/>
      <c r="M57" s="890"/>
      <c r="N57" s="890"/>
      <c r="O57" s="890"/>
      <c r="P57" s="890"/>
      <c r="Q57" s="890"/>
      <c r="R57" s="890"/>
      <c r="S57" s="890"/>
      <c r="T57" s="890"/>
      <c r="U57" s="890"/>
      <c r="V57" s="890"/>
      <c r="W57" s="988"/>
      <c r="X57" s="988"/>
      <c r="Y57" s="988"/>
      <c r="Z57" s="988"/>
      <c r="AA57" s="988"/>
      <c r="AB57" s="988"/>
      <c r="AC57" s="988"/>
      <c r="AD57" s="891"/>
      <c r="AE57" s="988"/>
      <c r="AF57" s="988"/>
      <c r="AG57" s="891"/>
      <c r="AH57" s="891"/>
      <c r="AI57" s="891"/>
      <c r="AJ57" s="891"/>
    </row>
    <row r="58" spans="1:36" s="886" customFormat="1" ht="15">
      <c r="A58" s="1001" t="s">
        <v>53</v>
      </c>
      <c r="B58" s="1019">
        <f>1+E60</f>
        <v>1.0269999999999999</v>
      </c>
      <c r="C58" s="1004"/>
      <c r="D58" s="1020"/>
      <c r="E58" s="1021"/>
      <c r="F58" s="1022"/>
      <c r="G58" s="1022"/>
      <c r="H58" s="1022"/>
      <c r="I58" s="1022"/>
      <c r="J58" s="1022"/>
      <c r="K58" s="890"/>
      <c r="L58" s="890"/>
      <c r="M58" s="890"/>
      <c r="N58" s="890"/>
      <c r="O58" s="890"/>
      <c r="P58" s="890"/>
      <c r="Q58" s="890"/>
      <c r="R58" s="890"/>
      <c r="S58" s="890"/>
      <c r="T58" s="890"/>
      <c r="U58" s="890"/>
      <c r="V58" s="890"/>
      <c r="W58" s="988"/>
      <c r="X58" s="988"/>
      <c r="Y58" s="988"/>
      <c r="Z58" s="988"/>
      <c r="AA58" s="988"/>
      <c r="AB58" s="988"/>
      <c r="AC58" s="988"/>
      <c r="AD58" s="891"/>
      <c r="AE58" s="988"/>
      <c r="AF58" s="988"/>
      <c r="AG58" s="891"/>
      <c r="AH58" s="891"/>
      <c r="AI58" s="891"/>
      <c r="AJ58" s="891"/>
    </row>
    <row r="59" spans="1:36" s="886" customFormat="1" ht="13.5">
      <c r="A59" s="1006" t="s">
        <v>425</v>
      </c>
      <c r="B59" s="1007"/>
      <c r="C59" s="1007" t="s">
        <v>427</v>
      </c>
      <c r="D59" s="4" t="s">
        <v>1031</v>
      </c>
      <c r="E59" s="1023" t="s">
        <v>1032</v>
      </c>
      <c r="F59" s="500" t="s">
        <v>1033</v>
      </c>
      <c r="G59" s="500" t="s">
        <v>1034</v>
      </c>
      <c r="H59" s="500" t="s">
        <v>1035</v>
      </c>
      <c r="I59" s="500" t="s">
        <v>1036</v>
      </c>
      <c r="J59" s="500" t="s">
        <v>1037</v>
      </c>
      <c r="K59" s="890"/>
      <c r="L59" s="890"/>
      <c r="M59" s="890"/>
      <c r="N59" s="890"/>
      <c r="O59" s="890"/>
      <c r="P59" s="890"/>
      <c r="Q59" s="890"/>
      <c r="R59" s="890"/>
      <c r="S59" s="890"/>
      <c r="T59" s="890"/>
      <c r="U59" s="890"/>
      <c r="V59" s="890"/>
      <c r="W59" s="988"/>
      <c r="X59" s="988"/>
      <c r="Y59" s="988"/>
      <c r="Z59" s="988"/>
      <c r="AA59" s="988"/>
      <c r="AB59" s="988"/>
      <c r="AC59" s="988"/>
      <c r="AD59" s="891"/>
      <c r="AE59" s="988"/>
      <c r="AF59" s="988"/>
      <c r="AG59" s="891"/>
      <c r="AH59" s="891"/>
      <c r="AI59" s="891"/>
      <c r="AJ59" s="891"/>
    </row>
    <row r="60" spans="1:36" s="886" customFormat="1" ht="48">
      <c r="A60" s="1006" t="s">
        <v>139</v>
      </c>
      <c r="B60" s="1010" t="str">
        <f>估价对象房地状况!C3</f>
        <v>估价对象周边居住用地比例、居住小区规模和社区发展完善程度，综合评价居住社区成熟度一般</v>
      </c>
      <c r="C60" s="1011" t="s">
        <v>434</v>
      </c>
      <c r="D60" s="1012">
        <f t="shared" ref="D60:D67" si="7">SUMIF($F$59:$J$59,C60,F60:J60)</f>
        <v>1.4999999999999999E-2</v>
      </c>
      <c r="E60" s="1013">
        <f>SUM(D60:D67)</f>
        <v>2.7E-2</v>
      </c>
      <c r="F60" s="1014">
        <f>SUMPRODUCT(('2002因素修正幅度'!$A$50:$A$57=A60)*('2002因素修正幅度'!$B$35:$K$35=$G$2)*('2002因素修正幅度'!$B$50:$K$57))</f>
        <v>0.03</v>
      </c>
      <c r="G60" s="1014">
        <f>F60/2</f>
        <v>1.4999999999999999E-2</v>
      </c>
      <c r="H60" s="1015">
        <v>0</v>
      </c>
      <c r="I60" s="1014">
        <f>J60/2</f>
        <v>-1.4999999999999999E-2</v>
      </c>
      <c r="J60" s="1014">
        <f>SUMPRODUCT(('2002因素修正幅度'!$A$80:$A$87=A60)*('2002因素修正幅度'!$B$35:$K$35=$G$2)*('2002因素修正幅度'!$B$80:$K$87))</f>
        <v>-0.03</v>
      </c>
      <c r="K60" s="890"/>
      <c r="L60" s="890"/>
      <c r="M60" s="890"/>
      <c r="N60" s="890"/>
      <c r="O60" s="890"/>
      <c r="P60" s="890"/>
      <c r="Q60" s="890"/>
      <c r="R60" s="890"/>
      <c r="S60" s="890"/>
      <c r="T60" s="890"/>
      <c r="U60" s="890"/>
      <c r="V60" s="890"/>
      <c r="W60" s="988"/>
      <c r="X60" s="988"/>
      <c r="Y60" s="988"/>
      <c r="Z60" s="988"/>
      <c r="AA60" s="988"/>
      <c r="AB60" s="988"/>
      <c r="AC60" s="988"/>
      <c r="AD60" s="891"/>
      <c r="AE60" s="988"/>
      <c r="AF60" s="891"/>
      <c r="AG60" s="891"/>
      <c r="AH60" s="891"/>
      <c r="AI60" s="891"/>
    </row>
    <row r="61" spans="1:36" s="886" customFormat="1" ht="48">
      <c r="A61" s="1006" t="s">
        <v>145</v>
      </c>
      <c r="B61" s="1007" t="str">
        <f>估价对象房地状况!C6</f>
        <v>估价对象周边道路状况、公共交通通达情况、停车便捷程度，综合评价交通便捷度较好</v>
      </c>
      <c r="C61" s="1011" t="s">
        <v>435</v>
      </c>
      <c r="D61" s="1012">
        <f t="shared" si="7"/>
        <v>0</v>
      </c>
      <c r="E61" s="1025"/>
      <c r="F61" s="1014">
        <f>SUMPRODUCT(('2002因素修正幅度'!$A$50:$A$57=A61)*('2002因素修正幅度'!$B$35:$K$35=$G$2)*('2002因素修正幅度'!$B$50:$K$57))</f>
        <v>0.06</v>
      </c>
      <c r="G61" s="1014">
        <f t="shared" ref="G61:G67" si="8">F61/2</f>
        <v>0.03</v>
      </c>
      <c r="H61" s="1015">
        <v>0</v>
      </c>
      <c r="I61" s="1014">
        <f t="shared" ref="I61:I67" si="9">J61/2</f>
        <v>-0.03</v>
      </c>
      <c r="J61" s="1014">
        <f>SUMPRODUCT(('2002因素修正幅度'!$A$80:$A$87=A61)*('2002因素修正幅度'!$B$35:$K$35=$G$2)*('2002因素修正幅度'!$B$80:$K$87))</f>
        <v>-0.06</v>
      </c>
      <c r="K61" s="890"/>
      <c r="L61" s="890"/>
      <c r="M61" s="890"/>
      <c r="N61" s="890"/>
      <c r="O61" s="890"/>
      <c r="P61" s="890"/>
      <c r="Q61" s="890"/>
      <c r="R61" s="890"/>
      <c r="S61" s="890"/>
      <c r="T61" s="890"/>
      <c r="U61" s="890"/>
      <c r="V61" s="890"/>
      <c r="W61" s="988"/>
      <c r="X61" s="988"/>
      <c r="Y61" s="988"/>
      <c r="Z61" s="988"/>
      <c r="AA61" s="988"/>
      <c r="AB61" s="988"/>
      <c r="AC61" s="988"/>
      <c r="AD61" s="891"/>
      <c r="AE61" s="891"/>
      <c r="AF61" s="891"/>
      <c r="AG61" s="891"/>
    </row>
    <row r="62" spans="1:36" s="886" customFormat="1" ht="24">
      <c r="A62" s="1006" t="s">
        <v>38</v>
      </c>
      <c r="B62" s="1007" t="str">
        <f>估价对象房地状况!C7</f>
        <v>零星有其他用地，基本不影响本宗地</v>
      </c>
      <c r="C62" s="1011" t="s">
        <v>434</v>
      </c>
      <c r="D62" s="1012">
        <f t="shared" si="7"/>
        <v>1.4999999999999999E-2</v>
      </c>
      <c r="E62" s="1025"/>
      <c r="F62" s="1014">
        <f>SUMPRODUCT(('2002因素修正幅度'!$A$50:$A$57=A62)*('2002因素修正幅度'!$B$35:$K$35=$G$2)*('2002因素修正幅度'!$B$50:$K$57))</f>
        <v>0.03</v>
      </c>
      <c r="G62" s="1014">
        <f t="shared" si="8"/>
        <v>1.4999999999999999E-2</v>
      </c>
      <c r="H62" s="1015">
        <v>0</v>
      </c>
      <c r="I62" s="1014">
        <f t="shared" si="9"/>
        <v>-1.4999999999999999E-2</v>
      </c>
      <c r="J62" s="1014">
        <f>SUMPRODUCT(('2002因素修正幅度'!$A$80:$A$87=A62)*('2002因素修正幅度'!$B$35:$K$35=$G$2)*('2002因素修正幅度'!$B$80:$K$87))</f>
        <v>-0.03</v>
      </c>
      <c r="K62" s="890"/>
      <c r="L62" s="890"/>
      <c r="M62" s="890"/>
      <c r="N62" s="890"/>
      <c r="O62" s="890"/>
      <c r="P62" s="890"/>
      <c r="Q62" s="890"/>
      <c r="R62" s="890"/>
      <c r="S62" s="890"/>
      <c r="T62" s="890"/>
      <c r="U62" s="890"/>
      <c r="V62" s="890"/>
      <c r="W62" s="988"/>
      <c r="X62" s="988"/>
      <c r="Y62" s="988"/>
      <c r="Z62" s="988"/>
      <c r="AA62" s="988"/>
      <c r="AB62" s="988"/>
      <c r="AC62" s="988"/>
      <c r="AD62" s="891"/>
      <c r="AE62" s="891"/>
      <c r="AF62" s="891"/>
      <c r="AG62" s="891"/>
    </row>
    <row r="63" spans="1:36" s="886" customFormat="1" ht="14.25">
      <c r="A63" s="1006" t="s">
        <v>447</v>
      </c>
      <c r="B63" s="1007">
        <f>估价对象房地状况!C12</f>
        <v>0</v>
      </c>
      <c r="C63" s="1011" t="s">
        <v>436</v>
      </c>
      <c r="D63" s="1012">
        <f t="shared" si="7"/>
        <v>-1.4999999999999999E-2</v>
      </c>
      <c r="E63" s="1025"/>
      <c r="F63" s="1014">
        <f>SUMPRODUCT(('2002因素修正幅度'!$A$50:$A$57=A63)*('2002因素修正幅度'!$B$35:$K$35=$G$2)*('2002因素修正幅度'!$B$50:$K$57))</f>
        <v>0.03</v>
      </c>
      <c r="G63" s="1014">
        <f t="shared" si="8"/>
        <v>1.4999999999999999E-2</v>
      </c>
      <c r="H63" s="1015">
        <v>0</v>
      </c>
      <c r="I63" s="1014">
        <f t="shared" si="9"/>
        <v>-1.4999999999999999E-2</v>
      </c>
      <c r="J63" s="1014">
        <f>SUMPRODUCT(('2002因素修正幅度'!$A$80:$A$87=A63)*('2002因素修正幅度'!$B$35:$K$35=$G$2)*('2002因素修正幅度'!$B$80:$K$87))</f>
        <v>-0.03</v>
      </c>
      <c r="K63" s="890"/>
      <c r="L63" s="890"/>
      <c r="M63" s="890"/>
      <c r="N63" s="890"/>
      <c r="O63" s="890"/>
      <c r="P63" s="890"/>
      <c r="Q63" s="890"/>
      <c r="R63" s="890"/>
      <c r="S63" s="890"/>
      <c r="T63" s="890"/>
      <c r="U63" s="890"/>
      <c r="V63" s="890"/>
      <c r="W63" s="988"/>
      <c r="X63" s="988"/>
      <c r="Y63" s="988"/>
      <c r="Z63" s="988"/>
      <c r="AA63" s="988"/>
      <c r="AB63" s="988"/>
      <c r="AC63" s="988"/>
      <c r="AD63" s="891"/>
      <c r="AE63" s="891"/>
      <c r="AF63" s="891"/>
      <c r="AG63" s="891"/>
    </row>
    <row r="64" spans="1:36" s="886" customFormat="1" ht="24">
      <c r="A64" s="1006" t="s">
        <v>442</v>
      </c>
      <c r="B64" s="1018" t="s">
        <v>443</v>
      </c>
      <c r="C64" s="1011" t="s">
        <v>434</v>
      </c>
      <c r="D64" s="1012">
        <f t="shared" si="7"/>
        <v>1.2E-2</v>
      </c>
      <c r="E64" s="1025"/>
      <c r="F64" s="1014">
        <f>SUMPRODUCT(('2002因素修正幅度'!$A$50:$A$57=A64)*('2002因素修正幅度'!$B$35:$K$35=$G$2)*('2002因素修正幅度'!$B$50:$K$57))</f>
        <v>2.4E-2</v>
      </c>
      <c r="G64" s="1014">
        <f t="shared" si="8"/>
        <v>1.2E-2</v>
      </c>
      <c r="H64" s="1015">
        <v>0</v>
      </c>
      <c r="I64" s="1014">
        <f t="shared" si="9"/>
        <v>-1.2E-2</v>
      </c>
      <c r="J64" s="1014">
        <f>SUMPRODUCT(('2002因素修正幅度'!$A$80:$A$87=A64)*('2002因素修正幅度'!$B$35:$K$35=$G$2)*('2002因素修正幅度'!$B$80:$K$87))</f>
        <v>-2.4E-2</v>
      </c>
      <c r="K64" s="890"/>
      <c r="L64" s="890"/>
      <c r="M64" s="890"/>
      <c r="N64" s="890"/>
      <c r="O64" s="890"/>
      <c r="P64" s="890"/>
      <c r="Q64" s="890"/>
      <c r="R64" s="890"/>
      <c r="S64" s="890"/>
      <c r="T64" s="890"/>
      <c r="U64" s="890"/>
      <c r="V64" s="890"/>
      <c r="W64" s="988"/>
      <c r="X64" s="988"/>
      <c r="Y64" s="988"/>
      <c r="Z64" s="988"/>
      <c r="AA64" s="988"/>
      <c r="AB64" s="988"/>
      <c r="AC64" s="988"/>
      <c r="AD64" s="891"/>
      <c r="AE64" s="891"/>
      <c r="AF64" s="891"/>
      <c r="AG64" s="891"/>
    </row>
    <row r="65" spans="1:33" s="886" customFormat="1" ht="36">
      <c r="A65" s="1006" t="s">
        <v>1038</v>
      </c>
      <c r="B65" s="1024" t="str">
        <f>估价对象房地状况!C9&amp;","&amp;估价对象房地状况!C10</f>
        <v>估价对象所在区域公共配套设施齐备情况,估价对象所在区域基础设施水平</v>
      </c>
      <c r="C65" s="1011" t="s">
        <v>435</v>
      </c>
      <c r="D65" s="1012">
        <f t="shared" si="7"/>
        <v>0</v>
      </c>
      <c r="E65" s="1025"/>
      <c r="F65" s="1014">
        <f>SUMPRODUCT(('2002因素修正幅度'!$A$50:$A$57=A65)*('2002因素修正幅度'!$B$35:$K$35=$G$2)*('2002因素修正幅度'!$B$50:$K$57))</f>
        <v>3.5999999999999997E-2</v>
      </c>
      <c r="G65" s="1014">
        <f t="shared" si="8"/>
        <v>1.7999999999999999E-2</v>
      </c>
      <c r="H65" s="1015">
        <v>0</v>
      </c>
      <c r="I65" s="1014">
        <f t="shared" si="9"/>
        <v>-1.7999999999999999E-2</v>
      </c>
      <c r="J65" s="1014">
        <f>SUMPRODUCT(('2002因素修正幅度'!$A$80:$A$87=A65)*('2002因素修正幅度'!$B$35:$K$35=$G$2)*('2002因素修正幅度'!$B$80:$K$87))</f>
        <v>-3.5999999999999997E-2</v>
      </c>
      <c r="K65" s="890"/>
      <c r="L65" s="890"/>
      <c r="M65" s="890"/>
      <c r="N65" s="890"/>
      <c r="O65" s="890"/>
      <c r="P65" s="890"/>
      <c r="Q65" s="890"/>
      <c r="R65" s="890"/>
      <c r="S65" s="890"/>
      <c r="T65" s="890"/>
      <c r="U65" s="890"/>
      <c r="V65" s="890"/>
      <c r="W65" s="988"/>
      <c r="X65" s="988"/>
      <c r="Y65" s="988"/>
      <c r="Z65" s="988"/>
      <c r="AA65" s="988"/>
      <c r="AB65" s="988"/>
      <c r="AC65" s="988"/>
      <c r="AD65" s="891"/>
      <c r="AE65" s="891"/>
      <c r="AF65" s="891"/>
      <c r="AG65" s="891"/>
    </row>
    <row r="66" spans="1:33" s="886" customFormat="1" ht="36">
      <c r="A66" s="1006" t="s">
        <v>446</v>
      </c>
      <c r="B66" s="1010" t="str">
        <f>估价对象房地状况!C8</f>
        <v>区域自然环境：；人文环境；综合评价环境状况一般</v>
      </c>
      <c r="C66" s="1011" t="s">
        <v>435</v>
      </c>
      <c r="D66" s="1012">
        <f t="shared" si="7"/>
        <v>0</v>
      </c>
      <c r="E66" s="1025"/>
      <c r="F66" s="1014">
        <f>SUMPRODUCT(('2002因素修正幅度'!$A$50:$A$57=A66)*('2002因素修正幅度'!$B$35:$K$35=$G$2)*('2002因素修正幅度'!$B$50:$K$57))</f>
        <v>0.06</v>
      </c>
      <c r="G66" s="1014">
        <f t="shared" si="8"/>
        <v>0.03</v>
      </c>
      <c r="H66" s="1015">
        <v>0</v>
      </c>
      <c r="I66" s="1014">
        <f t="shared" si="9"/>
        <v>-0.03</v>
      </c>
      <c r="J66" s="1014">
        <f>SUMPRODUCT(('2002因素修正幅度'!$A$80:$A$87=A66)*('2002因素修正幅度'!$B$35:$K$35=$G$2)*('2002因素修正幅度'!$B$80:$K$87))</f>
        <v>-0.06</v>
      </c>
      <c r="K66" s="890"/>
      <c r="L66" s="890"/>
      <c r="M66" s="890"/>
      <c r="N66" s="890"/>
      <c r="O66" s="890"/>
      <c r="P66" s="890"/>
      <c r="Q66" s="890"/>
      <c r="R66" s="890"/>
      <c r="S66" s="890"/>
      <c r="T66" s="890"/>
      <c r="U66" s="890"/>
      <c r="V66" s="890"/>
      <c r="W66" s="988"/>
      <c r="X66" s="988"/>
      <c r="Y66" s="988"/>
      <c r="Z66" s="988"/>
      <c r="AA66" s="988"/>
      <c r="AB66" s="988"/>
      <c r="AC66" s="988"/>
      <c r="AD66" s="891"/>
      <c r="AE66" s="891"/>
      <c r="AF66" s="891"/>
      <c r="AG66" s="891"/>
    </row>
    <row r="67" spans="1:33" s="886" customFormat="1" ht="24">
      <c r="A67" s="1051" t="s">
        <v>1039</v>
      </c>
      <c r="B67" s="1052"/>
      <c r="C67" s="1011" t="s">
        <v>435</v>
      </c>
      <c r="D67" s="1012">
        <f t="shared" si="7"/>
        <v>0</v>
      </c>
      <c r="E67" s="1053"/>
      <c r="F67" s="1014">
        <f>SUMPRODUCT(('2002因素修正幅度'!$A$50:$A$57=A67)*('2002因素修正幅度'!$B$35:$K$35=$G$2)*('2002因素修正幅度'!$B$50:$K$57))</f>
        <v>0.03</v>
      </c>
      <c r="G67" s="1014">
        <f t="shared" si="8"/>
        <v>1.4999999999999999E-2</v>
      </c>
      <c r="H67" s="1015">
        <v>0</v>
      </c>
      <c r="I67" s="1014">
        <f t="shared" si="9"/>
        <v>-1.4999999999999999E-2</v>
      </c>
      <c r="J67" s="1014">
        <f>SUMPRODUCT(('2002因素修正幅度'!$A$80:$A$87=A67)*('2002因素修正幅度'!$B$35:$K$35=$G$2)*('2002因素修正幅度'!$B$80:$K$87))</f>
        <v>-0.03</v>
      </c>
      <c r="K67" s="890"/>
      <c r="L67" s="889"/>
      <c r="M67" s="889"/>
      <c r="N67" s="889"/>
      <c r="O67" s="889"/>
      <c r="P67" s="889"/>
      <c r="Q67" s="889"/>
      <c r="R67" s="889"/>
      <c r="S67" s="889"/>
      <c r="T67" s="889"/>
      <c r="U67" s="889"/>
      <c r="V67" s="889"/>
      <c r="W67" s="887"/>
      <c r="X67" s="891"/>
      <c r="Y67" s="891"/>
      <c r="Z67" s="891"/>
      <c r="AA67" s="891"/>
      <c r="AB67" s="891"/>
      <c r="AC67" s="891"/>
      <c r="AD67" s="887"/>
      <c r="AE67" s="891"/>
      <c r="AF67" s="891"/>
      <c r="AG67" s="891"/>
    </row>
    <row r="68" spans="1:33" s="886" customFormat="1" ht="15">
      <c r="A68" s="1001" t="s">
        <v>137</v>
      </c>
      <c r="B68" s="1019">
        <f>1+E70</f>
        <v>1</v>
      </c>
      <c r="C68" s="1004"/>
      <c r="D68" s="1020"/>
      <c r="E68" s="1021"/>
      <c r="F68" s="1022"/>
      <c r="G68" s="1022"/>
      <c r="H68" s="1022"/>
      <c r="I68" s="1022"/>
      <c r="J68" s="1022"/>
      <c r="K68" s="890"/>
      <c r="L68" s="890"/>
      <c r="M68" s="890"/>
      <c r="N68" s="890"/>
      <c r="O68" s="890"/>
      <c r="P68" s="890"/>
      <c r="Q68" s="890"/>
      <c r="R68" s="890"/>
      <c r="S68" s="890"/>
      <c r="T68" s="890"/>
      <c r="U68" s="890"/>
      <c r="V68" s="890"/>
      <c r="W68" s="988"/>
      <c r="X68" s="988"/>
      <c r="Y68" s="988"/>
      <c r="Z68" s="988"/>
      <c r="AA68" s="988"/>
      <c r="AB68" s="988"/>
      <c r="AC68" s="988"/>
      <c r="AD68" s="891"/>
      <c r="AE68" s="891"/>
      <c r="AF68" s="891"/>
      <c r="AG68" s="891"/>
    </row>
    <row r="69" spans="1:33" s="886" customFormat="1" ht="13.5">
      <c r="A69" s="1006" t="s">
        <v>425</v>
      </c>
      <c r="B69" s="1007"/>
      <c r="C69" s="1007" t="s">
        <v>427</v>
      </c>
      <c r="D69" s="4" t="s">
        <v>1031</v>
      </c>
      <c r="E69" s="1023" t="s">
        <v>1032</v>
      </c>
      <c r="F69" s="500" t="s">
        <v>1033</v>
      </c>
      <c r="G69" s="500" t="s">
        <v>1034</v>
      </c>
      <c r="H69" s="500" t="s">
        <v>1035</v>
      </c>
      <c r="I69" s="500" t="s">
        <v>1036</v>
      </c>
      <c r="J69" s="500" t="s">
        <v>1037</v>
      </c>
      <c r="K69" s="890"/>
      <c r="L69" s="889"/>
      <c r="M69" s="889"/>
      <c r="N69" s="889"/>
      <c r="O69" s="889"/>
      <c r="P69" s="889"/>
      <c r="Q69" s="889"/>
      <c r="R69" s="889"/>
      <c r="S69" s="889"/>
      <c r="T69" s="889"/>
      <c r="U69" s="889"/>
      <c r="V69" s="889"/>
      <c r="W69" s="887"/>
      <c r="X69" s="891"/>
      <c r="Y69" s="891"/>
      <c r="Z69" s="891"/>
      <c r="AA69" s="891"/>
      <c r="AB69" s="891"/>
      <c r="AC69" s="891"/>
      <c r="AD69" s="887"/>
      <c r="AE69" s="891"/>
      <c r="AF69" s="891"/>
      <c r="AG69" s="891"/>
    </row>
    <row r="70" spans="1:33" s="886" customFormat="1" ht="36">
      <c r="A70" s="1006" t="s">
        <v>141</v>
      </c>
      <c r="B70" s="1007" t="str">
        <f>估价对象房地状况!G3</f>
        <v>估价对象位于XX开发区，园区建设成熟度？产业集聚程度？</v>
      </c>
      <c r="C70" s="1011"/>
      <c r="D70" s="1012">
        <f t="shared" ref="D70:D76" si="10">SUMIF($F$69:$J$69,C70,F70:J70)</f>
        <v>0</v>
      </c>
      <c r="E70" s="1013">
        <f>SUM(D70:D76)</f>
        <v>0</v>
      </c>
      <c r="F70" s="1014">
        <f>SUMPRODUCT(('2002因素修正幅度'!$A$58:$A$64=A70)*('2002因素修正幅度'!$B$35:$K$35=$G$2)*('2002因素修正幅度'!$B$58:$K$64))</f>
        <v>4.8000000000000001E-2</v>
      </c>
      <c r="G70" s="1014">
        <f t="shared" ref="G70:G76" si="11">F70/2</f>
        <v>2.4E-2</v>
      </c>
      <c r="H70" s="1015">
        <v>0</v>
      </c>
      <c r="I70" s="1014">
        <f t="shared" ref="I70:I76" si="12">J70/2</f>
        <v>-2.5000000000000001E-2</v>
      </c>
      <c r="J70" s="1014">
        <f>SUMPRODUCT(('2002因素修正幅度'!$A$88:$A$94=A70)*('2002因素修正幅度'!$B$35:$K$35=$G$2)*('2002因素修正幅度'!$B$88:$K$94))</f>
        <v>-0.05</v>
      </c>
      <c r="K70" s="890"/>
      <c r="L70" s="889"/>
      <c r="M70" s="889"/>
      <c r="N70" s="889"/>
      <c r="O70" s="889"/>
      <c r="P70" s="889"/>
      <c r="Q70" s="889"/>
      <c r="R70" s="889"/>
      <c r="S70" s="889"/>
      <c r="T70" s="889"/>
      <c r="U70" s="889"/>
      <c r="V70" s="889"/>
      <c r="W70" s="887"/>
      <c r="X70" s="891"/>
      <c r="Y70" s="891"/>
      <c r="Z70" s="891"/>
      <c r="AA70" s="891"/>
      <c r="AB70" s="891"/>
      <c r="AC70" s="891"/>
      <c r="AD70" s="887"/>
      <c r="AE70" s="891"/>
      <c r="AF70" s="891"/>
      <c r="AG70" s="891"/>
    </row>
    <row r="71" spans="1:33" s="886" customFormat="1" ht="48">
      <c r="A71" s="1006" t="s">
        <v>145</v>
      </c>
      <c r="B71" s="1007" t="str">
        <f>估价对象房地状况!G4</f>
        <v>估价对象周边道路状况、公共交通通达情况、停车便捷程度，综合评价交通便捷度较好</v>
      </c>
      <c r="C71" s="1011"/>
      <c r="D71" s="1012">
        <f t="shared" si="10"/>
        <v>0</v>
      </c>
      <c r="E71" s="1025"/>
      <c r="F71" s="1014">
        <f>SUMPRODUCT(('2002因素修正幅度'!$A$58:$A$64=A71)*('2002因素修正幅度'!$B$35:$K$35=$G$2)*('2002因素修正幅度'!$B$58:$K$64))</f>
        <v>7.6799999999999993E-2</v>
      </c>
      <c r="G71" s="1014">
        <f t="shared" si="11"/>
        <v>3.8399999999999997E-2</v>
      </c>
      <c r="H71" s="1015">
        <v>0</v>
      </c>
      <c r="I71" s="1014">
        <f t="shared" si="12"/>
        <v>-0.04</v>
      </c>
      <c r="J71" s="1014">
        <f>SUMPRODUCT(('2002因素修正幅度'!$A$88:$A$94=A71)*('2002因素修正幅度'!$B$35:$K$35=$G$2)*('2002因素修正幅度'!$B$88:$K$94))</f>
        <v>-0.08</v>
      </c>
      <c r="K71" s="890"/>
      <c r="L71" s="889"/>
      <c r="M71" s="889"/>
      <c r="N71" s="889"/>
      <c r="O71" s="889"/>
      <c r="P71" s="889"/>
      <c r="Q71" s="889"/>
      <c r="R71" s="889"/>
      <c r="S71" s="889"/>
      <c r="T71" s="889"/>
      <c r="U71" s="889"/>
      <c r="V71" s="889"/>
      <c r="W71" s="887"/>
      <c r="X71" s="891"/>
      <c r="Y71" s="891"/>
      <c r="Z71" s="891"/>
      <c r="AA71" s="891"/>
      <c r="AB71" s="891"/>
      <c r="AC71" s="891"/>
      <c r="AD71" s="887"/>
      <c r="AE71" s="891"/>
      <c r="AF71" s="891"/>
      <c r="AG71" s="891"/>
    </row>
    <row r="72" spans="1:33" s="886" customFormat="1" ht="24">
      <c r="A72" s="1006" t="s">
        <v>38</v>
      </c>
      <c r="B72" s="1007" t="str">
        <f>估价对象房地状况!G5</f>
        <v>零星有其他用地，基本不影响本宗地</v>
      </c>
      <c r="C72" s="1011"/>
      <c r="D72" s="1012">
        <f t="shared" si="10"/>
        <v>0</v>
      </c>
      <c r="E72" s="1025"/>
      <c r="F72" s="1014">
        <f>SUMPRODUCT(('2002因素修正幅度'!$A$58:$A$64=A72)*('2002因素修正幅度'!$B$35:$K$35=$G$2)*('2002因素修正幅度'!$B$58:$K$64))</f>
        <v>2.4E-2</v>
      </c>
      <c r="G72" s="1014">
        <f t="shared" si="11"/>
        <v>1.2E-2</v>
      </c>
      <c r="H72" s="1015">
        <v>0</v>
      </c>
      <c r="I72" s="1014">
        <f t="shared" si="12"/>
        <v>-1.2500000000000001E-2</v>
      </c>
      <c r="J72" s="1014">
        <f>SUMPRODUCT(('2002因素修正幅度'!$A$88:$A$94=A72)*('2002因素修正幅度'!$B$35:$K$35=$G$2)*('2002因素修正幅度'!$B$88:$K$94))</f>
        <v>-2.5000000000000001E-2</v>
      </c>
      <c r="K72" s="890"/>
      <c r="L72" s="889"/>
      <c r="M72" s="889"/>
      <c r="N72" s="889"/>
      <c r="O72" s="889"/>
      <c r="P72" s="889"/>
      <c r="Q72" s="889"/>
      <c r="R72" s="889"/>
      <c r="S72" s="889"/>
      <c r="T72" s="889"/>
      <c r="U72" s="889"/>
      <c r="V72" s="889"/>
      <c r="W72" s="887"/>
      <c r="X72" s="891"/>
      <c r="Y72" s="891"/>
      <c r="Z72" s="891"/>
      <c r="AA72" s="891"/>
      <c r="AB72" s="891"/>
      <c r="AC72" s="891"/>
      <c r="AD72" s="887"/>
      <c r="AE72" s="891"/>
      <c r="AF72" s="891"/>
      <c r="AG72" s="891"/>
    </row>
    <row r="73" spans="1:33" s="886" customFormat="1" ht="14.25">
      <c r="A73" s="1006" t="s">
        <v>447</v>
      </c>
      <c r="B73" s="1007">
        <f>估价对象房地状况!G10</f>
        <v>0</v>
      </c>
      <c r="C73" s="1011"/>
      <c r="D73" s="1012">
        <f t="shared" si="10"/>
        <v>0</v>
      </c>
      <c r="E73" s="1025"/>
      <c r="F73" s="1014">
        <f>SUMPRODUCT(('2002因素修正幅度'!$A$58:$A$64=A73)*('2002因素修正幅度'!$B$35:$K$35=$G$2)*('2002因素修正幅度'!$B$58:$K$64))</f>
        <v>1.9199999999999998E-2</v>
      </c>
      <c r="G73" s="1014">
        <f t="shared" si="11"/>
        <v>9.5999999999999992E-3</v>
      </c>
      <c r="H73" s="1015">
        <v>0</v>
      </c>
      <c r="I73" s="1014">
        <f t="shared" si="12"/>
        <v>-0.01</v>
      </c>
      <c r="J73" s="1014">
        <f>SUMPRODUCT(('2002因素修正幅度'!$A$88:$A$94=A73)*('2002因素修正幅度'!$B$35:$K$35=$G$2)*('2002因素修正幅度'!$B$88:$K$94))</f>
        <v>-0.02</v>
      </c>
      <c r="K73" s="890"/>
      <c r="L73" s="889"/>
      <c r="M73" s="889"/>
      <c r="N73" s="889"/>
      <c r="O73" s="889"/>
      <c r="P73" s="889"/>
      <c r="Q73" s="889"/>
      <c r="R73" s="889"/>
      <c r="S73" s="889"/>
      <c r="T73" s="889"/>
      <c r="U73" s="889"/>
      <c r="V73" s="889"/>
      <c r="W73" s="887"/>
      <c r="X73" s="891"/>
      <c r="Y73" s="891"/>
      <c r="Z73" s="891"/>
      <c r="AA73" s="891"/>
      <c r="AB73" s="891"/>
      <c r="AC73" s="891"/>
      <c r="AD73" s="887"/>
      <c r="AE73" s="891"/>
      <c r="AF73" s="891"/>
      <c r="AG73" s="891"/>
    </row>
    <row r="74" spans="1:33" s="886" customFormat="1" ht="24">
      <c r="A74" s="1006" t="s">
        <v>442</v>
      </c>
      <c r="B74" s="1018" t="s">
        <v>443</v>
      </c>
      <c r="C74" s="1011"/>
      <c r="D74" s="1012">
        <f t="shared" si="10"/>
        <v>0</v>
      </c>
      <c r="E74" s="1025"/>
      <c r="F74" s="1014">
        <f>SUMPRODUCT(('2002因素修正幅度'!$A$58:$A$64=A74)*('2002因素修正幅度'!$B$35:$K$35=$G$2)*('2002因素修正幅度'!$B$58:$K$64))</f>
        <v>2.8799999999999999E-2</v>
      </c>
      <c r="G74" s="1014">
        <f t="shared" si="11"/>
        <v>1.44E-2</v>
      </c>
      <c r="H74" s="1015">
        <v>0</v>
      </c>
      <c r="I74" s="1014">
        <f t="shared" si="12"/>
        <v>-1.4999999999999999E-2</v>
      </c>
      <c r="J74" s="1014">
        <f>SUMPRODUCT(('2002因素修正幅度'!$A$88:$A$94=A74)*('2002因素修正幅度'!$B$35:$K$35=$G$2)*('2002因素修正幅度'!$B$88:$K$94))</f>
        <v>-0.03</v>
      </c>
      <c r="K74" s="890"/>
      <c r="L74" s="889"/>
      <c r="M74" s="889"/>
      <c r="N74" s="889"/>
      <c r="O74" s="889"/>
      <c r="P74" s="889"/>
      <c r="Q74" s="889"/>
      <c r="R74" s="889"/>
      <c r="S74" s="889"/>
      <c r="T74" s="889"/>
      <c r="U74" s="889"/>
      <c r="V74" s="889"/>
      <c r="W74" s="887"/>
      <c r="X74" s="891"/>
      <c r="Y74" s="891"/>
      <c r="Z74" s="891"/>
      <c r="AA74" s="891"/>
      <c r="AB74" s="891"/>
      <c r="AC74" s="891"/>
      <c r="AD74" s="887"/>
      <c r="AE74" s="891"/>
      <c r="AF74" s="891"/>
      <c r="AG74" s="891"/>
    </row>
    <row r="75" spans="1:33" s="886" customFormat="1" ht="24">
      <c r="A75" s="1006" t="s">
        <v>445</v>
      </c>
      <c r="B75" s="1024" t="str">
        <f>估价对象房地状况!G8</f>
        <v>估价对象所在区域基础设施水平</v>
      </c>
      <c r="C75" s="1011"/>
      <c r="D75" s="1012">
        <f t="shared" si="10"/>
        <v>0</v>
      </c>
      <c r="E75" s="1025"/>
      <c r="F75" s="1014">
        <f>SUMPRODUCT(('2002因素修正幅度'!$A$58:$A$64=A75)*('2002因素修正幅度'!$B$35:$K$35=$G$2)*('2002因素修正幅度'!$B$58:$K$64))</f>
        <v>2.4E-2</v>
      </c>
      <c r="G75" s="1014">
        <f t="shared" si="11"/>
        <v>1.2E-2</v>
      </c>
      <c r="H75" s="1015">
        <v>0</v>
      </c>
      <c r="I75" s="1014">
        <f t="shared" si="12"/>
        <v>-1.2500000000000001E-2</v>
      </c>
      <c r="J75" s="1014">
        <f>SUMPRODUCT(('2002因素修正幅度'!$A$88:$A$94=A75)*('2002因素修正幅度'!$B$35:$K$35=$G$2)*('2002因素修正幅度'!$B$88:$K$94))</f>
        <v>-2.5000000000000001E-2</v>
      </c>
      <c r="K75" s="890"/>
      <c r="L75" s="889"/>
      <c r="M75" s="889"/>
      <c r="N75" s="889"/>
      <c r="O75" s="889"/>
      <c r="P75" s="889"/>
      <c r="Q75" s="889"/>
      <c r="R75" s="889"/>
      <c r="S75" s="889"/>
      <c r="T75" s="889"/>
      <c r="U75" s="889"/>
      <c r="V75" s="889"/>
      <c r="W75" s="887"/>
      <c r="X75" s="891"/>
      <c r="Y75" s="891"/>
      <c r="Z75" s="891"/>
      <c r="AA75" s="891"/>
      <c r="AB75" s="891"/>
      <c r="AC75" s="891"/>
      <c r="AD75" s="887"/>
      <c r="AE75" s="891"/>
      <c r="AF75" s="891"/>
      <c r="AG75" s="891"/>
    </row>
    <row r="76" spans="1:33" s="886" customFormat="1" ht="36">
      <c r="A76" s="1051" t="s">
        <v>150</v>
      </c>
      <c r="B76" s="1054" t="str">
        <f>估价对象房地状况!G6</f>
        <v>该园区内无污染型企业，绿化较好，卫生条件良好，整体环境状况较好</v>
      </c>
      <c r="C76" s="1011"/>
      <c r="D76" s="1012">
        <f t="shared" si="10"/>
        <v>0</v>
      </c>
      <c r="E76" s="1053"/>
      <c r="F76" s="1014">
        <f>SUMPRODUCT(('2002因素修正幅度'!$A$58:$A$64=A76)*('2002因素修正幅度'!$B$35:$K$35=$G$2)*('2002因素修正幅度'!$B$58:$K$64))</f>
        <v>1.9199999999999998E-2</v>
      </c>
      <c r="G76" s="1014">
        <f t="shared" si="11"/>
        <v>9.5999999999999992E-3</v>
      </c>
      <c r="H76" s="1015">
        <v>0</v>
      </c>
      <c r="I76" s="1014">
        <f t="shared" si="12"/>
        <v>-0.01</v>
      </c>
      <c r="J76" s="1014">
        <f>SUMPRODUCT(('2002因素修正幅度'!$A$88:$A$94=A76)*('2002因素修正幅度'!$B$35:$K$35=$G$2)*('2002因素修正幅度'!$B$88:$K$94))</f>
        <v>-0.02</v>
      </c>
      <c r="K76" s="890"/>
      <c r="L76" s="889"/>
      <c r="M76" s="889"/>
      <c r="N76" s="889"/>
      <c r="O76" s="889"/>
      <c r="P76" s="889"/>
      <c r="Q76" s="889"/>
      <c r="R76" s="889"/>
      <c r="S76" s="889"/>
      <c r="T76" s="889"/>
      <c r="U76" s="889"/>
      <c r="V76" s="889"/>
      <c r="W76" s="887"/>
      <c r="X76" s="891"/>
      <c r="Y76" s="891"/>
      <c r="Z76" s="891"/>
      <c r="AA76" s="891"/>
      <c r="AB76" s="891"/>
      <c r="AC76" s="891"/>
      <c r="AD76" s="887"/>
      <c r="AE76" s="891"/>
      <c r="AF76" s="891"/>
      <c r="AG76" s="891"/>
    </row>
    <row r="77" spans="1:33" s="886" customFormat="1">
      <c r="A77" s="887"/>
      <c r="B77" s="888"/>
      <c r="C77" s="889"/>
      <c r="D77" s="889"/>
      <c r="E77" s="889"/>
      <c r="F77" s="889"/>
      <c r="G77" s="889"/>
      <c r="H77" s="889"/>
      <c r="I77" s="889"/>
      <c r="J77" s="889"/>
      <c r="K77" s="890"/>
      <c r="L77" s="889"/>
      <c r="M77" s="889"/>
      <c r="N77" s="889"/>
      <c r="O77" s="889"/>
      <c r="P77" s="889"/>
      <c r="Q77" s="889"/>
      <c r="R77" s="889"/>
      <c r="S77" s="889"/>
      <c r="T77" s="889"/>
      <c r="U77" s="889"/>
      <c r="V77" s="889"/>
      <c r="W77" s="887"/>
      <c r="X77" s="891"/>
      <c r="Y77" s="891"/>
      <c r="Z77" s="891"/>
      <c r="AA77" s="891"/>
      <c r="AB77" s="891"/>
      <c r="AC77" s="891"/>
      <c r="AD77" s="887"/>
      <c r="AE77" s="891"/>
      <c r="AF77" s="891"/>
      <c r="AG77" s="891"/>
    </row>
    <row r="78" spans="1:33" s="886" customFormat="1">
      <c r="A78" s="887"/>
      <c r="B78" s="888"/>
      <c r="C78" s="889"/>
      <c r="D78" s="889"/>
      <c r="E78" s="889"/>
      <c r="F78" s="889"/>
      <c r="G78" s="889"/>
      <c r="H78" s="889"/>
      <c r="I78" s="889"/>
      <c r="J78" s="889"/>
      <c r="K78" s="890"/>
      <c r="L78" s="889"/>
      <c r="M78" s="889"/>
      <c r="N78" s="889"/>
      <c r="O78" s="889"/>
      <c r="P78" s="889"/>
      <c r="Q78" s="889"/>
      <c r="R78" s="889"/>
      <c r="S78" s="889"/>
      <c r="T78" s="889"/>
      <c r="U78" s="889"/>
      <c r="V78" s="889"/>
      <c r="W78" s="887"/>
      <c r="X78" s="891"/>
      <c r="Y78" s="891"/>
      <c r="Z78" s="891"/>
      <c r="AA78" s="891"/>
      <c r="AB78" s="891"/>
      <c r="AC78" s="891"/>
      <c r="AD78" s="887"/>
      <c r="AE78" s="891"/>
      <c r="AF78" s="891"/>
      <c r="AG78" s="891"/>
    </row>
    <row r="79" spans="1:33" s="886" customFormat="1">
      <c r="A79" s="887"/>
      <c r="B79" s="888"/>
      <c r="C79" s="889"/>
      <c r="D79" s="889"/>
      <c r="E79" s="889"/>
      <c r="F79" s="889"/>
      <c r="G79" s="889"/>
      <c r="H79" s="889"/>
      <c r="I79" s="889"/>
      <c r="J79" s="889"/>
      <c r="K79" s="890"/>
      <c r="L79" s="889"/>
      <c r="M79" s="889"/>
      <c r="N79" s="889"/>
      <c r="O79" s="889"/>
      <c r="P79" s="889"/>
      <c r="Q79" s="889"/>
      <c r="R79" s="889"/>
      <c r="S79" s="889"/>
      <c r="T79" s="889"/>
      <c r="U79" s="889"/>
      <c r="V79" s="889"/>
      <c r="W79" s="887"/>
      <c r="X79" s="891"/>
      <c r="Y79" s="891"/>
      <c r="Z79" s="891"/>
      <c r="AA79" s="891"/>
      <c r="AB79" s="891"/>
      <c r="AC79" s="891"/>
      <c r="AD79" s="887"/>
      <c r="AE79" s="891"/>
      <c r="AF79" s="891"/>
      <c r="AG79" s="891"/>
    </row>
    <row r="80" spans="1:33" s="886" customFormat="1" ht="13.5">
      <c r="A80" s="3" t="s">
        <v>458</v>
      </c>
      <c r="B80" s="1055">
        <f>G3</f>
        <v>2.94</v>
      </c>
      <c r="C80" s="889"/>
      <c r="D80" s="889"/>
      <c r="E80" s="889"/>
      <c r="F80" s="889"/>
      <c r="G80"/>
      <c r="H80"/>
      <c r="I80"/>
      <c r="J80"/>
      <c r="K80" s="890"/>
      <c r="L80" s="889"/>
      <c r="M80" s="889"/>
      <c r="N80" s="889"/>
      <c r="O80" s="889"/>
      <c r="P80" s="889"/>
      <c r="Q80" s="889"/>
      <c r="R80" s="889"/>
      <c r="S80" s="889"/>
      <c r="T80" s="889"/>
      <c r="U80" s="889"/>
      <c r="V80" s="889"/>
      <c r="W80" s="889"/>
      <c r="X80" s="889"/>
      <c r="Y80" s="889"/>
      <c r="Z80" s="887"/>
      <c r="AA80" s="891"/>
      <c r="AB80" s="891"/>
      <c r="AC80" s="891"/>
      <c r="AD80" s="891"/>
      <c r="AE80" s="891"/>
      <c r="AF80" s="891"/>
      <c r="AG80" s="891"/>
    </row>
    <row r="81" spans="1:36" s="886" customFormat="1" ht="12.75">
      <c r="A81" s="3" t="s">
        <v>459</v>
      </c>
      <c r="B81" s="4">
        <f>SUMIF(A82:A85,E2,B82:B85)</f>
        <v>0.9536</v>
      </c>
      <c r="C81" s="889"/>
      <c r="D81" s="889"/>
      <c r="E81" s="889"/>
      <c r="F81" s="889"/>
      <c r="G81" s="889"/>
      <c r="H81" s="889"/>
      <c r="I81" s="889"/>
      <c r="J81" s="889"/>
      <c r="K81" s="890"/>
      <c r="L81" s="889"/>
      <c r="M81" s="889"/>
      <c r="N81" s="889"/>
      <c r="O81" s="889"/>
      <c r="P81" s="889"/>
      <c r="Q81" s="889"/>
      <c r="R81" s="889"/>
      <c r="S81" s="889"/>
      <c r="T81" s="889"/>
      <c r="U81" s="889"/>
      <c r="V81" s="889"/>
      <c r="W81" s="889"/>
      <c r="X81" s="889"/>
      <c r="Y81" s="889"/>
      <c r="Z81" s="887"/>
      <c r="AA81" s="891"/>
      <c r="AB81" s="891"/>
      <c r="AC81" s="891"/>
      <c r="AD81" s="891"/>
      <c r="AE81" s="891"/>
      <c r="AF81" s="891"/>
      <c r="AG81" s="891"/>
    </row>
    <row r="82" spans="1:36" s="886" customFormat="1" ht="12.75">
      <c r="A82" s="1056" t="s">
        <v>377</v>
      </c>
      <c r="B82" s="4">
        <f>ROUND(0.892-0.0373*B80,4)</f>
        <v>0.7823</v>
      </c>
      <c r="C82" s="889"/>
      <c r="D82" s="889"/>
      <c r="E82" s="889"/>
      <c r="F82" s="889"/>
      <c r="G82" s="889"/>
      <c r="H82" s="889"/>
      <c r="I82" s="889"/>
      <c r="J82" s="889"/>
      <c r="K82" s="890"/>
      <c r="L82" s="889"/>
      <c r="M82" s="889"/>
      <c r="N82" s="889"/>
      <c r="O82" s="889"/>
      <c r="P82" s="889"/>
      <c r="Q82" s="889"/>
      <c r="R82" s="889"/>
      <c r="S82" s="889"/>
      <c r="T82" s="889"/>
      <c r="U82" s="889"/>
      <c r="V82" s="889"/>
      <c r="W82" s="889"/>
      <c r="X82" s="889"/>
      <c r="Y82" s="889"/>
      <c r="Z82" s="887"/>
      <c r="AA82" s="891"/>
      <c r="AB82" s="891"/>
      <c r="AC82" s="891"/>
      <c r="AD82" s="891"/>
      <c r="AE82" s="891"/>
      <c r="AF82" s="891"/>
      <c r="AG82" s="891"/>
    </row>
    <row r="83" spans="1:36" s="886" customFormat="1" ht="13.5">
      <c r="A83" s="1056" t="s">
        <v>78</v>
      </c>
      <c r="B83" s="4">
        <f>ROUND(1.007-0.0278*B80,4)</f>
        <v>0.92530000000000001</v>
      </c>
      <c r="C83" s="889"/>
      <c r="D83" s="889"/>
      <c r="E83" s="889"/>
      <c r="F83" s="889"/>
      <c r="G83" s="889"/>
      <c r="H83" s="889"/>
      <c r="I83" s="889"/>
      <c r="J83" s="889"/>
      <c r="K83" s="890"/>
      <c r="L83"/>
      <c r="M83"/>
      <c r="N83" s="889"/>
      <c r="O83" s="889"/>
      <c r="P83" s="889"/>
      <c r="Q83" s="889"/>
      <c r="R83" s="889"/>
      <c r="S83" s="889"/>
      <c r="T83" s="889"/>
      <c r="U83" s="889"/>
      <c r="V83" s="889"/>
      <c r="W83" s="889"/>
      <c r="X83" s="889"/>
      <c r="Y83" s="889"/>
      <c r="Z83" s="887"/>
      <c r="AA83" s="891"/>
      <c r="AB83" s="891"/>
      <c r="AC83" s="891"/>
      <c r="AD83" s="891"/>
      <c r="AE83" s="891"/>
      <c r="AF83" s="891"/>
      <c r="AG83" s="891"/>
    </row>
    <row r="84" spans="1:36" ht="12.75">
      <c r="A84" s="1056" t="s">
        <v>53</v>
      </c>
      <c r="B84" s="4">
        <f>ROUND(1.018-0.0219*B80,4)</f>
        <v>0.9536</v>
      </c>
      <c r="K84" s="889"/>
      <c r="AE84" s="887"/>
      <c r="AF84" s="887"/>
      <c r="AH84" s="889"/>
      <c r="AI84" s="889"/>
      <c r="AJ84" s="889"/>
    </row>
    <row r="85" spans="1:36" s="886" customFormat="1" ht="12.75">
      <c r="A85" s="1057" t="s">
        <v>1040</v>
      </c>
      <c r="B85" s="1058">
        <f>ROUND(0.7275-0.01*B80,4)</f>
        <v>0.69810000000000005</v>
      </c>
      <c r="C85" s="889"/>
      <c r="D85" s="889"/>
      <c r="E85" s="889"/>
      <c r="F85" s="889"/>
      <c r="G85" s="889"/>
      <c r="H85" s="889"/>
      <c r="I85" s="889"/>
      <c r="J85" s="889"/>
      <c r="K85" s="890"/>
      <c r="L85" s="889"/>
      <c r="M85" s="889"/>
      <c r="N85" s="889"/>
      <c r="O85" s="889"/>
      <c r="P85" s="889"/>
      <c r="Q85" s="889"/>
      <c r="R85" s="889"/>
      <c r="S85" s="889"/>
      <c r="T85" s="889"/>
      <c r="U85" s="889"/>
      <c r="V85" s="889"/>
      <c r="W85" s="889"/>
      <c r="X85" s="889"/>
      <c r="Y85" s="889"/>
      <c r="Z85" s="887"/>
      <c r="AA85" s="891"/>
      <c r="AB85" s="891"/>
      <c r="AC85" s="891"/>
      <c r="AD85" s="891"/>
      <c r="AE85" s="891"/>
      <c r="AF85" s="891"/>
      <c r="AG85" s="891"/>
    </row>
    <row r="86" spans="1:36">
      <c r="K86" s="889"/>
      <c r="AE86" s="887"/>
      <c r="AF86" s="887"/>
      <c r="AH86" s="889"/>
      <c r="AI86" s="889"/>
      <c r="AJ86" s="889"/>
    </row>
    <row r="87" spans="1:36">
      <c r="K87" s="889"/>
      <c r="AE87" s="887"/>
      <c r="AF87" s="887"/>
      <c r="AH87" s="889"/>
      <c r="AI87" s="889"/>
      <c r="AJ87" s="889"/>
    </row>
    <row r="88" spans="1:36" ht="13.5">
      <c r="A88" s="1059" t="s">
        <v>25</v>
      </c>
      <c r="B88" s="1060" t="s">
        <v>49</v>
      </c>
      <c r="C88" s="1060" t="s">
        <v>63</v>
      </c>
      <c r="D88" s="1060" t="s">
        <v>75</v>
      </c>
      <c r="E88" s="1060" t="s">
        <v>87</v>
      </c>
      <c r="F88" s="1060" t="s">
        <v>96</v>
      </c>
      <c r="G88" s="1060" t="s">
        <v>103</v>
      </c>
      <c r="H88" s="1060" t="s">
        <v>108</v>
      </c>
      <c r="I88" s="1060" t="s">
        <v>113</v>
      </c>
      <c r="J88" s="1060" t="s">
        <v>116</v>
      </c>
      <c r="K88" s="1060" t="s">
        <v>118</v>
      </c>
      <c r="AE88" s="887"/>
      <c r="AF88" s="887"/>
      <c r="AH88" s="889"/>
      <c r="AI88" s="889"/>
      <c r="AJ88" s="889"/>
    </row>
    <row r="89" spans="1:36" ht="13.5">
      <c r="A89" s="1061" t="s">
        <v>377</v>
      </c>
      <c r="B89" s="1062">
        <v>2</v>
      </c>
      <c r="C89" s="1062">
        <v>2</v>
      </c>
      <c r="D89" s="1062">
        <v>2</v>
      </c>
      <c r="E89" s="1062">
        <v>2</v>
      </c>
      <c r="F89" s="1062">
        <v>2</v>
      </c>
      <c r="G89" s="1062">
        <v>2</v>
      </c>
      <c r="H89" s="1063">
        <v>1</v>
      </c>
      <c r="I89" s="1063">
        <v>1</v>
      </c>
      <c r="J89" s="1063">
        <v>1</v>
      </c>
      <c r="K89" s="1063">
        <v>1</v>
      </c>
      <c r="AE89" s="887"/>
      <c r="AF89" s="887"/>
      <c r="AH89" s="889"/>
      <c r="AI89" s="889"/>
      <c r="AJ89" s="889"/>
    </row>
    <row r="90" spans="1:36" ht="13.5">
      <c r="A90" s="1064" t="s">
        <v>78</v>
      </c>
      <c r="B90" s="1065">
        <v>2</v>
      </c>
      <c r="C90" s="1065">
        <v>2</v>
      </c>
      <c r="D90" s="1065">
        <v>2</v>
      </c>
      <c r="E90" s="1065">
        <v>2</v>
      </c>
      <c r="F90" s="1065">
        <v>2</v>
      </c>
      <c r="G90" s="1065">
        <v>2</v>
      </c>
      <c r="H90" s="1066">
        <v>1</v>
      </c>
      <c r="I90" s="1066">
        <v>1</v>
      </c>
      <c r="J90" s="1066">
        <v>1</v>
      </c>
      <c r="K90" s="1066">
        <v>1</v>
      </c>
      <c r="AE90" s="887"/>
      <c r="AF90" s="887"/>
      <c r="AH90" s="889"/>
      <c r="AI90" s="889"/>
      <c r="AJ90" s="889"/>
    </row>
    <row r="91" spans="1:36" ht="13.5">
      <c r="A91" s="1064" t="s">
        <v>53</v>
      </c>
      <c r="B91" s="1065">
        <v>2</v>
      </c>
      <c r="C91" s="1065">
        <v>2</v>
      </c>
      <c r="D91" s="1065">
        <v>2</v>
      </c>
      <c r="E91" s="1065">
        <v>2</v>
      </c>
      <c r="F91" s="1065">
        <v>2</v>
      </c>
      <c r="G91" s="1065">
        <v>2</v>
      </c>
      <c r="H91" s="1066">
        <v>1</v>
      </c>
      <c r="I91" s="1066">
        <v>1</v>
      </c>
      <c r="J91" s="1066">
        <v>1</v>
      </c>
      <c r="K91" s="1066">
        <v>1</v>
      </c>
      <c r="AE91" s="887"/>
      <c r="AF91" s="887"/>
      <c r="AH91" s="889"/>
      <c r="AI91" s="889"/>
      <c r="AJ91" s="889"/>
    </row>
    <row r="92" spans="1:36" ht="13.5">
      <c r="A92" s="1067" t="s">
        <v>137</v>
      </c>
      <c r="B92" s="1068">
        <v>1</v>
      </c>
      <c r="C92" s="1068">
        <v>1</v>
      </c>
      <c r="D92" s="1068">
        <v>1</v>
      </c>
      <c r="E92" s="1068">
        <v>1</v>
      </c>
      <c r="F92" s="1068">
        <v>1</v>
      </c>
      <c r="G92" s="1068">
        <v>1</v>
      </c>
      <c r="H92" s="1068">
        <v>1</v>
      </c>
      <c r="I92" s="1068">
        <v>1</v>
      </c>
      <c r="J92" s="1068">
        <v>1</v>
      </c>
      <c r="K92" s="1068">
        <v>1</v>
      </c>
      <c r="AE92" s="887"/>
      <c r="AF92" s="887"/>
      <c r="AH92" s="889"/>
      <c r="AI92" s="889"/>
      <c r="AJ92" s="889"/>
    </row>
    <row r="93" spans="1:36">
      <c r="K93" s="889"/>
      <c r="AE93" s="887"/>
      <c r="AF93" s="887"/>
      <c r="AH93" s="889"/>
      <c r="AI93" s="889"/>
      <c r="AJ93" s="889"/>
    </row>
  </sheetData>
  <sheetProtection password="CEE9" sheet="1" objects="1" scenarios="1" formatCells="0" formatColumns="0" formatRows="0"/>
  <sortState xmlns:xlrd2="http://schemas.microsoft.com/office/spreadsheetml/2017/richdata2"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F3" xr:uid="{00000000-0002-0000-0B00-000000000000}">
      <formula1>"容积率,设定容积率"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I2" xr:uid="{00000000-0002-0000-0B00-000002000000}">
      <formula1>"地上,地下"</formula1>
    </dataValidation>
    <dataValidation type="list" allowBlank="1" showInputMessage="1" showErrorMessage="1" sqref="E3" xr:uid="{00000000-0002-0000-0B00-000003000000}">
      <formula1>二级分类</formula1>
    </dataValidation>
    <dataValidation type="list" allowBlank="1" showInputMessage="1" showErrorMessage="1" sqref="F10" xr:uid="{00000000-0002-0000-0B00-000004000000}">
      <formula1>"剩余土地使用年限,剩余土地使用年限（设定）"</formula1>
    </dataValidation>
    <dataValidation type="list" allowBlank="1" showInputMessage="1" showErrorMessage="1" sqref="D11" xr:uid="{00000000-0002-0000-0B00-000005000000}">
      <formula1>"市区,郊区"</formula1>
    </dataValidation>
    <dataValidation type="list" allowBlank="1" showInputMessage="1" showErrorMessage="1" sqref="F16" xr:uid="{00000000-0002-0000-0B00-000006000000}">
      <formula1>"三通一平,四通一平,五通一平,六通一平,七通一平"</formula1>
    </dataValidation>
    <dataValidation type="list" allowBlank="1" showInputMessage="1" showErrorMessage="1" sqref="D22" xr:uid="{00000000-0002-0000-0B00-000007000000}">
      <formula1>"四环路外,四环路内"</formula1>
    </dataValidation>
    <dataValidation type="list" allowBlank="1" showInputMessage="1" showErrorMessage="1" sqref="C42:C48 C51:C57 C60:C67 C70:C76" xr:uid="{00000000-0002-0000-0B00-000008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860"/>
    <col min="10" max="10" width="2.25" style="860" customWidth="1"/>
    <col min="11" max="11" width="11.5" style="860" customWidth="1"/>
    <col min="12" max="16384" width="9" style="860"/>
  </cols>
  <sheetData>
    <row r="1" spans="1:19">
      <c r="K1" s="860" t="str">
        <f>'2002基准地价'!E2</f>
        <v>住宅/居住</v>
      </c>
      <c r="L1" s="860" t="str">
        <f>'2002基准地价'!G2</f>
        <v>五级</v>
      </c>
      <c r="M1" s="872">
        <f>SUMPRODUCT((K3:K12=L1)*(L2:O2=K1)*(L3:O12))</f>
        <v>2145</v>
      </c>
    </row>
    <row r="2" spans="1:19">
      <c r="A2" s="861" t="s">
        <v>400</v>
      </c>
      <c r="B2" s="862" t="s">
        <v>377</v>
      </c>
      <c r="C2" s="863"/>
      <c r="D2" s="864" t="s">
        <v>1041</v>
      </c>
      <c r="E2" s="864"/>
      <c r="F2" s="865" t="s">
        <v>1042</v>
      </c>
      <c r="G2" s="864"/>
      <c r="H2" s="865" t="s">
        <v>137</v>
      </c>
      <c r="I2" s="864"/>
      <c r="K2" s="873"/>
      <c r="L2" s="874" t="s">
        <v>377</v>
      </c>
      <c r="M2" s="874" t="s">
        <v>78</v>
      </c>
      <c r="N2" s="874" t="s">
        <v>53</v>
      </c>
      <c r="O2" s="874" t="s">
        <v>137</v>
      </c>
    </row>
    <row r="3" spans="1:19">
      <c r="A3" s="866"/>
      <c r="B3" s="867" t="s">
        <v>1043</v>
      </c>
      <c r="C3" s="867" t="s">
        <v>1044</v>
      </c>
      <c r="D3" s="868" t="s">
        <v>1043</v>
      </c>
      <c r="E3" s="868" t="s">
        <v>1044</v>
      </c>
      <c r="F3" s="868" t="s">
        <v>1043</v>
      </c>
      <c r="G3" s="868" t="s">
        <v>1044</v>
      </c>
      <c r="H3" s="868" t="s">
        <v>1043</v>
      </c>
      <c r="I3" s="868" t="s">
        <v>1044</v>
      </c>
      <c r="K3" s="868" t="s">
        <v>49</v>
      </c>
      <c r="L3" s="875">
        <f>ROUND(AVERAGE(B4:C4),0)</f>
        <v>8480</v>
      </c>
      <c r="M3" s="875">
        <f>ROUND(AVERAGE(D4:E4),0)</f>
        <v>6895</v>
      </c>
      <c r="N3" s="875">
        <f>ROUND(AVERAGE(F4:G4),0)</f>
        <v>5870</v>
      </c>
      <c r="O3" s="875">
        <f>ROUND(AVERAGE(H4:I4),0)</f>
        <v>1500</v>
      </c>
    </row>
    <row r="4" spans="1:19">
      <c r="A4" s="868" t="s">
        <v>49</v>
      </c>
      <c r="B4" s="869">
        <v>7210</v>
      </c>
      <c r="C4" s="869">
        <v>9750</v>
      </c>
      <c r="D4" s="869">
        <v>5540</v>
      </c>
      <c r="E4" s="869">
        <v>8250</v>
      </c>
      <c r="F4" s="869">
        <v>4740</v>
      </c>
      <c r="G4" s="869">
        <v>7000</v>
      </c>
      <c r="H4" s="869">
        <v>1200</v>
      </c>
      <c r="I4" s="869">
        <v>1800</v>
      </c>
      <c r="K4" s="868" t="s">
        <v>63</v>
      </c>
      <c r="L4" s="875">
        <f t="shared" ref="L4:L12" si="0">ROUND(AVERAGE(B5:C5),0)</f>
        <v>6680</v>
      </c>
      <c r="M4" s="875">
        <f t="shared" ref="M4:M12" si="1">ROUND(AVERAGE(D5:E5),0)</f>
        <v>5220</v>
      </c>
      <c r="N4" s="875">
        <f t="shared" ref="N4:N12" si="2">ROUND(AVERAGE(F5:G5),0)</f>
        <v>4780</v>
      </c>
      <c r="O4" s="875">
        <f t="shared" ref="O4:O11" si="3">ROUND(AVERAGE(H5:I5),0)</f>
        <v>1110</v>
      </c>
    </row>
    <row r="5" spans="1:19">
      <c r="A5" s="868" t="s">
        <v>63</v>
      </c>
      <c r="B5" s="869">
        <v>5680</v>
      </c>
      <c r="C5" s="869">
        <v>7680</v>
      </c>
      <c r="D5" s="869">
        <v>4440</v>
      </c>
      <c r="E5" s="869">
        <v>6000</v>
      </c>
      <c r="F5" s="869">
        <v>3800</v>
      </c>
      <c r="G5" s="869">
        <v>5760</v>
      </c>
      <c r="H5" s="869">
        <v>1000</v>
      </c>
      <c r="I5" s="869">
        <v>1220</v>
      </c>
      <c r="K5" s="868" t="s">
        <v>75</v>
      </c>
      <c r="L5" s="875">
        <f t="shared" si="0"/>
        <v>5330</v>
      </c>
      <c r="M5" s="875">
        <f t="shared" si="1"/>
        <v>4280</v>
      </c>
      <c r="N5" s="875">
        <f t="shared" si="2"/>
        <v>3660</v>
      </c>
      <c r="O5" s="875">
        <f t="shared" si="3"/>
        <v>950</v>
      </c>
    </row>
    <row r="6" spans="1:19">
      <c r="A6" s="868" t="s">
        <v>75</v>
      </c>
      <c r="B6" s="869">
        <v>4530</v>
      </c>
      <c r="C6" s="869">
        <v>6130</v>
      </c>
      <c r="D6" s="869">
        <v>3620</v>
      </c>
      <c r="E6" s="869">
        <v>4940</v>
      </c>
      <c r="F6" s="869">
        <v>2730</v>
      </c>
      <c r="G6" s="869">
        <v>4590</v>
      </c>
      <c r="H6" s="869">
        <v>850</v>
      </c>
      <c r="I6" s="869">
        <v>1050</v>
      </c>
      <c r="K6" s="868" t="s">
        <v>87</v>
      </c>
      <c r="L6" s="875">
        <f t="shared" si="0"/>
        <v>4405</v>
      </c>
      <c r="M6" s="875">
        <f t="shared" si="1"/>
        <v>3275</v>
      </c>
      <c r="N6" s="875">
        <f t="shared" si="2"/>
        <v>2845</v>
      </c>
      <c r="O6" s="875">
        <f t="shared" si="3"/>
        <v>750</v>
      </c>
    </row>
    <row r="7" spans="1:19">
      <c r="A7" s="868" t="s">
        <v>87</v>
      </c>
      <c r="B7" s="869">
        <v>3720</v>
      </c>
      <c r="C7" s="869">
        <v>5090</v>
      </c>
      <c r="D7" s="869">
        <v>2650</v>
      </c>
      <c r="E7" s="869">
        <v>3900</v>
      </c>
      <c r="F7" s="869">
        <v>2090</v>
      </c>
      <c r="G7" s="869">
        <v>3600</v>
      </c>
      <c r="H7" s="869">
        <v>600</v>
      </c>
      <c r="I7" s="869">
        <v>900</v>
      </c>
      <c r="K7" s="868" t="s">
        <v>96</v>
      </c>
      <c r="L7" s="875">
        <f t="shared" si="0"/>
        <v>3360</v>
      </c>
      <c r="M7" s="875">
        <f t="shared" si="1"/>
        <v>2375</v>
      </c>
      <c r="N7" s="875">
        <f t="shared" si="2"/>
        <v>2145</v>
      </c>
      <c r="O7" s="875">
        <f t="shared" si="3"/>
        <v>550</v>
      </c>
    </row>
    <row r="8" spans="1:19">
      <c r="A8" s="868" t="s">
        <v>96</v>
      </c>
      <c r="B8" s="869">
        <v>2720</v>
      </c>
      <c r="C8" s="869">
        <v>4000</v>
      </c>
      <c r="D8" s="869">
        <v>1960</v>
      </c>
      <c r="E8" s="869">
        <v>2790</v>
      </c>
      <c r="F8" s="869">
        <v>1500</v>
      </c>
      <c r="G8" s="869">
        <v>2790</v>
      </c>
      <c r="H8" s="869">
        <v>420</v>
      </c>
      <c r="I8" s="869">
        <v>680</v>
      </c>
      <c r="K8" s="868" t="s">
        <v>103</v>
      </c>
      <c r="L8" s="875">
        <f t="shared" si="0"/>
        <v>2435</v>
      </c>
      <c r="M8" s="875">
        <f t="shared" si="1"/>
        <v>1685</v>
      </c>
      <c r="N8" s="875">
        <f t="shared" si="2"/>
        <v>1440</v>
      </c>
      <c r="O8" s="875">
        <f t="shared" si="3"/>
        <v>410</v>
      </c>
    </row>
    <row r="9" spans="1:19">
      <c r="A9" s="868" t="s">
        <v>103</v>
      </c>
      <c r="B9" s="869">
        <v>1970</v>
      </c>
      <c r="C9" s="869">
        <v>2900</v>
      </c>
      <c r="D9" s="869">
        <v>1290</v>
      </c>
      <c r="E9" s="869">
        <v>2080</v>
      </c>
      <c r="F9" s="869">
        <v>1060</v>
      </c>
      <c r="G9" s="869">
        <v>1820</v>
      </c>
      <c r="H9" s="869">
        <v>310</v>
      </c>
      <c r="I9" s="869">
        <v>510</v>
      </c>
      <c r="K9" s="868" t="s">
        <v>108</v>
      </c>
      <c r="L9" s="875">
        <f t="shared" si="0"/>
        <v>1565</v>
      </c>
      <c r="M9" s="875">
        <f t="shared" si="1"/>
        <v>1100</v>
      </c>
      <c r="N9" s="875">
        <f t="shared" si="2"/>
        <v>855</v>
      </c>
      <c r="O9" s="875">
        <f t="shared" si="3"/>
        <v>275</v>
      </c>
    </row>
    <row r="10" spans="1:19">
      <c r="A10" s="868" t="s">
        <v>108</v>
      </c>
      <c r="B10" s="869">
        <v>1150</v>
      </c>
      <c r="C10" s="869">
        <v>1980</v>
      </c>
      <c r="D10" s="869">
        <v>880</v>
      </c>
      <c r="E10" s="869">
        <v>1320</v>
      </c>
      <c r="F10" s="869">
        <v>630</v>
      </c>
      <c r="G10" s="869">
        <v>1080</v>
      </c>
      <c r="H10" s="869">
        <v>220</v>
      </c>
      <c r="I10" s="869">
        <v>330</v>
      </c>
      <c r="K10" s="868" t="s">
        <v>113</v>
      </c>
      <c r="L10" s="875">
        <f t="shared" si="0"/>
        <v>855</v>
      </c>
      <c r="M10" s="875">
        <f t="shared" si="1"/>
        <v>665</v>
      </c>
      <c r="N10" s="875">
        <f t="shared" si="2"/>
        <v>490</v>
      </c>
      <c r="O10" s="875">
        <f t="shared" si="3"/>
        <v>195</v>
      </c>
    </row>
    <row r="11" spans="1:19">
      <c r="A11" s="868" t="s">
        <v>113</v>
      </c>
      <c r="B11" s="869">
        <v>530</v>
      </c>
      <c r="C11" s="869">
        <v>1180</v>
      </c>
      <c r="D11" s="869">
        <v>430</v>
      </c>
      <c r="E11" s="869">
        <v>900</v>
      </c>
      <c r="F11" s="869">
        <v>330</v>
      </c>
      <c r="G11" s="869">
        <v>650</v>
      </c>
      <c r="H11" s="869">
        <v>150</v>
      </c>
      <c r="I11" s="869">
        <v>240</v>
      </c>
      <c r="K11" s="868" t="s">
        <v>116</v>
      </c>
      <c r="L11" s="875">
        <f t="shared" si="0"/>
        <v>395</v>
      </c>
      <c r="M11" s="875">
        <f t="shared" si="1"/>
        <v>325</v>
      </c>
      <c r="N11" s="875">
        <f t="shared" si="2"/>
        <v>275</v>
      </c>
      <c r="O11" s="875">
        <f t="shared" si="3"/>
        <v>135</v>
      </c>
    </row>
    <row r="12" spans="1:19">
      <c r="A12" s="868" t="s">
        <v>116</v>
      </c>
      <c r="B12" s="869">
        <v>250</v>
      </c>
      <c r="C12" s="869">
        <v>540</v>
      </c>
      <c r="D12" s="869">
        <v>200</v>
      </c>
      <c r="E12" s="869">
        <v>450</v>
      </c>
      <c r="F12" s="869">
        <v>180</v>
      </c>
      <c r="G12" s="869">
        <v>370</v>
      </c>
      <c r="H12" s="869">
        <v>100</v>
      </c>
      <c r="I12" s="869">
        <v>170</v>
      </c>
      <c r="K12" s="868" t="s">
        <v>118</v>
      </c>
      <c r="L12" s="875">
        <f t="shared" si="0"/>
        <v>200</v>
      </c>
      <c r="M12" s="875">
        <f t="shared" si="1"/>
        <v>200</v>
      </c>
      <c r="N12" s="875">
        <f t="shared" si="2"/>
        <v>200</v>
      </c>
      <c r="O12" s="875"/>
    </row>
    <row r="13" spans="1:19">
      <c r="A13" s="868" t="s">
        <v>118</v>
      </c>
      <c r="B13" s="869">
        <v>140</v>
      </c>
      <c r="C13" s="869">
        <v>260</v>
      </c>
      <c r="D13" s="869">
        <v>140</v>
      </c>
      <c r="E13" s="869">
        <v>260</v>
      </c>
      <c r="F13" s="869">
        <v>140</v>
      </c>
      <c r="G13" s="869">
        <v>260</v>
      </c>
      <c r="H13" s="869"/>
      <c r="I13" s="869"/>
    </row>
    <row r="14" spans="1:19">
      <c r="A14" s="870" t="s">
        <v>1045</v>
      </c>
      <c r="B14" s="868" t="s">
        <v>1043</v>
      </c>
      <c r="C14" s="868" t="s">
        <v>1044</v>
      </c>
      <c r="D14" s="868" t="s">
        <v>1043</v>
      </c>
      <c r="E14" s="868" t="s">
        <v>1044</v>
      </c>
      <c r="F14" s="868" t="s">
        <v>1043</v>
      </c>
      <c r="G14" s="868" t="s">
        <v>1044</v>
      </c>
      <c r="H14" s="868" t="s">
        <v>1043</v>
      </c>
      <c r="I14" s="876" t="s">
        <v>1044</v>
      </c>
      <c r="L14" s="877" t="s">
        <v>377</v>
      </c>
      <c r="M14" s="874" t="s">
        <v>78</v>
      </c>
      <c r="N14" s="874" t="s">
        <v>53</v>
      </c>
      <c r="O14" s="878" t="s">
        <v>137</v>
      </c>
      <c r="P14" s="877" t="s">
        <v>377</v>
      </c>
      <c r="Q14" s="874" t="s">
        <v>78</v>
      </c>
      <c r="R14" s="874" t="s">
        <v>53</v>
      </c>
      <c r="S14" s="878" t="s">
        <v>137</v>
      </c>
    </row>
    <row r="15" spans="1:19" ht="14.25">
      <c r="A15" s="868" t="s">
        <v>49</v>
      </c>
      <c r="B15" s="869">
        <v>2660</v>
      </c>
      <c r="C15" s="869">
        <v>4900</v>
      </c>
      <c r="D15" s="869">
        <v>1640</v>
      </c>
      <c r="E15" s="869">
        <v>4500</v>
      </c>
      <c r="F15" s="869">
        <v>1710</v>
      </c>
      <c r="G15" s="869">
        <v>3000</v>
      </c>
      <c r="H15" s="871">
        <v>420</v>
      </c>
      <c r="I15" s="20">
        <v>850</v>
      </c>
      <c r="K15" s="879" t="s">
        <v>49</v>
      </c>
      <c r="L15" s="880">
        <v>2660</v>
      </c>
      <c r="M15" s="869">
        <v>1640</v>
      </c>
      <c r="N15" s="869">
        <v>1710</v>
      </c>
      <c r="O15" s="881">
        <v>420</v>
      </c>
      <c r="P15" s="880">
        <v>4900</v>
      </c>
      <c r="Q15" s="869">
        <v>4500</v>
      </c>
      <c r="R15" s="869">
        <v>3000</v>
      </c>
      <c r="S15" s="848">
        <v>850</v>
      </c>
    </row>
    <row r="16" spans="1:19" ht="14.25">
      <c r="A16" s="868" t="s">
        <v>63</v>
      </c>
      <c r="B16" s="869">
        <v>1680</v>
      </c>
      <c r="C16" s="869">
        <v>3120</v>
      </c>
      <c r="D16" s="869">
        <v>1460</v>
      </c>
      <c r="E16" s="869">
        <v>2200</v>
      </c>
      <c r="F16" s="869">
        <v>900</v>
      </c>
      <c r="G16" s="869">
        <v>2100</v>
      </c>
      <c r="H16" s="871">
        <v>430</v>
      </c>
      <c r="I16" s="20">
        <v>530</v>
      </c>
      <c r="K16" s="879" t="s">
        <v>63</v>
      </c>
      <c r="L16" s="880">
        <v>1680</v>
      </c>
      <c r="M16" s="869">
        <v>1460</v>
      </c>
      <c r="N16" s="869">
        <v>900</v>
      </c>
      <c r="O16" s="881">
        <v>430</v>
      </c>
      <c r="P16" s="880">
        <v>3120</v>
      </c>
      <c r="Q16" s="869">
        <v>2200</v>
      </c>
      <c r="R16" s="869">
        <v>2100</v>
      </c>
      <c r="S16" s="848">
        <v>530</v>
      </c>
    </row>
    <row r="17" spans="1:19" ht="14.25">
      <c r="A17" s="868" t="s">
        <v>75</v>
      </c>
      <c r="B17" s="869">
        <v>1500</v>
      </c>
      <c r="C17" s="869">
        <v>2420</v>
      </c>
      <c r="D17" s="869">
        <v>1130</v>
      </c>
      <c r="E17" s="869">
        <v>1690</v>
      </c>
      <c r="F17" s="869">
        <v>550</v>
      </c>
      <c r="G17" s="869">
        <v>1300</v>
      </c>
      <c r="H17" s="871">
        <v>340</v>
      </c>
      <c r="I17" s="20">
        <v>440</v>
      </c>
      <c r="K17" s="879" t="s">
        <v>75</v>
      </c>
      <c r="L17" s="880">
        <v>1500</v>
      </c>
      <c r="M17" s="869">
        <v>1130</v>
      </c>
      <c r="N17" s="869">
        <v>550</v>
      </c>
      <c r="O17" s="881">
        <v>340</v>
      </c>
      <c r="P17" s="880">
        <v>2420</v>
      </c>
      <c r="Q17" s="869">
        <v>1690</v>
      </c>
      <c r="R17" s="869">
        <v>1300</v>
      </c>
      <c r="S17" s="848">
        <v>440</v>
      </c>
    </row>
    <row r="18" spans="1:19" ht="14.25">
      <c r="A18" s="868" t="s">
        <v>87</v>
      </c>
      <c r="B18" s="869">
        <v>1240</v>
      </c>
      <c r="C18" s="869">
        <v>1860</v>
      </c>
      <c r="D18" s="869">
        <v>880</v>
      </c>
      <c r="E18" s="869">
        <v>1320</v>
      </c>
      <c r="F18" s="869">
        <v>400</v>
      </c>
      <c r="G18" s="869">
        <v>930</v>
      </c>
      <c r="H18" s="871">
        <v>270</v>
      </c>
      <c r="I18" s="20">
        <v>360</v>
      </c>
      <c r="K18" s="879" t="s">
        <v>87</v>
      </c>
      <c r="L18" s="880">
        <v>1240</v>
      </c>
      <c r="M18" s="869">
        <v>880</v>
      </c>
      <c r="N18" s="869">
        <v>400</v>
      </c>
      <c r="O18" s="881">
        <v>270</v>
      </c>
      <c r="P18" s="880">
        <v>1860</v>
      </c>
      <c r="Q18" s="869">
        <v>1320</v>
      </c>
      <c r="R18" s="869">
        <v>930</v>
      </c>
      <c r="S18" s="848">
        <v>360</v>
      </c>
    </row>
    <row r="19" spans="1:19" ht="14.25">
      <c r="A19" s="868" t="s">
        <v>96</v>
      </c>
      <c r="B19" s="869">
        <v>970</v>
      </c>
      <c r="C19" s="869">
        <v>1450</v>
      </c>
      <c r="D19" s="869">
        <v>660</v>
      </c>
      <c r="E19" s="869">
        <v>990</v>
      </c>
      <c r="F19" s="869">
        <v>300</v>
      </c>
      <c r="G19" s="869">
        <v>680</v>
      </c>
      <c r="H19" s="871">
        <v>195</v>
      </c>
      <c r="I19" s="20">
        <v>300</v>
      </c>
      <c r="K19" s="879" t="s">
        <v>96</v>
      </c>
      <c r="L19" s="880">
        <v>970</v>
      </c>
      <c r="M19" s="869">
        <v>660</v>
      </c>
      <c r="N19" s="869">
        <v>300</v>
      </c>
      <c r="O19" s="881">
        <v>195</v>
      </c>
      <c r="P19" s="880">
        <v>1450</v>
      </c>
      <c r="Q19" s="869">
        <v>990</v>
      </c>
      <c r="R19" s="869">
        <v>680</v>
      </c>
      <c r="S19" s="848">
        <v>300</v>
      </c>
    </row>
    <row r="20" spans="1:19" ht="14.25">
      <c r="A20" s="868" t="s">
        <v>103</v>
      </c>
      <c r="B20" s="869">
        <v>720</v>
      </c>
      <c r="C20" s="869">
        <v>1090</v>
      </c>
      <c r="D20" s="869">
        <v>500</v>
      </c>
      <c r="E20" s="869">
        <v>740</v>
      </c>
      <c r="F20" s="869">
        <v>190</v>
      </c>
      <c r="G20" s="869">
        <v>430</v>
      </c>
      <c r="H20" s="871">
        <v>135</v>
      </c>
      <c r="I20" s="20">
        <v>225</v>
      </c>
      <c r="K20" s="879" t="s">
        <v>103</v>
      </c>
      <c r="L20" s="880">
        <v>720</v>
      </c>
      <c r="M20" s="869">
        <v>500</v>
      </c>
      <c r="N20" s="869">
        <v>190</v>
      </c>
      <c r="O20" s="881">
        <v>135</v>
      </c>
      <c r="P20" s="880">
        <v>1090</v>
      </c>
      <c r="Q20" s="869">
        <v>740</v>
      </c>
      <c r="R20" s="869">
        <v>430</v>
      </c>
      <c r="S20" s="848">
        <v>225</v>
      </c>
    </row>
    <row r="21" spans="1:19" ht="14.25">
      <c r="A21" s="868" t="s">
        <v>108</v>
      </c>
      <c r="B21" s="869">
        <v>500</v>
      </c>
      <c r="C21" s="869">
        <v>740</v>
      </c>
      <c r="D21" s="869">
        <v>400</v>
      </c>
      <c r="E21" s="869">
        <v>600</v>
      </c>
      <c r="F21" s="869">
        <v>150</v>
      </c>
      <c r="G21" s="869">
        <v>350</v>
      </c>
      <c r="H21" s="871">
        <v>100</v>
      </c>
      <c r="I21" s="20">
        <v>160</v>
      </c>
      <c r="K21" s="879" t="s">
        <v>108</v>
      </c>
      <c r="L21" s="880">
        <v>500</v>
      </c>
      <c r="M21" s="869">
        <v>400</v>
      </c>
      <c r="N21" s="869">
        <v>150</v>
      </c>
      <c r="O21" s="881">
        <v>100</v>
      </c>
      <c r="P21" s="880">
        <v>740</v>
      </c>
      <c r="Q21" s="869">
        <v>600</v>
      </c>
      <c r="R21" s="869">
        <v>350</v>
      </c>
      <c r="S21" s="848">
        <v>160</v>
      </c>
    </row>
    <row r="22" spans="1:19" ht="14.25">
      <c r="A22" s="868" t="s">
        <v>113</v>
      </c>
      <c r="B22" s="869">
        <v>360</v>
      </c>
      <c r="C22" s="869">
        <v>540</v>
      </c>
      <c r="D22" s="869">
        <v>250</v>
      </c>
      <c r="E22" s="869">
        <v>470</v>
      </c>
      <c r="F22" s="869">
        <v>120</v>
      </c>
      <c r="G22" s="869">
        <v>280</v>
      </c>
      <c r="H22" s="871">
        <v>60</v>
      </c>
      <c r="I22" s="20">
        <v>100</v>
      </c>
      <c r="K22" s="879" t="s">
        <v>113</v>
      </c>
      <c r="L22" s="880">
        <v>360</v>
      </c>
      <c r="M22" s="869">
        <v>250</v>
      </c>
      <c r="N22" s="869">
        <v>120</v>
      </c>
      <c r="O22" s="881">
        <v>60</v>
      </c>
      <c r="P22" s="880">
        <v>540</v>
      </c>
      <c r="Q22" s="869">
        <v>470</v>
      </c>
      <c r="R22" s="869">
        <v>280</v>
      </c>
      <c r="S22" s="848">
        <v>100</v>
      </c>
    </row>
    <row r="23" spans="1:19" ht="14.25">
      <c r="A23" s="868" t="s">
        <v>116</v>
      </c>
      <c r="B23" s="869">
        <v>180</v>
      </c>
      <c r="C23" s="869">
        <v>380</v>
      </c>
      <c r="D23" s="869">
        <v>140</v>
      </c>
      <c r="E23" s="869">
        <v>260</v>
      </c>
      <c r="F23" s="869">
        <v>100</v>
      </c>
      <c r="G23" s="869">
        <v>220</v>
      </c>
      <c r="H23" s="871">
        <v>20</v>
      </c>
      <c r="I23" s="20">
        <v>60</v>
      </c>
      <c r="K23" s="879" t="s">
        <v>116</v>
      </c>
      <c r="L23" s="880">
        <v>180</v>
      </c>
      <c r="M23" s="869">
        <v>140</v>
      </c>
      <c r="N23" s="869">
        <v>100</v>
      </c>
      <c r="O23" s="881">
        <v>20</v>
      </c>
      <c r="P23" s="880">
        <v>380</v>
      </c>
      <c r="Q23" s="869">
        <v>260</v>
      </c>
      <c r="R23" s="869">
        <v>220</v>
      </c>
      <c r="S23" s="848">
        <v>60</v>
      </c>
    </row>
    <row r="24" spans="1:19" ht="14.25">
      <c r="A24" s="868" t="s">
        <v>118</v>
      </c>
      <c r="B24" s="869">
        <v>90</v>
      </c>
      <c r="C24" s="869">
        <v>190</v>
      </c>
      <c r="D24" s="869">
        <v>90</v>
      </c>
      <c r="E24" s="869">
        <v>150</v>
      </c>
      <c r="F24" s="869">
        <v>90</v>
      </c>
      <c r="G24" s="869">
        <v>150</v>
      </c>
      <c r="H24" s="871"/>
      <c r="I24" s="20"/>
      <c r="K24" s="879" t="s">
        <v>118</v>
      </c>
      <c r="L24" s="882">
        <v>90</v>
      </c>
      <c r="M24" s="883">
        <v>90</v>
      </c>
      <c r="N24" s="883">
        <v>90</v>
      </c>
      <c r="O24" s="884"/>
      <c r="P24" s="882">
        <v>190</v>
      </c>
      <c r="Q24" s="883">
        <v>150</v>
      </c>
      <c r="R24" s="883">
        <v>150</v>
      </c>
      <c r="S24" s="859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839"/>
    <col min="2" max="4" width="15" style="839" customWidth="1"/>
    <col min="5" max="7" width="15.125" style="839" customWidth="1"/>
    <col min="8" max="16384" width="9" style="839"/>
  </cols>
  <sheetData>
    <row r="1" spans="1:7">
      <c r="A1" s="1713" t="s">
        <v>1046</v>
      </c>
      <c r="B1" s="1710" t="s">
        <v>1047</v>
      </c>
      <c r="C1" s="1711"/>
      <c r="D1" s="1712"/>
      <c r="E1" s="1710" t="s">
        <v>1048</v>
      </c>
      <c r="F1" s="1711"/>
      <c r="G1" s="1712"/>
    </row>
    <row r="2" spans="1:7">
      <c r="A2" s="1714"/>
      <c r="B2" s="840" t="s">
        <v>1049</v>
      </c>
      <c r="C2" s="841" t="s">
        <v>1050</v>
      </c>
      <c r="D2" s="842" t="s">
        <v>1051</v>
      </c>
      <c r="E2" s="840" t="s">
        <v>1049</v>
      </c>
      <c r="F2" s="841" t="s">
        <v>1050</v>
      </c>
      <c r="G2" s="842" t="s">
        <v>1051</v>
      </c>
    </row>
    <row r="3" spans="1:7" ht="14.25">
      <c r="A3" s="843">
        <v>0.1</v>
      </c>
      <c r="B3" s="844">
        <v>1.5</v>
      </c>
      <c r="C3" s="845">
        <v>1.4370000000000001</v>
      </c>
      <c r="D3" s="846">
        <v>1.4179999999999999</v>
      </c>
      <c r="E3" s="847">
        <f>ROUND(B3/1.232,3)</f>
        <v>1.218</v>
      </c>
      <c r="F3" s="20">
        <f>ROUND(C3/1.189,3)</f>
        <v>1.2090000000000001</v>
      </c>
      <c r="G3" s="848">
        <f>ROUND(D3/1.177,3)</f>
        <v>1.2050000000000001</v>
      </c>
    </row>
    <row r="4" spans="1:7" ht="14.25">
      <c r="A4" s="843">
        <v>0.2</v>
      </c>
      <c r="B4" s="844">
        <v>1.4670000000000001</v>
      </c>
      <c r="C4" s="845">
        <v>1.4059999999999999</v>
      </c>
      <c r="D4" s="846">
        <v>1.387</v>
      </c>
      <c r="E4" s="847">
        <f t="shared" ref="E4:E67" si="0">ROUND(B4/1.232,3)</f>
        <v>1.1910000000000001</v>
      </c>
      <c r="F4" s="20">
        <f t="shared" ref="F4:F67" si="1">ROUND(C4/1.189,3)</f>
        <v>1.1830000000000001</v>
      </c>
      <c r="G4" s="848">
        <f t="shared" ref="G4:G67" si="2">ROUND(D4/1.177,3)</f>
        <v>1.1779999999999999</v>
      </c>
    </row>
    <row r="5" spans="1:7" ht="14.25">
      <c r="A5" s="843">
        <v>0.3</v>
      </c>
      <c r="B5" s="844">
        <v>1.4350000000000001</v>
      </c>
      <c r="C5" s="845">
        <v>1.375</v>
      </c>
      <c r="D5" s="846">
        <v>1.3580000000000001</v>
      </c>
      <c r="E5" s="847">
        <f t="shared" si="0"/>
        <v>1.165</v>
      </c>
      <c r="F5" s="20">
        <f t="shared" si="1"/>
        <v>1.1559999999999999</v>
      </c>
      <c r="G5" s="848">
        <f t="shared" si="2"/>
        <v>1.1539999999999999</v>
      </c>
    </row>
    <row r="6" spans="1:7" ht="14.25">
      <c r="A6" s="843">
        <v>0.4</v>
      </c>
      <c r="B6" s="844">
        <v>1.4039999999999999</v>
      </c>
      <c r="C6" s="845">
        <v>1.3460000000000001</v>
      </c>
      <c r="D6" s="846">
        <v>1.329</v>
      </c>
      <c r="E6" s="847">
        <f t="shared" si="0"/>
        <v>1.1399999999999999</v>
      </c>
      <c r="F6" s="20">
        <f t="shared" si="1"/>
        <v>1.1319999999999999</v>
      </c>
      <c r="G6" s="848">
        <f t="shared" si="2"/>
        <v>1.129</v>
      </c>
    </row>
    <row r="7" spans="1:7" ht="14.25">
      <c r="A7" s="843">
        <v>0.5</v>
      </c>
      <c r="B7" s="844">
        <v>1.3740000000000001</v>
      </c>
      <c r="C7" s="845">
        <v>1.3180000000000001</v>
      </c>
      <c r="D7" s="846">
        <v>1.3009999999999999</v>
      </c>
      <c r="E7" s="847">
        <f t="shared" si="0"/>
        <v>1.115</v>
      </c>
      <c r="F7" s="20">
        <f t="shared" si="1"/>
        <v>1.1080000000000001</v>
      </c>
      <c r="G7" s="848">
        <f t="shared" si="2"/>
        <v>1.105</v>
      </c>
    </row>
    <row r="8" spans="1:7" ht="14.25">
      <c r="A8" s="843">
        <v>0.6</v>
      </c>
      <c r="B8" s="844">
        <v>1.3440000000000001</v>
      </c>
      <c r="C8" s="845">
        <v>1.29</v>
      </c>
      <c r="D8" s="846">
        <v>1.2749999999999999</v>
      </c>
      <c r="E8" s="847">
        <f t="shared" si="0"/>
        <v>1.091</v>
      </c>
      <c r="F8" s="20">
        <f t="shared" si="1"/>
        <v>1.085</v>
      </c>
      <c r="G8" s="848">
        <f t="shared" si="2"/>
        <v>1.083</v>
      </c>
    </row>
    <row r="9" spans="1:7" ht="14.25">
      <c r="A9" s="843">
        <v>0.7</v>
      </c>
      <c r="B9" s="844">
        <v>1.3149999999999999</v>
      </c>
      <c r="C9" s="845">
        <v>1.2629999999999999</v>
      </c>
      <c r="D9" s="846">
        <v>1.2490000000000001</v>
      </c>
      <c r="E9" s="847">
        <f t="shared" si="0"/>
        <v>1.0669999999999999</v>
      </c>
      <c r="F9" s="20">
        <f t="shared" si="1"/>
        <v>1.0620000000000001</v>
      </c>
      <c r="G9" s="848">
        <f t="shared" si="2"/>
        <v>1.0609999999999999</v>
      </c>
    </row>
    <row r="10" spans="1:7" ht="14.25">
      <c r="A10" s="843">
        <v>0.8</v>
      </c>
      <c r="B10" s="844">
        <v>1.2869999999999999</v>
      </c>
      <c r="C10" s="845">
        <v>1.238</v>
      </c>
      <c r="D10" s="846">
        <v>1.224</v>
      </c>
      <c r="E10" s="847">
        <f t="shared" si="0"/>
        <v>1.0449999999999999</v>
      </c>
      <c r="F10" s="20">
        <f t="shared" si="1"/>
        <v>1.0409999999999999</v>
      </c>
      <c r="G10" s="848">
        <f t="shared" si="2"/>
        <v>1.04</v>
      </c>
    </row>
    <row r="11" spans="1:7" ht="14.25">
      <c r="A11" s="843">
        <v>0.9</v>
      </c>
      <c r="B11" s="844">
        <v>1.2589999999999999</v>
      </c>
      <c r="C11" s="845">
        <v>1.2130000000000001</v>
      </c>
      <c r="D11" s="846">
        <v>1.2</v>
      </c>
      <c r="E11" s="847">
        <f t="shared" si="0"/>
        <v>1.022</v>
      </c>
      <c r="F11" s="20">
        <f t="shared" si="1"/>
        <v>1.02</v>
      </c>
      <c r="G11" s="848">
        <f t="shared" si="2"/>
        <v>1.02</v>
      </c>
    </row>
    <row r="12" spans="1:7" ht="14.25">
      <c r="A12" s="843">
        <v>1</v>
      </c>
      <c r="B12" s="844">
        <v>1.232</v>
      </c>
      <c r="C12" s="845">
        <v>1.1890000000000001</v>
      </c>
      <c r="D12" s="846">
        <v>1.177</v>
      </c>
      <c r="E12" s="847">
        <f t="shared" si="0"/>
        <v>1</v>
      </c>
      <c r="F12" s="20">
        <f t="shared" si="1"/>
        <v>1</v>
      </c>
      <c r="G12" s="848">
        <f t="shared" si="2"/>
        <v>1</v>
      </c>
    </row>
    <row r="13" spans="1:7" ht="14.25">
      <c r="A13" s="843">
        <v>1.1000000000000001</v>
      </c>
      <c r="B13" s="844">
        <v>1.2050000000000001</v>
      </c>
      <c r="C13" s="845">
        <v>1.1659999999999999</v>
      </c>
      <c r="D13" s="846">
        <v>1.155</v>
      </c>
      <c r="E13" s="847">
        <f t="shared" si="0"/>
        <v>0.97799999999999998</v>
      </c>
      <c r="F13" s="20">
        <f t="shared" si="1"/>
        <v>0.98099999999999998</v>
      </c>
      <c r="G13" s="848">
        <f t="shared" si="2"/>
        <v>0.98099999999999998</v>
      </c>
    </row>
    <row r="14" spans="1:7" ht="14.25">
      <c r="A14" s="843">
        <v>1.2</v>
      </c>
      <c r="B14" s="844">
        <v>1.18</v>
      </c>
      <c r="C14" s="845">
        <v>1.1439999999999999</v>
      </c>
      <c r="D14" s="846">
        <v>1.1339999999999999</v>
      </c>
      <c r="E14" s="847">
        <f t="shared" si="0"/>
        <v>0.95799999999999996</v>
      </c>
      <c r="F14" s="20">
        <f t="shared" si="1"/>
        <v>0.96199999999999997</v>
      </c>
      <c r="G14" s="848">
        <f t="shared" si="2"/>
        <v>0.96299999999999997</v>
      </c>
    </row>
    <row r="15" spans="1:7" ht="14.25">
      <c r="A15" s="843">
        <v>1.3</v>
      </c>
      <c r="B15" s="844">
        <v>1.155</v>
      </c>
      <c r="C15" s="845">
        <v>1.123</v>
      </c>
      <c r="D15" s="846">
        <v>1.1140000000000001</v>
      </c>
      <c r="E15" s="847">
        <f t="shared" si="0"/>
        <v>0.93799999999999994</v>
      </c>
      <c r="F15" s="20">
        <f t="shared" si="1"/>
        <v>0.94399999999999995</v>
      </c>
      <c r="G15" s="848">
        <f t="shared" si="2"/>
        <v>0.94599999999999995</v>
      </c>
    </row>
    <row r="16" spans="1:7" ht="14.25">
      <c r="A16" s="843">
        <v>1.4</v>
      </c>
      <c r="B16" s="844">
        <v>1.131</v>
      </c>
      <c r="C16" s="845">
        <v>1.103</v>
      </c>
      <c r="D16" s="846">
        <v>1.095</v>
      </c>
      <c r="E16" s="847">
        <f t="shared" si="0"/>
        <v>0.91800000000000004</v>
      </c>
      <c r="F16" s="20">
        <f t="shared" si="1"/>
        <v>0.92800000000000005</v>
      </c>
      <c r="G16" s="848">
        <f t="shared" si="2"/>
        <v>0.93</v>
      </c>
    </row>
    <row r="17" spans="1:20" ht="14.25">
      <c r="A17" s="843">
        <v>1.5</v>
      </c>
      <c r="B17" s="844">
        <v>1.107</v>
      </c>
      <c r="C17" s="845">
        <v>1.083</v>
      </c>
      <c r="D17" s="846">
        <v>1.077</v>
      </c>
      <c r="E17" s="847">
        <f t="shared" si="0"/>
        <v>0.89900000000000002</v>
      </c>
      <c r="F17" s="20">
        <f t="shared" si="1"/>
        <v>0.91100000000000003</v>
      </c>
      <c r="G17" s="848">
        <f t="shared" si="2"/>
        <v>0.91500000000000004</v>
      </c>
    </row>
    <row r="18" spans="1:20" ht="14.25">
      <c r="A18" s="843">
        <v>1.6</v>
      </c>
      <c r="B18" s="844">
        <v>1.0840000000000001</v>
      </c>
      <c r="C18" s="845">
        <v>1.0649999999999999</v>
      </c>
      <c r="D18" s="846">
        <v>1.06</v>
      </c>
      <c r="E18" s="847">
        <f t="shared" si="0"/>
        <v>0.88</v>
      </c>
      <c r="F18" s="20">
        <f t="shared" si="1"/>
        <v>0.89600000000000002</v>
      </c>
      <c r="G18" s="848">
        <f t="shared" si="2"/>
        <v>0.90100000000000002</v>
      </c>
    </row>
    <row r="19" spans="1:20" ht="14.25">
      <c r="A19" s="843">
        <v>1.7</v>
      </c>
      <c r="B19" s="844">
        <v>1.0620000000000001</v>
      </c>
      <c r="C19" s="845">
        <v>1.0469999999999999</v>
      </c>
      <c r="D19" s="846">
        <v>1.0429999999999999</v>
      </c>
      <c r="E19" s="847">
        <f t="shared" si="0"/>
        <v>0.86199999999999999</v>
      </c>
      <c r="F19" s="20">
        <f t="shared" si="1"/>
        <v>0.88100000000000001</v>
      </c>
      <c r="G19" s="848">
        <f t="shared" si="2"/>
        <v>0.88600000000000001</v>
      </c>
    </row>
    <row r="20" spans="1:20" ht="14.25">
      <c r="A20" s="843">
        <v>1.8</v>
      </c>
      <c r="B20" s="844">
        <v>1.0409999999999999</v>
      </c>
      <c r="C20" s="845">
        <v>1.0309999999999999</v>
      </c>
      <c r="D20" s="846">
        <v>1.028</v>
      </c>
      <c r="E20" s="847">
        <f t="shared" si="0"/>
        <v>0.84499999999999997</v>
      </c>
      <c r="F20" s="20">
        <f t="shared" si="1"/>
        <v>0.86699999999999999</v>
      </c>
      <c r="G20" s="848">
        <f t="shared" si="2"/>
        <v>0.873</v>
      </c>
    </row>
    <row r="21" spans="1:20" ht="14.25">
      <c r="A21" s="843">
        <v>1.9</v>
      </c>
      <c r="B21" s="844">
        <v>1.02</v>
      </c>
      <c r="C21" s="845">
        <v>1.0149999999999999</v>
      </c>
      <c r="D21" s="846">
        <v>1.014</v>
      </c>
      <c r="E21" s="847">
        <f t="shared" si="0"/>
        <v>0.82799999999999996</v>
      </c>
      <c r="F21" s="20">
        <f t="shared" si="1"/>
        <v>0.85399999999999998</v>
      </c>
      <c r="G21" s="848">
        <f t="shared" si="2"/>
        <v>0.86199999999999999</v>
      </c>
    </row>
    <row r="22" spans="1:20" ht="14.25">
      <c r="A22" s="843">
        <v>2</v>
      </c>
      <c r="B22" s="844">
        <v>1</v>
      </c>
      <c r="C22" s="845">
        <v>1</v>
      </c>
      <c r="D22" s="846">
        <v>1</v>
      </c>
      <c r="E22" s="847">
        <f t="shared" si="0"/>
        <v>0.81200000000000006</v>
      </c>
      <c r="F22" s="20">
        <f t="shared" si="1"/>
        <v>0.84099999999999997</v>
      </c>
      <c r="G22" s="848">
        <f t="shared" si="2"/>
        <v>0.85</v>
      </c>
    </row>
    <row r="23" spans="1:20" ht="14.25">
      <c r="A23" s="849">
        <v>2.1</v>
      </c>
      <c r="B23" s="850">
        <v>0.98</v>
      </c>
      <c r="C23" s="845">
        <v>0.98599999999999999</v>
      </c>
      <c r="D23" s="846">
        <v>0.98799999999999999</v>
      </c>
      <c r="E23" s="847">
        <f t="shared" si="0"/>
        <v>0.79500000000000004</v>
      </c>
      <c r="F23" s="20">
        <f t="shared" si="1"/>
        <v>0.82899999999999996</v>
      </c>
      <c r="G23" s="848">
        <f t="shared" si="2"/>
        <v>0.83899999999999997</v>
      </c>
      <c r="H23" s="851"/>
      <c r="I23" s="852"/>
      <c r="J23" s="852"/>
      <c r="K23" s="851"/>
      <c r="L23" s="851"/>
      <c r="M23" s="851"/>
      <c r="N23" s="851"/>
      <c r="O23" s="851"/>
      <c r="P23" s="851"/>
      <c r="Q23" s="852"/>
      <c r="R23" s="852"/>
      <c r="S23" s="851"/>
      <c r="T23" s="851"/>
    </row>
    <row r="24" spans="1:20" ht="14.25">
      <c r="A24" s="849">
        <v>2.2000000000000002</v>
      </c>
      <c r="B24" s="850">
        <v>0.96199999999999997</v>
      </c>
      <c r="C24" s="845">
        <v>0.97299999999999998</v>
      </c>
      <c r="D24" s="846">
        <v>0.97599999999999998</v>
      </c>
      <c r="E24" s="847">
        <f t="shared" si="0"/>
        <v>0.78100000000000003</v>
      </c>
      <c r="F24" s="20">
        <f t="shared" si="1"/>
        <v>0.81799999999999995</v>
      </c>
      <c r="G24" s="848">
        <f t="shared" si="2"/>
        <v>0.82899999999999996</v>
      </c>
      <c r="H24" s="851"/>
      <c r="I24" s="852"/>
      <c r="J24" s="852"/>
      <c r="K24" s="851"/>
      <c r="L24" s="851"/>
      <c r="M24" s="851"/>
      <c r="N24" s="851"/>
      <c r="O24" s="851"/>
      <c r="P24" s="851"/>
      <c r="Q24" s="852"/>
      <c r="R24" s="852"/>
      <c r="S24" s="851"/>
      <c r="T24" s="851"/>
    </row>
    <row r="25" spans="1:20" ht="14.25">
      <c r="A25" s="849">
        <v>2.2999999999999998</v>
      </c>
      <c r="B25" s="850">
        <v>0.94399999999999995</v>
      </c>
      <c r="C25" s="845">
        <v>0.96099999999999997</v>
      </c>
      <c r="D25" s="846">
        <v>0.96599999999999997</v>
      </c>
      <c r="E25" s="847">
        <f t="shared" si="0"/>
        <v>0.76600000000000001</v>
      </c>
      <c r="F25" s="20">
        <f t="shared" si="1"/>
        <v>0.80800000000000005</v>
      </c>
      <c r="G25" s="848">
        <f t="shared" si="2"/>
        <v>0.82099999999999995</v>
      </c>
      <c r="H25" s="851"/>
      <c r="I25" s="852"/>
      <c r="J25" s="852"/>
      <c r="K25" s="851"/>
      <c r="L25" s="851"/>
      <c r="M25" s="851"/>
      <c r="N25" s="851"/>
      <c r="O25" s="851"/>
      <c r="P25" s="851"/>
      <c r="Q25" s="852"/>
      <c r="R25" s="852"/>
      <c r="S25" s="851"/>
      <c r="T25" s="851"/>
    </row>
    <row r="26" spans="1:20" ht="14.25">
      <c r="A26" s="849">
        <v>2.4</v>
      </c>
      <c r="B26" s="850">
        <v>0.92600000000000005</v>
      </c>
      <c r="C26" s="845">
        <v>0.95</v>
      </c>
      <c r="D26" s="846">
        <v>0.95599999999999996</v>
      </c>
      <c r="E26" s="847">
        <f t="shared" si="0"/>
        <v>0.752</v>
      </c>
      <c r="F26" s="20">
        <f t="shared" si="1"/>
        <v>0.79900000000000004</v>
      </c>
      <c r="G26" s="848">
        <f t="shared" si="2"/>
        <v>0.81200000000000006</v>
      </c>
      <c r="H26" s="851"/>
      <c r="I26" s="852"/>
      <c r="J26" s="852"/>
      <c r="K26" s="851"/>
      <c r="L26" s="851"/>
      <c r="M26" s="851"/>
      <c r="N26" s="851"/>
      <c r="O26" s="851"/>
      <c r="P26" s="851"/>
      <c r="Q26" s="852"/>
      <c r="R26" s="852"/>
      <c r="S26" s="851"/>
      <c r="T26" s="851"/>
    </row>
    <row r="27" spans="1:20" ht="14.25">
      <c r="A27" s="849">
        <v>2.5</v>
      </c>
      <c r="B27" s="850">
        <v>0.91</v>
      </c>
      <c r="C27" s="845">
        <v>0.94</v>
      </c>
      <c r="D27" s="846">
        <v>0.94699999999999995</v>
      </c>
      <c r="E27" s="847">
        <f t="shared" si="0"/>
        <v>0.73899999999999999</v>
      </c>
      <c r="F27" s="20">
        <f t="shared" si="1"/>
        <v>0.79100000000000004</v>
      </c>
      <c r="G27" s="848">
        <f t="shared" si="2"/>
        <v>0.80500000000000005</v>
      </c>
      <c r="H27" s="851"/>
      <c r="I27" s="852"/>
      <c r="J27" s="852"/>
      <c r="K27" s="851"/>
      <c r="L27" s="851"/>
      <c r="M27" s="851"/>
      <c r="N27" s="851"/>
      <c r="O27" s="851"/>
      <c r="P27" s="851"/>
      <c r="Q27" s="852"/>
      <c r="R27" s="852"/>
      <c r="S27" s="851"/>
      <c r="T27" s="851"/>
    </row>
    <row r="28" spans="1:20" ht="14.25">
      <c r="A28" s="849">
        <v>2.6</v>
      </c>
      <c r="B28" s="850">
        <v>0.89400000000000002</v>
      </c>
      <c r="C28" s="845">
        <v>0.93100000000000005</v>
      </c>
      <c r="D28" s="846">
        <v>0.94</v>
      </c>
      <c r="E28" s="847">
        <f t="shared" si="0"/>
        <v>0.72599999999999998</v>
      </c>
      <c r="F28" s="20">
        <f t="shared" si="1"/>
        <v>0.78300000000000003</v>
      </c>
      <c r="G28" s="848">
        <f t="shared" si="2"/>
        <v>0.79900000000000004</v>
      </c>
      <c r="H28" s="851"/>
      <c r="I28" s="852"/>
      <c r="J28" s="852"/>
      <c r="K28" s="851"/>
      <c r="L28" s="851"/>
      <c r="M28" s="851"/>
      <c r="N28" s="851"/>
      <c r="O28" s="851"/>
      <c r="P28" s="851"/>
      <c r="Q28" s="852"/>
      <c r="R28" s="852"/>
      <c r="S28" s="851"/>
      <c r="T28" s="851"/>
    </row>
    <row r="29" spans="1:20" ht="14.25">
      <c r="A29" s="849">
        <v>2.7</v>
      </c>
      <c r="B29" s="850">
        <v>0.879</v>
      </c>
      <c r="C29" s="845">
        <v>0.92200000000000004</v>
      </c>
      <c r="D29" s="846">
        <v>0.93300000000000005</v>
      </c>
      <c r="E29" s="847">
        <f t="shared" si="0"/>
        <v>0.71299999999999997</v>
      </c>
      <c r="F29" s="20">
        <f t="shared" si="1"/>
        <v>0.77500000000000002</v>
      </c>
      <c r="G29" s="848">
        <f t="shared" si="2"/>
        <v>0.79300000000000004</v>
      </c>
      <c r="H29" s="851"/>
      <c r="I29" s="852"/>
      <c r="J29" s="852"/>
      <c r="K29" s="851"/>
      <c r="L29" s="851"/>
      <c r="M29" s="851"/>
      <c r="N29" s="851"/>
      <c r="O29" s="851"/>
      <c r="P29" s="851"/>
      <c r="Q29" s="852"/>
      <c r="R29" s="852"/>
      <c r="S29" s="851"/>
      <c r="T29" s="851"/>
    </row>
    <row r="30" spans="1:20" ht="14.25">
      <c r="A30" s="849">
        <v>2.8</v>
      </c>
      <c r="B30" s="850">
        <v>0.86399999999999999</v>
      </c>
      <c r="C30" s="845">
        <v>0.91500000000000004</v>
      </c>
      <c r="D30" s="846">
        <v>0.92700000000000005</v>
      </c>
      <c r="E30" s="847">
        <f t="shared" si="0"/>
        <v>0.70099999999999996</v>
      </c>
      <c r="F30" s="20">
        <f t="shared" si="1"/>
        <v>0.77</v>
      </c>
      <c r="G30" s="848">
        <f t="shared" si="2"/>
        <v>0.78800000000000003</v>
      </c>
      <c r="H30" s="851"/>
      <c r="I30" s="852"/>
      <c r="J30" s="852"/>
      <c r="K30" s="851"/>
      <c r="L30" s="851"/>
      <c r="M30" s="851"/>
      <c r="N30" s="851"/>
      <c r="O30" s="851"/>
      <c r="P30" s="851"/>
      <c r="Q30" s="852"/>
      <c r="R30" s="852"/>
      <c r="S30" s="851"/>
      <c r="T30" s="851"/>
    </row>
    <row r="31" spans="1:20" ht="14.25">
      <c r="A31" s="849">
        <v>2.9</v>
      </c>
      <c r="B31" s="850">
        <v>0.85</v>
      </c>
      <c r="C31" s="845">
        <v>0.90800000000000003</v>
      </c>
      <c r="D31" s="846">
        <v>0.92200000000000004</v>
      </c>
      <c r="E31" s="847">
        <f t="shared" si="0"/>
        <v>0.69</v>
      </c>
      <c r="F31" s="20">
        <f t="shared" si="1"/>
        <v>0.76400000000000001</v>
      </c>
      <c r="G31" s="848">
        <f t="shared" si="2"/>
        <v>0.78300000000000003</v>
      </c>
      <c r="H31" s="851"/>
      <c r="I31" s="852"/>
      <c r="J31" s="852"/>
      <c r="K31" s="851"/>
      <c r="L31" s="851"/>
      <c r="M31" s="851"/>
      <c r="N31" s="851"/>
      <c r="O31" s="851"/>
      <c r="P31" s="851"/>
      <c r="Q31" s="852"/>
      <c r="R31" s="852"/>
      <c r="S31" s="851"/>
      <c r="T31" s="851"/>
    </row>
    <row r="32" spans="1:20" ht="14.25">
      <c r="A32" s="849">
        <v>3</v>
      </c>
      <c r="B32" s="850">
        <v>0.83699999999999997</v>
      </c>
      <c r="C32" s="845">
        <v>0.90300000000000002</v>
      </c>
      <c r="D32" s="846">
        <v>0.91800000000000004</v>
      </c>
      <c r="E32" s="847">
        <f t="shared" si="0"/>
        <v>0.67900000000000005</v>
      </c>
      <c r="F32" s="20">
        <f t="shared" si="1"/>
        <v>0.75900000000000001</v>
      </c>
      <c r="G32" s="848">
        <f t="shared" si="2"/>
        <v>0.78</v>
      </c>
      <c r="H32" s="851"/>
      <c r="I32" s="852"/>
      <c r="J32" s="852"/>
      <c r="K32" s="851"/>
      <c r="L32" s="851"/>
      <c r="M32" s="851"/>
      <c r="N32" s="851"/>
      <c r="O32" s="851"/>
      <c r="P32" s="851"/>
      <c r="Q32" s="852"/>
      <c r="R32" s="852"/>
      <c r="S32" s="851"/>
      <c r="T32" s="851"/>
    </row>
    <row r="33" spans="1:20" ht="14.25">
      <c r="A33" s="849">
        <v>3.1</v>
      </c>
      <c r="B33" s="850">
        <v>0.82499999999999996</v>
      </c>
      <c r="C33" s="845">
        <v>0.89800000000000002</v>
      </c>
      <c r="D33" s="846">
        <v>0.91500000000000004</v>
      </c>
      <c r="E33" s="847">
        <f t="shared" si="0"/>
        <v>0.67</v>
      </c>
      <c r="F33" s="20">
        <f t="shared" si="1"/>
        <v>0.755</v>
      </c>
      <c r="G33" s="848">
        <f t="shared" si="2"/>
        <v>0.77700000000000002</v>
      </c>
      <c r="H33" s="851"/>
      <c r="I33" s="852"/>
      <c r="J33" s="852"/>
      <c r="K33" s="851"/>
      <c r="L33" s="851"/>
      <c r="M33" s="851"/>
      <c r="N33" s="851"/>
      <c r="O33" s="851"/>
      <c r="P33" s="851"/>
      <c r="Q33" s="852"/>
      <c r="R33" s="852"/>
      <c r="S33" s="851"/>
      <c r="T33" s="851"/>
    </row>
    <row r="34" spans="1:20" ht="14.25">
      <c r="A34" s="849">
        <v>3.2</v>
      </c>
      <c r="B34" s="850">
        <v>0.81299999999999994</v>
      </c>
      <c r="C34" s="845">
        <v>0.89400000000000002</v>
      </c>
      <c r="D34" s="846">
        <v>0.91300000000000003</v>
      </c>
      <c r="E34" s="847">
        <f t="shared" si="0"/>
        <v>0.66</v>
      </c>
      <c r="F34" s="20">
        <f t="shared" si="1"/>
        <v>0.752</v>
      </c>
      <c r="G34" s="848">
        <f t="shared" si="2"/>
        <v>0.77600000000000002</v>
      </c>
      <c r="H34" s="851"/>
      <c r="I34" s="852"/>
      <c r="J34" s="852"/>
      <c r="K34" s="851"/>
      <c r="L34" s="851"/>
      <c r="M34" s="851"/>
      <c r="N34" s="851"/>
      <c r="O34" s="851"/>
      <c r="P34" s="851"/>
      <c r="Q34" s="852"/>
      <c r="R34" s="852"/>
      <c r="S34" s="851"/>
      <c r="T34" s="851"/>
    </row>
    <row r="35" spans="1:20" ht="14.25">
      <c r="A35" s="849">
        <v>3.3</v>
      </c>
      <c r="B35" s="850">
        <v>0.80200000000000005</v>
      </c>
      <c r="C35" s="845">
        <v>0.89100000000000001</v>
      </c>
      <c r="D35" s="846">
        <v>0.91200000000000003</v>
      </c>
      <c r="E35" s="847">
        <f t="shared" si="0"/>
        <v>0.65100000000000002</v>
      </c>
      <c r="F35" s="20">
        <f t="shared" si="1"/>
        <v>0.749</v>
      </c>
      <c r="G35" s="848">
        <f t="shared" si="2"/>
        <v>0.77500000000000002</v>
      </c>
      <c r="H35" s="851"/>
      <c r="I35" s="852"/>
      <c r="J35" s="852"/>
      <c r="K35" s="851"/>
      <c r="L35" s="851"/>
      <c r="M35" s="851"/>
      <c r="N35" s="851"/>
      <c r="O35" s="851"/>
      <c r="P35" s="851"/>
      <c r="Q35" s="852"/>
      <c r="R35" s="852"/>
      <c r="S35" s="851"/>
      <c r="T35" s="851"/>
    </row>
    <row r="36" spans="1:20" ht="14.25">
      <c r="A36" s="849">
        <v>3.4</v>
      </c>
      <c r="B36" s="850">
        <v>0.79100000000000004</v>
      </c>
      <c r="C36" s="845">
        <v>0.88900000000000001</v>
      </c>
      <c r="D36" s="846">
        <v>0.91200000000000003</v>
      </c>
      <c r="E36" s="847">
        <f t="shared" si="0"/>
        <v>0.64200000000000002</v>
      </c>
      <c r="F36" s="20">
        <f t="shared" si="1"/>
        <v>0.748</v>
      </c>
      <c r="G36" s="848">
        <f t="shared" si="2"/>
        <v>0.77500000000000002</v>
      </c>
      <c r="H36" s="851"/>
      <c r="I36" s="852"/>
      <c r="J36" s="852"/>
      <c r="K36" s="851"/>
      <c r="L36" s="851"/>
      <c r="M36" s="851"/>
      <c r="N36" s="851"/>
      <c r="O36" s="851"/>
      <c r="P36" s="851"/>
      <c r="Q36" s="852"/>
      <c r="R36" s="852"/>
      <c r="S36" s="851"/>
      <c r="T36" s="851"/>
    </row>
    <row r="37" spans="1:20" ht="14.25">
      <c r="A37" s="849">
        <v>3.5</v>
      </c>
      <c r="B37" s="850">
        <v>0.78200000000000003</v>
      </c>
      <c r="C37" s="845">
        <v>0.88800000000000001</v>
      </c>
      <c r="D37" s="846">
        <v>0.91200000000000003</v>
      </c>
      <c r="E37" s="847">
        <f t="shared" si="0"/>
        <v>0.63500000000000001</v>
      </c>
      <c r="F37" s="20">
        <f t="shared" si="1"/>
        <v>0.747</v>
      </c>
      <c r="G37" s="848">
        <f t="shared" si="2"/>
        <v>0.77500000000000002</v>
      </c>
      <c r="H37" s="851"/>
      <c r="I37" s="852"/>
      <c r="J37" s="852"/>
      <c r="K37" s="851"/>
      <c r="L37" s="851"/>
      <c r="M37" s="851"/>
      <c r="N37" s="851"/>
      <c r="O37" s="851"/>
      <c r="P37" s="851"/>
      <c r="Q37" s="852"/>
      <c r="R37" s="852"/>
      <c r="S37" s="851"/>
      <c r="T37" s="851"/>
    </row>
    <row r="38" spans="1:20" ht="14.25">
      <c r="A38" s="849">
        <v>3.6</v>
      </c>
      <c r="B38" s="850">
        <v>0.77300000000000002</v>
      </c>
      <c r="C38" s="845">
        <v>0.88800000000000001</v>
      </c>
      <c r="D38" s="846">
        <v>0.91400000000000003</v>
      </c>
      <c r="E38" s="847">
        <f t="shared" si="0"/>
        <v>0.627</v>
      </c>
      <c r="F38" s="20">
        <f t="shared" si="1"/>
        <v>0.747</v>
      </c>
      <c r="G38" s="848">
        <f t="shared" si="2"/>
        <v>0.77700000000000002</v>
      </c>
      <c r="H38" s="851"/>
      <c r="I38" s="852"/>
      <c r="J38" s="852"/>
      <c r="K38" s="851"/>
      <c r="L38" s="851"/>
      <c r="M38" s="851"/>
      <c r="N38" s="851"/>
      <c r="O38" s="851"/>
      <c r="P38" s="851"/>
      <c r="Q38" s="852"/>
      <c r="R38" s="852"/>
      <c r="S38" s="851"/>
      <c r="T38" s="851"/>
    </row>
    <row r="39" spans="1:20" ht="14.25">
      <c r="A39" s="849">
        <v>3.7</v>
      </c>
      <c r="B39" s="850">
        <v>0.76400000000000001</v>
      </c>
      <c r="C39" s="845">
        <v>0.88900000000000001</v>
      </c>
      <c r="D39" s="846">
        <v>0.91700000000000004</v>
      </c>
      <c r="E39" s="847">
        <f t="shared" si="0"/>
        <v>0.62</v>
      </c>
      <c r="F39" s="20">
        <f t="shared" si="1"/>
        <v>0.748</v>
      </c>
      <c r="G39" s="848">
        <f t="shared" si="2"/>
        <v>0.77900000000000003</v>
      </c>
      <c r="H39" s="851"/>
      <c r="I39" s="852"/>
      <c r="J39" s="852"/>
      <c r="K39" s="851"/>
      <c r="L39" s="851"/>
      <c r="M39" s="851"/>
      <c r="N39" s="851"/>
      <c r="O39" s="851"/>
      <c r="P39" s="851"/>
      <c r="Q39" s="852"/>
      <c r="R39" s="852"/>
      <c r="S39" s="851"/>
      <c r="T39" s="851"/>
    </row>
    <row r="40" spans="1:20" ht="14.25">
      <c r="A40" s="849">
        <v>3.8</v>
      </c>
      <c r="B40" s="850">
        <v>0.75700000000000001</v>
      </c>
      <c r="C40" s="845">
        <v>0.89</v>
      </c>
      <c r="D40" s="846">
        <v>0.92</v>
      </c>
      <c r="E40" s="847">
        <f t="shared" si="0"/>
        <v>0.61399999999999999</v>
      </c>
      <c r="F40" s="20">
        <f t="shared" si="1"/>
        <v>0.749</v>
      </c>
      <c r="G40" s="848">
        <f t="shared" si="2"/>
        <v>0.78200000000000003</v>
      </c>
      <c r="H40" s="851"/>
      <c r="I40" s="852"/>
      <c r="J40" s="852"/>
      <c r="K40" s="851"/>
      <c r="L40" s="851"/>
      <c r="M40" s="851"/>
      <c r="N40" s="851"/>
      <c r="O40" s="851"/>
      <c r="P40" s="851"/>
      <c r="Q40" s="852"/>
      <c r="R40" s="852"/>
      <c r="S40" s="851"/>
      <c r="T40" s="851"/>
    </row>
    <row r="41" spans="1:20" ht="14.25">
      <c r="A41" s="849">
        <v>3.9</v>
      </c>
      <c r="B41" s="850">
        <v>0.75</v>
      </c>
      <c r="C41" s="845">
        <v>0.89300000000000002</v>
      </c>
      <c r="D41" s="846">
        <v>0.92500000000000004</v>
      </c>
      <c r="E41" s="847">
        <f t="shared" si="0"/>
        <v>0.60899999999999999</v>
      </c>
      <c r="F41" s="20">
        <f t="shared" si="1"/>
        <v>0.751</v>
      </c>
      <c r="G41" s="848">
        <f t="shared" si="2"/>
        <v>0.78600000000000003</v>
      </c>
      <c r="H41" s="851"/>
      <c r="I41" s="852"/>
      <c r="J41" s="852"/>
      <c r="K41" s="851"/>
      <c r="L41" s="851"/>
      <c r="M41" s="851"/>
      <c r="N41" s="851"/>
      <c r="O41" s="851"/>
      <c r="P41" s="851"/>
      <c r="Q41" s="852"/>
      <c r="R41" s="852"/>
      <c r="S41" s="851"/>
      <c r="T41" s="851"/>
    </row>
    <row r="42" spans="1:20" ht="14.25">
      <c r="A42" s="849">
        <v>4</v>
      </c>
      <c r="B42" s="850">
        <v>0.74299999999999999</v>
      </c>
      <c r="C42" s="845">
        <v>0.89600000000000002</v>
      </c>
      <c r="D42" s="846">
        <v>0.93100000000000005</v>
      </c>
      <c r="E42" s="847">
        <f t="shared" si="0"/>
        <v>0.60299999999999998</v>
      </c>
      <c r="F42" s="20">
        <f t="shared" si="1"/>
        <v>0.754</v>
      </c>
      <c r="G42" s="848">
        <f t="shared" si="2"/>
        <v>0.79100000000000004</v>
      </c>
      <c r="H42" s="851"/>
      <c r="I42" s="852"/>
      <c r="J42" s="852"/>
      <c r="K42" s="851"/>
      <c r="L42" s="851"/>
      <c r="M42" s="851"/>
      <c r="N42" s="851"/>
      <c r="O42" s="851"/>
      <c r="P42" s="851"/>
      <c r="Q42" s="852"/>
      <c r="R42" s="852"/>
      <c r="S42" s="851"/>
      <c r="T42" s="851"/>
    </row>
    <row r="43" spans="1:20" ht="14.25">
      <c r="A43" s="843">
        <v>4.0999999999999996</v>
      </c>
      <c r="B43" s="844">
        <v>0.73899999999999999</v>
      </c>
      <c r="C43" s="845">
        <v>0.89300000000000002</v>
      </c>
      <c r="D43" s="846">
        <v>0.92800000000000005</v>
      </c>
      <c r="E43" s="847">
        <f t="shared" si="0"/>
        <v>0.6</v>
      </c>
      <c r="F43" s="20">
        <f t="shared" si="1"/>
        <v>0.751</v>
      </c>
      <c r="G43" s="848">
        <f t="shared" si="2"/>
        <v>0.78800000000000003</v>
      </c>
      <c r="H43" s="851"/>
      <c r="I43" s="852"/>
      <c r="J43" s="852"/>
      <c r="K43" s="851"/>
      <c r="L43" s="851"/>
      <c r="M43" s="851"/>
      <c r="N43" s="851"/>
      <c r="O43" s="851"/>
      <c r="P43" s="851"/>
      <c r="Q43" s="852"/>
      <c r="R43" s="852"/>
      <c r="S43" s="851"/>
      <c r="T43" s="851"/>
    </row>
    <row r="44" spans="1:20" ht="14.25">
      <c r="A44" s="843">
        <v>4.2</v>
      </c>
      <c r="B44" s="844">
        <v>0.73499999999999999</v>
      </c>
      <c r="C44" s="845">
        <v>0.89</v>
      </c>
      <c r="D44" s="846">
        <v>0.92600000000000005</v>
      </c>
      <c r="E44" s="847">
        <f t="shared" si="0"/>
        <v>0.59699999999999998</v>
      </c>
      <c r="F44" s="20">
        <f t="shared" si="1"/>
        <v>0.749</v>
      </c>
      <c r="G44" s="848">
        <f t="shared" si="2"/>
        <v>0.78700000000000003</v>
      </c>
      <c r="H44" s="851"/>
      <c r="I44" s="852"/>
      <c r="J44" s="852"/>
      <c r="K44" s="851"/>
      <c r="L44" s="851"/>
      <c r="M44" s="851"/>
      <c r="N44" s="851"/>
      <c r="O44" s="851"/>
      <c r="P44" s="851"/>
      <c r="Q44" s="852"/>
      <c r="R44" s="852"/>
      <c r="S44" s="851"/>
      <c r="T44" s="851"/>
    </row>
    <row r="45" spans="1:20" ht="14.25">
      <c r="A45" s="843">
        <v>4.3</v>
      </c>
      <c r="B45" s="844">
        <v>0.73199999999999998</v>
      </c>
      <c r="C45" s="845">
        <v>0.88700000000000001</v>
      </c>
      <c r="D45" s="846">
        <v>0.92400000000000004</v>
      </c>
      <c r="E45" s="847">
        <f t="shared" si="0"/>
        <v>0.59399999999999997</v>
      </c>
      <c r="F45" s="20">
        <f t="shared" si="1"/>
        <v>0.746</v>
      </c>
      <c r="G45" s="848">
        <f t="shared" si="2"/>
        <v>0.78500000000000003</v>
      </c>
      <c r="H45" s="851"/>
      <c r="I45" s="852"/>
      <c r="J45" s="852"/>
      <c r="K45" s="851"/>
      <c r="L45" s="851"/>
      <c r="M45" s="851"/>
      <c r="N45" s="851"/>
      <c r="O45" s="851"/>
      <c r="P45" s="851"/>
      <c r="Q45" s="852"/>
      <c r="R45" s="852"/>
      <c r="S45" s="851"/>
      <c r="T45" s="851"/>
    </row>
    <row r="46" spans="1:20" ht="14.25">
      <c r="A46" s="843">
        <v>4.4000000000000004</v>
      </c>
      <c r="B46" s="844">
        <v>0.72799999999999998</v>
      </c>
      <c r="C46" s="845">
        <v>0.88500000000000001</v>
      </c>
      <c r="D46" s="846">
        <v>0.92200000000000004</v>
      </c>
      <c r="E46" s="847">
        <f t="shared" si="0"/>
        <v>0.59099999999999997</v>
      </c>
      <c r="F46" s="20">
        <f t="shared" si="1"/>
        <v>0.74399999999999999</v>
      </c>
      <c r="G46" s="848">
        <f t="shared" si="2"/>
        <v>0.78300000000000003</v>
      </c>
      <c r="H46" s="851"/>
      <c r="I46" s="852"/>
      <c r="J46" s="852"/>
      <c r="K46" s="851"/>
      <c r="L46" s="851"/>
      <c r="M46" s="851"/>
      <c r="N46" s="851"/>
      <c r="O46" s="851"/>
      <c r="P46" s="851"/>
      <c r="Q46" s="852"/>
      <c r="R46" s="852"/>
      <c r="S46" s="851"/>
      <c r="T46" s="851"/>
    </row>
    <row r="47" spans="1:20" ht="14.25">
      <c r="A47" s="843">
        <v>4.5</v>
      </c>
      <c r="B47" s="844">
        <v>0.72399999999999998</v>
      </c>
      <c r="C47" s="845">
        <v>0.88200000000000001</v>
      </c>
      <c r="D47" s="846">
        <v>0.91900000000000004</v>
      </c>
      <c r="E47" s="847">
        <f t="shared" si="0"/>
        <v>0.58799999999999997</v>
      </c>
      <c r="F47" s="20">
        <f t="shared" si="1"/>
        <v>0.74199999999999999</v>
      </c>
      <c r="G47" s="848">
        <f t="shared" si="2"/>
        <v>0.78100000000000003</v>
      </c>
      <c r="H47" s="851"/>
      <c r="I47" s="852"/>
      <c r="J47" s="852"/>
      <c r="K47" s="851"/>
      <c r="L47" s="851"/>
      <c r="M47" s="851"/>
      <c r="N47" s="851"/>
      <c r="O47" s="851"/>
      <c r="P47" s="851"/>
      <c r="Q47" s="852"/>
      <c r="R47" s="852"/>
      <c r="S47" s="851"/>
      <c r="T47" s="851"/>
    </row>
    <row r="48" spans="1:20" ht="14.25">
      <c r="A48" s="843">
        <v>4.5999999999999996</v>
      </c>
      <c r="B48" s="844">
        <v>0.72</v>
      </c>
      <c r="C48" s="845">
        <v>0.879</v>
      </c>
      <c r="D48" s="846">
        <v>0.91700000000000004</v>
      </c>
      <c r="E48" s="847">
        <f t="shared" si="0"/>
        <v>0.58399999999999996</v>
      </c>
      <c r="F48" s="20">
        <f t="shared" si="1"/>
        <v>0.73899999999999999</v>
      </c>
      <c r="G48" s="848">
        <f t="shared" si="2"/>
        <v>0.77900000000000003</v>
      </c>
      <c r="H48" s="851"/>
      <c r="I48" s="852"/>
      <c r="J48" s="852"/>
      <c r="K48" s="851"/>
      <c r="L48" s="851"/>
      <c r="M48" s="851"/>
      <c r="N48" s="851"/>
      <c r="O48" s="851"/>
      <c r="P48" s="851"/>
      <c r="Q48" s="852"/>
      <c r="R48" s="852"/>
      <c r="S48" s="851"/>
      <c r="T48" s="851"/>
    </row>
    <row r="49" spans="1:20" ht="14.25">
      <c r="A49" s="843">
        <v>4.7</v>
      </c>
      <c r="B49" s="844">
        <v>0.71699999999999997</v>
      </c>
      <c r="C49" s="845">
        <v>0.876</v>
      </c>
      <c r="D49" s="846">
        <v>0.91500000000000004</v>
      </c>
      <c r="E49" s="847">
        <f t="shared" si="0"/>
        <v>0.58199999999999996</v>
      </c>
      <c r="F49" s="20">
        <f t="shared" si="1"/>
        <v>0.73699999999999999</v>
      </c>
      <c r="G49" s="848">
        <f t="shared" si="2"/>
        <v>0.77700000000000002</v>
      </c>
      <c r="H49" s="851"/>
      <c r="I49" s="852"/>
      <c r="J49" s="852"/>
      <c r="K49" s="851"/>
      <c r="L49" s="851"/>
      <c r="M49" s="851"/>
      <c r="N49" s="851"/>
      <c r="O49" s="851"/>
      <c r="P49" s="851"/>
      <c r="Q49" s="852"/>
      <c r="R49" s="852"/>
      <c r="S49" s="851"/>
      <c r="T49" s="851"/>
    </row>
    <row r="50" spans="1:20" ht="14.25">
      <c r="A50" s="843">
        <v>4.8</v>
      </c>
      <c r="B50" s="844">
        <v>0.71299999999999997</v>
      </c>
      <c r="C50" s="845">
        <v>0.874</v>
      </c>
      <c r="D50" s="846">
        <v>0.91300000000000003</v>
      </c>
      <c r="E50" s="847">
        <f t="shared" si="0"/>
        <v>0.57899999999999996</v>
      </c>
      <c r="F50" s="20">
        <f t="shared" si="1"/>
        <v>0.73499999999999999</v>
      </c>
      <c r="G50" s="848">
        <f t="shared" si="2"/>
        <v>0.77600000000000002</v>
      </c>
      <c r="H50" s="851"/>
      <c r="I50" s="852"/>
      <c r="J50" s="852"/>
      <c r="K50" s="851"/>
      <c r="L50" s="851"/>
      <c r="M50" s="851"/>
      <c r="N50" s="851"/>
      <c r="O50" s="851"/>
      <c r="P50" s="851"/>
      <c r="Q50" s="852"/>
      <c r="R50" s="852"/>
      <c r="S50" s="851"/>
      <c r="T50" s="851"/>
    </row>
    <row r="51" spans="1:20" ht="14.25">
      <c r="A51" s="843">
        <v>4.9000000000000004</v>
      </c>
      <c r="B51" s="844">
        <v>0.70899999999999996</v>
      </c>
      <c r="C51" s="845">
        <v>0.871</v>
      </c>
      <c r="D51" s="846">
        <v>0.91100000000000003</v>
      </c>
      <c r="E51" s="847">
        <f t="shared" si="0"/>
        <v>0.57499999999999996</v>
      </c>
      <c r="F51" s="20">
        <f t="shared" si="1"/>
        <v>0.73299999999999998</v>
      </c>
      <c r="G51" s="848">
        <f t="shared" si="2"/>
        <v>0.77400000000000002</v>
      </c>
      <c r="H51" s="851"/>
      <c r="I51" s="852"/>
      <c r="J51" s="852"/>
      <c r="K51" s="851"/>
      <c r="L51" s="851"/>
      <c r="M51" s="851"/>
      <c r="N51" s="851"/>
      <c r="O51" s="851"/>
      <c r="P51" s="851"/>
      <c r="Q51" s="852"/>
      <c r="R51" s="852"/>
      <c r="S51" s="851"/>
      <c r="T51" s="851"/>
    </row>
    <row r="52" spans="1:20" ht="14.25">
      <c r="A52" s="843">
        <v>5</v>
      </c>
      <c r="B52" s="844">
        <v>0.70599999999999996</v>
      </c>
      <c r="C52" s="845">
        <v>0.86799999999999999</v>
      </c>
      <c r="D52" s="846">
        <v>0.90900000000000003</v>
      </c>
      <c r="E52" s="847">
        <f t="shared" si="0"/>
        <v>0.57299999999999995</v>
      </c>
      <c r="F52" s="20">
        <f t="shared" si="1"/>
        <v>0.73</v>
      </c>
      <c r="G52" s="848">
        <f t="shared" si="2"/>
        <v>0.77200000000000002</v>
      </c>
      <c r="H52" s="851"/>
      <c r="I52" s="852"/>
      <c r="J52" s="852"/>
      <c r="K52" s="851"/>
      <c r="L52" s="851"/>
      <c r="M52" s="851"/>
      <c r="N52" s="851"/>
      <c r="O52" s="851"/>
      <c r="P52" s="851"/>
      <c r="Q52" s="852"/>
      <c r="R52" s="852"/>
      <c r="S52" s="851"/>
      <c r="T52" s="851"/>
    </row>
    <row r="53" spans="1:20" ht="14.25">
      <c r="A53" s="843">
        <v>5.0999999999999996</v>
      </c>
      <c r="B53" s="844">
        <v>0.70199999999999996</v>
      </c>
      <c r="C53" s="845">
        <v>0.86499999999999999</v>
      </c>
      <c r="D53" s="846">
        <v>0.90600000000000003</v>
      </c>
      <c r="E53" s="847">
        <f t="shared" si="0"/>
        <v>0.56999999999999995</v>
      </c>
      <c r="F53" s="20">
        <f t="shared" si="1"/>
        <v>0.72799999999999998</v>
      </c>
      <c r="G53" s="848">
        <f t="shared" si="2"/>
        <v>0.77</v>
      </c>
      <c r="H53" s="851"/>
      <c r="I53" s="852"/>
      <c r="J53" s="852"/>
      <c r="K53" s="851"/>
      <c r="L53" s="851"/>
      <c r="M53" s="851"/>
      <c r="N53" s="851"/>
      <c r="O53" s="851"/>
      <c r="P53" s="851"/>
      <c r="Q53" s="852"/>
      <c r="R53" s="852"/>
      <c r="S53" s="851"/>
      <c r="T53" s="851"/>
    </row>
    <row r="54" spans="1:20" ht="14.25">
      <c r="A54" s="843">
        <v>5.2</v>
      </c>
      <c r="B54" s="844">
        <v>0.69799999999999995</v>
      </c>
      <c r="C54" s="845">
        <v>0.86199999999999999</v>
      </c>
      <c r="D54" s="846">
        <v>0.90400000000000003</v>
      </c>
      <c r="E54" s="847">
        <f t="shared" si="0"/>
        <v>0.56699999999999995</v>
      </c>
      <c r="F54" s="20">
        <f t="shared" si="1"/>
        <v>0.72499999999999998</v>
      </c>
      <c r="G54" s="848">
        <f t="shared" si="2"/>
        <v>0.76800000000000002</v>
      </c>
      <c r="H54" s="851"/>
      <c r="I54" s="852"/>
      <c r="J54" s="852"/>
      <c r="K54" s="851"/>
      <c r="L54" s="851"/>
      <c r="M54" s="851"/>
      <c r="N54" s="851"/>
      <c r="O54" s="851"/>
      <c r="P54" s="851"/>
      <c r="Q54" s="852"/>
      <c r="R54" s="852"/>
      <c r="S54" s="851"/>
      <c r="T54" s="851"/>
    </row>
    <row r="55" spans="1:20" ht="14.25">
      <c r="A55" s="843">
        <v>5.3</v>
      </c>
      <c r="B55" s="844">
        <v>0.69399999999999995</v>
      </c>
      <c r="C55" s="845">
        <v>0.86</v>
      </c>
      <c r="D55" s="846">
        <v>0.90200000000000002</v>
      </c>
      <c r="E55" s="847">
        <f t="shared" si="0"/>
        <v>0.56299999999999994</v>
      </c>
      <c r="F55" s="20">
        <f t="shared" si="1"/>
        <v>0.72299999999999998</v>
      </c>
      <c r="G55" s="848">
        <f t="shared" si="2"/>
        <v>0.76600000000000001</v>
      </c>
      <c r="H55" s="851"/>
      <c r="I55" s="852"/>
      <c r="J55" s="852"/>
      <c r="K55" s="851"/>
      <c r="L55" s="851"/>
      <c r="M55" s="851"/>
      <c r="N55" s="851"/>
      <c r="O55" s="851"/>
      <c r="P55" s="851"/>
      <c r="Q55" s="852"/>
      <c r="R55" s="852"/>
      <c r="S55" s="851"/>
      <c r="T55" s="851"/>
    </row>
    <row r="56" spans="1:20" ht="14.25">
      <c r="A56" s="843">
        <v>5.4</v>
      </c>
      <c r="B56" s="844">
        <v>0.69099999999999995</v>
      </c>
      <c r="C56" s="845">
        <v>0.85699999999999998</v>
      </c>
      <c r="D56" s="846">
        <v>0.9</v>
      </c>
      <c r="E56" s="847">
        <f t="shared" si="0"/>
        <v>0.56100000000000005</v>
      </c>
      <c r="F56" s="20">
        <f t="shared" si="1"/>
        <v>0.72099999999999997</v>
      </c>
      <c r="G56" s="848">
        <f t="shared" si="2"/>
        <v>0.76500000000000001</v>
      </c>
      <c r="H56" s="851"/>
      <c r="I56" s="852"/>
      <c r="J56" s="852"/>
      <c r="K56" s="851"/>
      <c r="L56" s="851"/>
      <c r="M56" s="851"/>
      <c r="N56" s="851"/>
      <c r="O56" s="851"/>
      <c r="P56" s="851"/>
      <c r="Q56" s="852"/>
      <c r="R56" s="852"/>
      <c r="S56" s="851"/>
      <c r="T56" s="851"/>
    </row>
    <row r="57" spans="1:20" ht="14.25">
      <c r="A57" s="843">
        <v>5.5</v>
      </c>
      <c r="B57" s="844">
        <v>0.68700000000000006</v>
      </c>
      <c r="C57" s="845">
        <v>0.85399999999999998</v>
      </c>
      <c r="D57" s="846">
        <v>0.89800000000000002</v>
      </c>
      <c r="E57" s="847">
        <f t="shared" si="0"/>
        <v>0.55800000000000005</v>
      </c>
      <c r="F57" s="20">
        <f t="shared" si="1"/>
        <v>0.71799999999999997</v>
      </c>
      <c r="G57" s="848">
        <f t="shared" si="2"/>
        <v>0.76300000000000001</v>
      </c>
      <c r="H57" s="851"/>
      <c r="I57" s="852"/>
      <c r="J57" s="852"/>
      <c r="K57" s="851"/>
      <c r="L57" s="851"/>
      <c r="M57" s="851"/>
      <c r="N57" s="851"/>
      <c r="O57" s="851"/>
      <c r="P57" s="851"/>
      <c r="Q57" s="852"/>
      <c r="R57" s="852"/>
      <c r="S57" s="851"/>
      <c r="T57" s="851"/>
    </row>
    <row r="58" spans="1:20" ht="14.25">
      <c r="A58" s="843">
        <v>5.6</v>
      </c>
      <c r="B58" s="844">
        <v>0.68300000000000005</v>
      </c>
      <c r="C58" s="845">
        <v>0.85099999999999998</v>
      </c>
      <c r="D58" s="846">
        <v>0.89500000000000002</v>
      </c>
      <c r="E58" s="847">
        <f t="shared" si="0"/>
        <v>0.55400000000000005</v>
      </c>
      <c r="F58" s="20">
        <f t="shared" si="1"/>
        <v>0.71599999999999997</v>
      </c>
      <c r="G58" s="848">
        <f t="shared" si="2"/>
        <v>0.76</v>
      </c>
      <c r="H58" s="851"/>
      <c r="I58" s="852"/>
      <c r="J58" s="852"/>
      <c r="K58" s="851"/>
      <c r="L58" s="851"/>
      <c r="M58" s="851"/>
      <c r="N58" s="851"/>
      <c r="O58" s="851"/>
      <c r="P58" s="851"/>
      <c r="Q58" s="852"/>
      <c r="R58" s="852"/>
      <c r="S58" s="851"/>
      <c r="T58" s="851"/>
    </row>
    <row r="59" spans="1:20" ht="14.25">
      <c r="A59" s="843">
        <v>5.7</v>
      </c>
      <c r="B59" s="844">
        <v>0.67900000000000005</v>
      </c>
      <c r="C59" s="845">
        <v>0.84899999999999998</v>
      </c>
      <c r="D59" s="846">
        <v>0.89300000000000002</v>
      </c>
      <c r="E59" s="847">
        <f t="shared" si="0"/>
        <v>0.55100000000000005</v>
      </c>
      <c r="F59" s="20">
        <f t="shared" si="1"/>
        <v>0.71399999999999997</v>
      </c>
      <c r="G59" s="848">
        <f t="shared" si="2"/>
        <v>0.75900000000000001</v>
      </c>
      <c r="H59" s="851"/>
      <c r="I59" s="852"/>
      <c r="J59" s="852"/>
      <c r="K59" s="851"/>
      <c r="L59" s="851"/>
      <c r="M59" s="851"/>
      <c r="N59" s="851"/>
      <c r="O59" s="851"/>
      <c r="P59" s="851"/>
      <c r="Q59" s="852"/>
      <c r="R59" s="852"/>
      <c r="S59" s="851"/>
      <c r="T59" s="851"/>
    </row>
    <row r="60" spans="1:20" ht="14.25">
      <c r="A60" s="843">
        <v>5.8</v>
      </c>
      <c r="B60" s="844">
        <v>0.67600000000000005</v>
      </c>
      <c r="C60" s="845">
        <v>0.84599999999999997</v>
      </c>
      <c r="D60" s="846">
        <v>0.89100000000000001</v>
      </c>
      <c r="E60" s="847">
        <f t="shared" si="0"/>
        <v>0.54900000000000004</v>
      </c>
      <c r="F60" s="20">
        <f t="shared" si="1"/>
        <v>0.71199999999999997</v>
      </c>
      <c r="G60" s="848">
        <f t="shared" si="2"/>
        <v>0.75700000000000001</v>
      </c>
      <c r="H60" s="851"/>
      <c r="I60" s="852"/>
      <c r="J60" s="852"/>
      <c r="K60" s="851"/>
      <c r="L60" s="851"/>
      <c r="M60" s="851"/>
      <c r="N60" s="851"/>
      <c r="O60" s="851"/>
      <c r="P60" s="851"/>
      <c r="Q60" s="852"/>
      <c r="R60" s="852"/>
      <c r="S60" s="851"/>
      <c r="T60" s="851"/>
    </row>
    <row r="61" spans="1:20" ht="14.25">
      <c r="A61" s="843">
        <v>5.9</v>
      </c>
      <c r="B61" s="844">
        <v>0.67200000000000004</v>
      </c>
      <c r="C61" s="845">
        <v>0.84299999999999997</v>
      </c>
      <c r="D61" s="846">
        <v>0.88900000000000001</v>
      </c>
      <c r="E61" s="847">
        <f t="shared" si="0"/>
        <v>0.54500000000000004</v>
      </c>
      <c r="F61" s="20">
        <f t="shared" si="1"/>
        <v>0.70899999999999996</v>
      </c>
      <c r="G61" s="848">
        <f t="shared" si="2"/>
        <v>0.755</v>
      </c>
      <c r="H61" s="851"/>
      <c r="I61" s="852"/>
      <c r="J61" s="852"/>
      <c r="K61" s="851"/>
      <c r="L61" s="851"/>
      <c r="M61" s="851"/>
      <c r="N61" s="851"/>
      <c r="O61" s="851"/>
      <c r="P61" s="851"/>
      <c r="Q61" s="852"/>
      <c r="R61" s="852"/>
      <c r="S61" s="851"/>
      <c r="T61" s="851"/>
    </row>
    <row r="62" spans="1:20" ht="14.25">
      <c r="A62" s="843">
        <v>6</v>
      </c>
      <c r="B62" s="844">
        <v>0.66800000000000004</v>
      </c>
      <c r="C62" s="845">
        <v>0.84</v>
      </c>
      <c r="D62" s="846">
        <v>0.88700000000000001</v>
      </c>
      <c r="E62" s="847">
        <f t="shared" si="0"/>
        <v>0.54200000000000004</v>
      </c>
      <c r="F62" s="20">
        <f t="shared" si="1"/>
        <v>0.70599999999999996</v>
      </c>
      <c r="G62" s="848">
        <f t="shared" si="2"/>
        <v>0.754</v>
      </c>
      <c r="H62" s="851"/>
      <c r="I62" s="852"/>
      <c r="J62" s="852"/>
      <c r="K62" s="851"/>
      <c r="L62" s="851"/>
      <c r="M62" s="851"/>
      <c r="N62" s="851"/>
      <c r="O62" s="851"/>
      <c r="P62" s="851"/>
      <c r="Q62" s="852"/>
      <c r="R62" s="852"/>
      <c r="S62" s="851"/>
      <c r="T62" s="851"/>
    </row>
    <row r="63" spans="1:20" ht="14.25">
      <c r="A63" s="849">
        <v>6.1</v>
      </c>
      <c r="B63" s="850">
        <v>0.66400000000000003</v>
      </c>
      <c r="C63" s="845">
        <v>0.83699999999999997</v>
      </c>
      <c r="D63" s="846">
        <v>0.88400000000000001</v>
      </c>
      <c r="E63" s="847">
        <f t="shared" si="0"/>
        <v>0.53900000000000003</v>
      </c>
      <c r="F63" s="20">
        <f t="shared" si="1"/>
        <v>0.70399999999999996</v>
      </c>
      <c r="G63" s="848">
        <f t="shared" si="2"/>
        <v>0.751</v>
      </c>
      <c r="H63" s="851"/>
      <c r="I63" s="852"/>
      <c r="J63" s="852"/>
      <c r="K63" s="851"/>
      <c r="L63" s="851"/>
      <c r="M63" s="851"/>
      <c r="N63" s="851"/>
      <c r="O63" s="851"/>
      <c r="P63" s="851"/>
      <c r="Q63" s="852"/>
      <c r="R63" s="852"/>
      <c r="S63" s="851"/>
      <c r="T63" s="851"/>
    </row>
    <row r="64" spans="1:20" ht="14.25">
      <c r="A64" s="849">
        <v>6.2</v>
      </c>
      <c r="B64" s="850">
        <v>0.66100000000000003</v>
      </c>
      <c r="C64" s="845">
        <v>0.83499999999999996</v>
      </c>
      <c r="D64" s="846">
        <v>0.88200000000000001</v>
      </c>
      <c r="E64" s="847">
        <f t="shared" si="0"/>
        <v>0.53700000000000003</v>
      </c>
      <c r="F64" s="20">
        <f t="shared" si="1"/>
        <v>0.70199999999999996</v>
      </c>
      <c r="G64" s="848">
        <f t="shared" si="2"/>
        <v>0.749</v>
      </c>
      <c r="H64" s="851"/>
      <c r="I64" s="852"/>
      <c r="J64" s="852"/>
      <c r="K64" s="851"/>
      <c r="L64" s="851"/>
      <c r="M64" s="851"/>
      <c r="N64" s="851"/>
      <c r="O64" s="851"/>
      <c r="P64" s="851"/>
      <c r="Q64" s="852"/>
      <c r="R64" s="852"/>
      <c r="S64" s="851"/>
      <c r="T64" s="851"/>
    </row>
    <row r="65" spans="1:20" ht="14.25">
      <c r="A65" s="849">
        <v>6.3</v>
      </c>
      <c r="B65" s="850">
        <v>0.65700000000000003</v>
      </c>
      <c r="C65" s="845">
        <v>0.83199999999999996</v>
      </c>
      <c r="D65" s="846">
        <v>0.88</v>
      </c>
      <c r="E65" s="847">
        <f t="shared" si="0"/>
        <v>0.53300000000000003</v>
      </c>
      <c r="F65" s="20">
        <f t="shared" si="1"/>
        <v>0.7</v>
      </c>
      <c r="G65" s="848">
        <f t="shared" si="2"/>
        <v>0.748</v>
      </c>
      <c r="H65" s="851"/>
      <c r="I65" s="852"/>
      <c r="J65" s="852"/>
      <c r="K65" s="851"/>
      <c r="L65" s="851"/>
      <c r="M65" s="851"/>
      <c r="N65" s="851"/>
      <c r="O65" s="851"/>
      <c r="P65" s="851"/>
      <c r="Q65" s="852"/>
      <c r="R65" s="852"/>
      <c r="S65" s="851"/>
      <c r="T65" s="851"/>
    </row>
    <row r="66" spans="1:20" ht="14.25">
      <c r="A66" s="849">
        <v>6.4</v>
      </c>
      <c r="B66" s="850">
        <v>0.65300000000000002</v>
      </c>
      <c r="C66" s="845">
        <v>0.82899999999999996</v>
      </c>
      <c r="D66" s="846">
        <v>0.878</v>
      </c>
      <c r="E66" s="847">
        <f t="shared" si="0"/>
        <v>0.53</v>
      </c>
      <c r="F66" s="20">
        <f t="shared" si="1"/>
        <v>0.69699999999999995</v>
      </c>
      <c r="G66" s="848">
        <f t="shared" si="2"/>
        <v>0.746</v>
      </c>
      <c r="H66" s="851"/>
      <c r="I66" s="852"/>
      <c r="J66" s="852"/>
      <c r="K66" s="851"/>
      <c r="L66" s="851"/>
      <c r="M66" s="851"/>
      <c r="N66" s="851"/>
      <c r="O66" s="851"/>
      <c r="P66" s="851"/>
      <c r="Q66" s="852"/>
      <c r="R66" s="852"/>
      <c r="S66" s="851"/>
      <c r="T66" s="851"/>
    </row>
    <row r="67" spans="1:20" ht="14.25">
      <c r="A67" s="849">
        <v>6.5</v>
      </c>
      <c r="B67" s="850">
        <v>0.65</v>
      </c>
      <c r="C67" s="845">
        <v>0.82599999999999996</v>
      </c>
      <c r="D67" s="846">
        <v>0.876</v>
      </c>
      <c r="E67" s="847">
        <f t="shared" si="0"/>
        <v>0.52800000000000002</v>
      </c>
      <c r="F67" s="20">
        <f t="shared" si="1"/>
        <v>0.69499999999999995</v>
      </c>
      <c r="G67" s="848">
        <f t="shared" si="2"/>
        <v>0.74399999999999999</v>
      </c>
      <c r="H67" s="851"/>
      <c r="I67" s="852"/>
      <c r="J67" s="852"/>
      <c r="K67" s="851"/>
      <c r="L67" s="851"/>
      <c r="M67" s="851"/>
      <c r="N67" s="851"/>
      <c r="O67" s="851"/>
      <c r="P67" s="851"/>
      <c r="Q67" s="852"/>
      <c r="R67" s="852"/>
      <c r="S67" s="851"/>
      <c r="T67" s="851"/>
    </row>
    <row r="68" spans="1:20" ht="14.25">
      <c r="A68" s="849">
        <v>6.6</v>
      </c>
      <c r="B68" s="850">
        <v>0.64600000000000002</v>
      </c>
      <c r="C68" s="845">
        <v>0.82399999999999995</v>
      </c>
      <c r="D68" s="846">
        <v>0.873</v>
      </c>
      <c r="E68" s="847">
        <f t="shared" ref="E68:E102" si="3">ROUND(B68/1.232,3)</f>
        <v>0.52400000000000002</v>
      </c>
      <c r="F68" s="20">
        <f t="shared" ref="F68:F102" si="4">ROUND(C68/1.189,3)</f>
        <v>0.69299999999999995</v>
      </c>
      <c r="G68" s="848">
        <f t="shared" ref="G68:G102" si="5">ROUND(D68/1.177,3)</f>
        <v>0.74199999999999999</v>
      </c>
      <c r="H68" s="851"/>
      <c r="I68" s="852"/>
      <c r="J68" s="852"/>
      <c r="K68" s="851"/>
      <c r="L68" s="851"/>
      <c r="M68" s="851"/>
      <c r="N68" s="851"/>
      <c r="O68" s="851"/>
      <c r="P68" s="851"/>
      <c r="Q68" s="852"/>
      <c r="R68" s="852"/>
      <c r="S68" s="851"/>
      <c r="T68" s="851"/>
    </row>
    <row r="69" spans="1:20" ht="14.25">
      <c r="A69" s="849">
        <v>6.7</v>
      </c>
      <c r="B69" s="850">
        <v>0.64200000000000002</v>
      </c>
      <c r="C69" s="845">
        <v>0.82099999999999995</v>
      </c>
      <c r="D69" s="846">
        <v>0.871</v>
      </c>
      <c r="E69" s="847">
        <f t="shared" si="3"/>
        <v>0.52100000000000002</v>
      </c>
      <c r="F69" s="20">
        <f t="shared" si="4"/>
        <v>0.69</v>
      </c>
      <c r="G69" s="848">
        <f t="shared" si="5"/>
        <v>0.74</v>
      </c>
      <c r="H69" s="851"/>
      <c r="I69" s="852"/>
      <c r="J69" s="852"/>
      <c r="K69" s="851"/>
      <c r="L69" s="851"/>
      <c r="M69" s="851"/>
      <c r="N69" s="851"/>
      <c r="O69" s="851"/>
      <c r="P69" s="851"/>
      <c r="Q69" s="852"/>
      <c r="R69" s="852"/>
      <c r="S69" s="851"/>
      <c r="T69" s="851"/>
    </row>
    <row r="70" spans="1:20" ht="14.25">
      <c r="A70" s="849">
        <v>6.8</v>
      </c>
      <c r="B70" s="850">
        <v>0.63800000000000001</v>
      </c>
      <c r="C70" s="845">
        <v>0.81799999999999995</v>
      </c>
      <c r="D70" s="846">
        <v>0.86899999999999999</v>
      </c>
      <c r="E70" s="847">
        <f t="shared" si="3"/>
        <v>0.51800000000000002</v>
      </c>
      <c r="F70" s="20">
        <f t="shared" si="4"/>
        <v>0.68799999999999994</v>
      </c>
      <c r="G70" s="848">
        <f t="shared" si="5"/>
        <v>0.73799999999999999</v>
      </c>
      <c r="H70" s="851"/>
      <c r="I70" s="852"/>
      <c r="J70" s="852"/>
      <c r="K70" s="851"/>
      <c r="L70" s="851"/>
      <c r="M70" s="851"/>
      <c r="N70" s="851"/>
      <c r="O70" s="851"/>
      <c r="P70" s="851"/>
      <c r="Q70" s="852"/>
      <c r="R70" s="852"/>
      <c r="S70" s="851"/>
      <c r="T70" s="851"/>
    </row>
    <row r="71" spans="1:20" ht="14.25">
      <c r="A71" s="849">
        <v>6.9</v>
      </c>
      <c r="B71" s="850">
        <v>0.63500000000000001</v>
      </c>
      <c r="C71" s="845">
        <v>0.81499999999999995</v>
      </c>
      <c r="D71" s="846">
        <v>0.86699999999999999</v>
      </c>
      <c r="E71" s="847">
        <f t="shared" si="3"/>
        <v>0.51500000000000001</v>
      </c>
      <c r="F71" s="20">
        <f t="shared" si="4"/>
        <v>0.68500000000000005</v>
      </c>
      <c r="G71" s="848">
        <f t="shared" si="5"/>
        <v>0.73699999999999999</v>
      </c>
      <c r="H71" s="851"/>
      <c r="I71" s="852"/>
      <c r="J71" s="852"/>
      <c r="K71" s="851"/>
      <c r="L71" s="851"/>
      <c r="M71" s="851"/>
      <c r="N71" s="851"/>
      <c r="O71" s="851"/>
      <c r="P71" s="851"/>
      <c r="Q71" s="852"/>
      <c r="R71" s="852"/>
      <c r="S71" s="851"/>
      <c r="T71" s="851"/>
    </row>
    <row r="72" spans="1:20" ht="14.25">
      <c r="A72" s="849">
        <v>7</v>
      </c>
      <c r="B72" s="850">
        <v>0.63100000000000001</v>
      </c>
      <c r="C72" s="845">
        <v>0.81200000000000006</v>
      </c>
      <c r="D72" s="846">
        <v>0.86499999999999999</v>
      </c>
      <c r="E72" s="847">
        <f t="shared" si="3"/>
        <v>0.51200000000000001</v>
      </c>
      <c r="F72" s="20">
        <f t="shared" si="4"/>
        <v>0.68300000000000005</v>
      </c>
      <c r="G72" s="848">
        <f t="shared" si="5"/>
        <v>0.73499999999999999</v>
      </c>
      <c r="H72" s="851"/>
      <c r="I72" s="852"/>
      <c r="J72" s="852"/>
      <c r="K72" s="851"/>
      <c r="L72" s="851"/>
      <c r="M72" s="851"/>
      <c r="N72" s="851"/>
      <c r="O72" s="851"/>
      <c r="P72" s="851"/>
      <c r="Q72" s="852"/>
      <c r="R72" s="852"/>
      <c r="S72" s="851"/>
      <c r="T72" s="851"/>
    </row>
    <row r="73" spans="1:20" ht="14.25">
      <c r="A73" s="849">
        <v>7.1</v>
      </c>
      <c r="B73" s="850">
        <v>0.627</v>
      </c>
      <c r="C73" s="845">
        <v>0.81</v>
      </c>
      <c r="D73" s="846">
        <v>0.86299999999999999</v>
      </c>
      <c r="E73" s="847">
        <f t="shared" si="3"/>
        <v>0.50900000000000001</v>
      </c>
      <c r="F73" s="20">
        <f t="shared" si="4"/>
        <v>0.68100000000000005</v>
      </c>
      <c r="G73" s="848">
        <f t="shared" si="5"/>
        <v>0.73299999999999998</v>
      </c>
      <c r="H73" s="851"/>
      <c r="I73" s="852"/>
      <c r="J73" s="852"/>
      <c r="K73" s="851"/>
      <c r="L73" s="851"/>
      <c r="M73" s="851"/>
      <c r="N73" s="851"/>
      <c r="O73" s="851"/>
      <c r="P73" s="851"/>
      <c r="Q73" s="852"/>
      <c r="R73" s="852"/>
      <c r="S73" s="851"/>
      <c r="T73" s="851"/>
    </row>
    <row r="74" spans="1:20" ht="14.25">
      <c r="A74" s="849">
        <v>7.2</v>
      </c>
      <c r="B74" s="850">
        <v>0.623</v>
      </c>
      <c r="C74" s="845">
        <v>0.80700000000000005</v>
      </c>
      <c r="D74" s="846">
        <v>0.86</v>
      </c>
      <c r="E74" s="847">
        <f t="shared" si="3"/>
        <v>0.50600000000000001</v>
      </c>
      <c r="F74" s="20">
        <f t="shared" si="4"/>
        <v>0.67900000000000005</v>
      </c>
      <c r="G74" s="848">
        <f t="shared" si="5"/>
        <v>0.73099999999999998</v>
      </c>
      <c r="H74" s="851"/>
      <c r="I74" s="852"/>
      <c r="J74" s="852"/>
      <c r="K74" s="851"/>
      <c r="L74" s="851"/>
      <c r="M74" s="851"/>
      <c r="N74" s="851"/>
      <c r="O74" s="851"/>
      <c r="P74" s="851"/>
      <c r="Q74" s="852"/>
      <c r="R74" s="852"/>
      <c r="S74" s="851"/>
      <c r="T74" s="851"/>
    </row>
    <row r="75" spans="1:20" ht="14.25">
      <c r="A75" s="849">
        <v>7.3</v>
      </c>
      <c r="B75" s="850">
        <v>0.62</v>
      </c>
      <c r="C75" s="845">
        <v>0.80400000000000005</v>
      </c>
      <c r="D75" s="846">
        <v>0.85799999999999998</v>
      </c>
      <c r="E75" s="847">
        <f t="shared" si="3"/>
        <v>0.503</v>
      </c>
      <c r="F75" s="20">
        <f t="shared" si="4"/>
        <v>0.67600000000000005</v>
      </c>
      <c r="G75" s="848">
        <f t="shared" si="5"/>
        <v>0.72899999999999998</v>
      </c>
      <c r="H75" s="851"/>
      <c r="I75" s="852"/>
      <c r="J75" s="852"/>
      <c r="K75" s="851"/>
      <c r="L75" s="851"/>
      <c r="M75" s="851"/>
      <c r="N75" s="851"/>
      <c r="O75" s="851"/>
      <c r="P75" s="851"/>
      <c r="Q75" s="852"/>
      <c r="R75" s="852"/>
      <c r="S75" s="851"/>
      <c r="T75" s="851"/>
    </row>
    <row r="76" spans="1:20" ht="14.25">
      <c r="A76" s="849">
        <v>7.4</v>
      </c>
      <c r="B76" s="850">
        <v>0.61599999999999999</v>
      </c>
      <c r="C76" s="845">
        <v>0.80100000000000005</v>
      </c>
      <c r="D76" s="846">
        <v>0.85599999999999998</v>
      </c>
      <c r="E76" s="847">
        <f t="shared" si="3"/>
        <v>0.5</v>
      </c>
      <c r="F76" s="20">
        <f t="shared" si="4"/>
        <v>0.67400000000000004</v>
      </c>
      <c r="G76" s="848">
        <f t="shared" si="5"/>
        <v>0.72699999999999998</v>
      </c>
      <c r="H76" s="851"/>
      <c r="I76" s="852"/>
      <c r="J76" s="852"/>
      <c r="K76" s="851"/>
      <c r="L76" s="851"/>
      <c r="M76" s="851"/>
      <c r="N76" s="851"/>
      <c r="O76" s="851"/>
      <c r="P76" s="851"/>
      <c r="Q76" s="852"/>
      <c r="R76" s="852"/>
      <c r="S76" s="851"/>
      <c r="T76" s="851"/>
    </row>
    <row r="77" spans="1:20" ht="14.25">
      <c r="A77" s="849">
        <v>7.5</v>
      </c>
      <c r="B77" s="850">
        <v>0.61199999999999999</v>
      </c>
      <c r="C77" s="845">
        <v>0.79900000000000004</v>
      </c>
      <c r="D77" s="846">
        <v>0.85399999999999998</v>
      </c>
      <c r="E77" s="847">
        <f t="shared" si="3"/>
        <v>0.497</v>
      </c>
      <c r="F77" s="20">
        <f t="shared" si="4"/>
        <v>0.67200000000000004</v>
      </c>
      <c r="G77" s="848">
        <f t="shared" si="5"/>
        <v>0.72599999999999998</v>
      </c>
      <c r="H77" s="851"/>
      <c r="I77" s="852"/>
      <c r="J77" s="852"/>
      <c r="K77" s="851"/>
      <c r="L77" s="851"/>
      <c r="M77" s="851"/>
      <c r="N77" s="851"/>
      <c r="O77" s="851"/>
      <c r="P77" s="851"/>
      <c r="Q77" s="852"/>
      <c r="R77" s="852"/>
      <c r="S77" s="851"/>
      <c r="T77" s="851"/>
    </row>
    <row r="78" spans="1:20" ht="14.25">
      <c r="A78" s="849">
        <v>7.6</v>
      </c>
      <c r="B78" s="850">
        <v>0.60899999999999999</v>
      </c>
      <c r="C78" s="845">
        <v>0.79600000000000004</v>
      </c>
      <c r="D78" s="846">
        <v>0.85199999999999998</v>
      </c>
      <c r="E78" s="847">
        <f t="shared" si="3"/>
        <v>0.49399999999999999</v>
      </c>
      <c r="F78" s="20">
        <f t="shared" si="4"/>
        <v>0.66900000000000004</v>
      </c>
      <c r="G78" s="848">
        <f t="shared" si="5"/>
        <v>0.72399999999999998</v>
      </c>
      <c r="H78" s="851"/>
      <c r="I78" s="852"/>
      <c r="J78" s="852"/>
      <c r="K78" s="851"/>
      <c r="L78" s="851"/>
      <c r="M78" s="851"/>
      <c r="N78" s="851"/>
      <c r="O78" s="851"/>
      <c r="P78" s="851"/>
      <c r="Q78" s="852"/>
      <c r="R78" s="852"/>
      <c r="S78" s="851"/>
      <c r="T78" s="851"/>
    </row>
    <row r="79" spans="1:20" ht="14.25">
      <c r="A79" s="849">
        <v>7.7</v>
      </c>
      <c r="B79" s="850">
        <v>0.60499999999999998</v>
      </c>
      <c r="C79" s="845">
        <v>0.79300000000000004</v>
      </c>
      <c r="D79" s="846">
        <v>0.84899999999999998</v>
      </c>
      <c r="E79" s="847">
        <f t="shared" si="3"/>
        <v>0.49099999999999999</v>
      </c>
      <c r="F79" s="20">
        <f t="shared" si="4"/>
        <v>0.66700000000000004</v>
      </c>
      <c r="G79" s="848">
        <f t="shared" si="5"/>
        <v>0.72099999999999997</v>
      </c>
      <c r="H79" s="851"/>
      <c r="I79" s="852"/>
      <c r="J79" s="852"/>
      <c r="K79" s="851"/>
      <c r="L79" s="851"/>
      <c r="M79" s="851"/>
      <c r="N79" s="851"/>
      <c r="O79" s="851"/>
      <c r="P79" s="851"/>
      <c r="Q79" s="852"/>
      <c r="R79" s="852"/>
      <c r="S79" s="851"/>
      <c r="T79" s="851"/>
    </row>
    <row r="80" spans="1:20" ht="14.25">
      <c r="A80" s="849">
        <v>7.8</v>
      </c>
      <c r="B80" s="850">
        <v>0.60099999999999998</v>
      </c>
      <c r="C80" s="845">
        <v>0.79</v>
      </c>
      <c r="D80" s="846">
        <v>0.84699999999999998</v>
      </c>
      <c r="E80" s="847">
        <f t="shared" si="3"/>
        <v>0.48799999999999999</v>
      </c>
      <c r="F80" s="20">
        <f t="shared" si="4"/>
        <v>0.66400000000000003</v>
      </c>
      <c r="G80" s="848">
        <f t="shared" si="5"/>
        <v>0.72</v>
      </c>
      <c r="H80" s="851"/>
      <c r="I80" s="852"/>
      <c r="J80" s="852"/>
      <c r="K80" s="851"/>
      <c r="L80" s="851"/>
      <c r="M80" s="851"/>
      <c r="N80" s="851"/>
      <c r="O80" s="851"/>
      <c r="P80" s="851"/>
      <c r="Q80" s="852"/>
      <c r="R80" s="852"/>
      <c r="S80" s="851"/>
      <c r="T80" s="851"/>
    </row>
    <row r="81" spans="1:20" ht="14.25">
      <c r="A81" s="849">
        <v>7.9</v>
      </c>
      <c r="B81" s="850">
        <v>0.59699999999999998</v>
      </c>
      <c r="C81" s="845">
        <v>0.78700000000000003</v>
      </c>
      <c r="D81" s="846">
        <v>0.84499999999999997</v>
      </c>
      <c r="E81" s="847">
        <f t="shared" si="3"/>
        <v>0.48499999999999999</v>
      </c>
      <c r="F81" s="20">
        <f t="shared" si="4"/>
        <v>0.66200000000000003</v>
      </c>
      <c r="G81" s="848">
        <f t="shared" si="5"/>
        <v>0.71799999999999997</v>
      </c>
      <c r="H81" s="851"/>
      <c r="I81" s="852"/>
      <c r="J81" s="852"/>
      <c r="K81" s="851"/>
      <c r="L81" s="851"/>
      <c r="M81" s="851"/>
      <c r="N81" s="851"/>
      <c r="O81" s="851"/>
      <c r="P81" s="851"/>
      <c r="Q81" s="852"/>
      <c r="R81" s="852"/>
      <c r="S81" s="851"/>
      <c r="T81" s="851"/>
    </row>
    <row r="82" spans="1:20" ht="14.25">
      <c r="A82" s="849">
        <v>8</v>
      </c>
      <c r="B82" s="850">
        <v>0.59399999999999997</v>
      </c>
      <c r="C82" s="845">
        <v>0.78500000000000003</v>
      </c>
      <c r="D82" s="846">
        <v>0.84299999999999997</v>
      </c>
      <c r="E82" s="847">
        <f t="shared" si="3"/>
        <v>0.48199999999999998</v>
      </c>
      <c r="F82" s="20">
        <f t="shared" si="4"/>
        <v>0.66</v>
      </c>
      <c r="G82" s="848">
        <f t="shared" si="5"/>
        <v>0.71599999999999997</v>
      </c>
      <c r="H82" s="851"/>
      <c r="I82" s="852"/>
      <c r="J82" s="852"/>
      <c r="K82" s="851"/>
      <c r="L82" s="851"/>
      <c r="M82" s="851"/>
      <c r="N82" s="851"/>
      <c r="O82" s="851"/>
      <c r="P82" s="851"/>
      <c r="Q82" s="852"/>
      <c r="R82" s="852"/>
      <c r="S82" s="851"/>
      <c r="T82" s="851"/>
    </row>
    <row r="83" spans="1:20" ht="14.25">
      <c r="A83" s="843">
        <v>8.1</v>
      </c>
      <c r="B83" s="844">
        <v>0.59</v>
      </c>
      <c r="C83" s="845">
        <v>0.78200000000000003</v>
      </c>
      <c r="D83" s="846">
        <v>0.84099999999999997</v>
      </c>
      <c r="E83" s="847">
        <f t="shared" si="3"/>
        <v>0.47899999999999998</v>
      </c>
      <c r="F83" s="20">
        <f t="shared" si="4"/>
        <v>0.65800000000000003</v>
      </c>
      <c r="G83" s="848">
        <f t="shared" si="5"/>
        <v>0.71499999999999997</v>
      </c>
      <c r="H83" s="851"/>
      <c r="I83" s="852"/>
      <c r="J83" s="852"/>
      <c r="K83" s="851"/>
      <c r="L83" s="851"/>
      <c r="M83" s="851"/>
      <c r="N83" s="851"/>
      <c r="O83" s="851"/>
      <c r="P83" s="851"/>
      <c r="Q83" s="852"/>
      <c r="R83" s="852"/>
      <c r="S83" s="851"/>
      <c r="T83" s="851"/>
    </row>
    <row r="84" spans="1:20" ht="14.25">
      <c r="A84" s="843">
        <v>8.1999999999999993</v>
      </c>
      <c r="B84" s="844">
        <v>0.58599999999999997</v>
      </c>
      <c r="C84" s="845">
        <v>0.77900000000000003</v>
      </c>
      <c r="D84" s="846">
        <v>0.83799999999999997</v>
      </c>
      <c r="E84" s="847">
        <f t="shared" si="3"/>
        <v>0.47599999999999998</v>
      </c>
      <c r="F84" s="20">
        <f t="shared" si="4"/>
        <v>0.65500000000000003</v>
      </c>
      <c r="G84" s="848">
        <f t="shared" si="5"/>
        <v>0.71199999999999997</v>
      </c>
      <c r="H84" s="851"/>
      <c r="I84" s="852"/>
      <c r="J84" s="852"/>
      <c r="K84" s="851"/>
      <c r="L84" s="851"/>
      <c r="M84" s="851"/>
      <c r="N84" s="851"/>
      <c r="O84" s="851"/>
      <c r="P84" s="851"/>
      <c r="Q84" s="852"/>
      <c r="R84" s="852"/>
      <c r="S84" s="851"/>
      <c r="T84" s="851"/>
    </row>
    <row r="85" spans="1:20" ht="14.25">
      <c r="A85" s="843">
        <v>8.3000000000000007</v>
      </c>
      <c r="B85" s="844">
        <v>0.58199999999999996</v>
      </c>
      <c r="C85" s="845">
        <v>0.77600000000000002</v>
      </c>
      <c r="D85" s="846">
        <v>0.83599999999999997</v>
      </c>
      <c r="E85" s="847">
        <f t="shared" si="3"/>
        <v>0.47199999999999998</v>
      </c>
      <c r="F85" s="20">
        <f t="shared" si="4"/>
        <v>0.65300000000000002</v>
      </c>
      <c r="G85" s="848">
        <f t="shared" si="5"/>
        <v>0.71</v>
      </c>
      <c r="H85" s="851"/>
      <c r="I85" s="852"/>
      <c r="J85" s="852"/>
      <c r="K85" s="851"/>
      <c r="L85" s="851"/>
      <c r="M85" s="851"/>
      <c r="N85" s="851"/>
      <c r="O85" s="851"/>
      <c r="P85" s="851"/>
      <c r="Q85" s="852"/>
      <c r="R85" s="852"/>
      <c r="S85" s="851"/>
      <c r="T85" s="851"/>
    </row>
    <row r="86" spans="1:20" ht="14.25">
      <c r="A86" s="843">
        <v>8.4</v>
      </c>
      <c r="B86" s="844">
        <v>0.57899999999999996</v>
      </c>
      <c r="C86" s="845">
        <v>0.77300000000000002</v>
      </c>
      <c r="D86" s="846">
        <v>0.83399999999999996</v>
      </c>
      <c r="E86" s="847">
        <f t="shared" si="3"/>
        <v>0.47</v>
      </c>
      <c r="F86" s="20">
        <f t="shared" si="4"/>
        <v>0.65</v>
      </c>
      <c r="G86" s="848">
        <f t="shared" si="5"/>
        <v>0.70899999999999996</v>
      </c>
      <c r="H86" s="851"/>
      <c r="I86" s="852"/>
      <c r="J86" s="852"/>
      <c r="K86" s="851"/>
      <c r="L86" s="851"/>
      <c r="M86" s="851"/>
      <c r="N86" s="851"/>
      <c r="O86" s="851"/>
      <c r="P86" s="851"/>
      <c r="Q86" s="852"/>
      <c r="R86" s="852"/>
      <c r="S86" s="851"/>
      <c r="T86" s="851"/>
    </row>
    <row r="87" spans="1:20" ht="14.25">
      <c r="A87" s="843">
        <v>8.5</v>
      </c>
      <c r="B87" s="844">
        <v>0.57499999999999996</v>
      </c>
      <c r="C87" s="845">
        <v>0.77100000000000002</v>
      </c>
      <c r="D87" s="846">
        <v>0.83199999999999996</v>
      </c>
      <c r="E87" s="847">
        <f t="shared" si="3"/>
        <v>0.46700000000000003</v>
      </c>
      <c r="F87" s="20">
        <f t="shared" si="4"/>
        <v>0.64800000000000002</v>
      </c>
      <c r="G87" s="848">
        <f t="shared" si="5"/>
        <v>0.70699999999999996</v>
      </c>
      <c r="H87" s="851"/>
      <c r="I87" s="852"/>
      <c r="J87" s="852"/>
      <c r="K87" s="851"/>
      <c r="L87" s="851"/>
      <c r="M87" s="851"/>
      <c r="N87" s="851"/>
      <c r="O87" s="851"/>
      <c r="P87" s="851"/>
      <c r="Q87" s="852"/>
      <c r="R87" s="852"/>
      <c r="S87" s="851"/>
      <c r="T87" s="851"/>
    </row>
    <row r="88" spans="1:20" ht="14.25">
      <c r="A88" s="843">
        <v>8.6</v>
      </c>
      <c r="B88" s="844">
        <v>0.57099999999999995</v>
      </c>
      <c r="C88" s="845">
        <v>0.76800000000000002</v>
      </c>
      <c r="D88" s="846">
        <v>0.83</v>
      </c>
      <c r="E88" s="847">
        <f t="shared" si="3"/>
        <v>0.46300000000000002</v>
      </c>
      <c r="F88" s="20">
        <f t="shared" si="4"/>
        <v>0.64600000000000002</v>
      </c>
      <c r="G88" s="848">
        <f t="shared" si="5"/>
        <v>0.70499999999999996</v>
      </c>
      <c r="H88" s="851"/>
      <c r="I88" s="852"/>
      <c r="J88" s="852"/>
      <c r="K88" s="851"/>
      <c r="L88" s="851"/>
      <c r="M88" s="851"/>
      <c r="N88" s="851"/>
      <c r="O88" s="851"/>
      <c r="P88" s="851"/>
      <c r="Q88" s="852"/>
      <c r="R88" s="852"/>
      <c r="S88" s="851"/>
      <c r="T88" s="851"/>
    </row>
    <row r="89" spans="1:20" ht="14.25">
      <c r="A89" s="843">
        <v>8.6999999999999993</v>
      </c>
      <c r="B89" s="844">
        <v>0.56699999999999995</v>
      </c>
      <c r="C89" s="845">
        <v>0.76500000000000001</v>
      </c>
      <c r="D89" s="846">
        <v>0.82699999999999996</v>
      </c>
      <c r="E89" s="847">
        <f t="shared" si="3"/>
        <v>0.46</v>
      </c>
      <c r="F89" s="20">
        <f t="shared" si="4"/>
        <v>0.64300000000000002</v>
      </c>
      <c r="G89" s="848">
        <f t="shared" si="5"/>
        <v>0.70299999999999996</v>
      </c>
      <c r="H89" s="851"/>
      <c r="I89" s="852"/>
      <c r="J89" s="852"/>
      <c r="K89" s="851"/>
      <c r="L89" s="851"/>
      <c r="M89" s="851"/>
      <c r="N89" s="851"/>
      <c r="O89" s="851"/>
      <c r="P89" s="851"/>
      <c r="Q89" s="852"/>
      <c r="R89" s="852"/>
      <c r="S89" s="851"/>
      <c r="T89" s="851"/>
    </row>
    <row r="90" spans="1:20" ht="14.25">
      <c r="A90" s="843">
        <v>8.8000000000000007</v>
      </c>
      <c r="B90" s="844">
        <v>0.56399999999999995</v>
      </c>
      <c r="C90" s="845">
        <v>0.76200000000000001</v>
      </c>
      <c r="D90" s="846">
        <v>0.82499999999999996</v>
      </c>
      <c r="E90" s="847">
        <f t="shared" si="3"/>
        <v>0.45800000000000002</v>
      </c>
      <c r="F90" s="20">
        <f t="shared" si="4"/>
        <v>0.64100000000000001</v>
      </c>
      <c r="G90" s="848">
        <f t="shared" si="5"/>
        <v>0.70099999999999996</v>
      </c>
      <c r="H90" s="851"/>
      <c r="I90" s="852"/>
      <c r="J90" s="852"/>
      <c r="K90" s="851"/>
      <c r="L90" s="851"/>
      <c r="M90" s="851"/>
      <c r="N90" s="851"/>
      <c r="O90" s="851"/>
      <c r="P90" s="851"/>
      <c r="Q90" s="852"/>
      <c r="R90" s="852"/>
      <c r="S90" s="851"/>
      <c r="T90" s="851"/>
    </row>
    <row r="91" spans="1:20" ht="14.25">
      <c r="A91" s="843">
        <v>8.9</v>
      </c>
      <c r="B91" s="844">
        <v>0.56000000000000005</v>
      </c>
      <c r="C91" s="845">
        <v>0.76</v>
      </c>
      <c r="D91" s="846">
        <v>0.82299999999999995</v>
      </c>
      <c r="E91" s="847">
        <f t="shared" si="3"/>
        <v>0.45500000000000002</v>
      </c>
      <c r="F91" s="20">
        <f t="shared" si="4"/>
        <v>0.63900000000000001</v>
      </c>
      <c r="G91" s="848">
        <f t="shared" si="5"/>
        <v>0.69899999999999995</v>
      </c>
      <c r="H91" s="851"/>
      <c r="I91" s="852"/>
      <c r="J91" s="852"/>
      <c r="K91" s="851"/>
      <c r="L91" s="851"/>
      <c r="M91" s="851"/>
      <c r="N91" s="851"/>
      <c r="O91" s="851"/>
      <c r="P91" s="851"/>
      <c r="Q91" s="852"/>
      <c r="R91" s="852"/>
      <c r="S91" s="851"/>
      <c r="T91" s="851"/>
    </row>
    <row r="92" spans="1:20" ht="14.25">
      <c r="A92" s="843">
        <v>9</v>
      </c>
      <c r="B92" s="844">
        <v>0.55600000000000005</v>
      </c>
      <c r="C92" s="845">
        <v>0.75700000000000001</v>
      </c>
      <c r="D92" s="846">
        <v>0.82099999999999995</v>
      </c>
      <c r="E92" s="847">
        <f t="shared" si="3"/>
        <v>0.45100000000000001</v>
      </c>
      <c r="F92" s="20">
        <f t="shared" si="4"/>
        <v>0.63700000000000001</v>
      </c>
      <c r="G92" s="848">
        <f t="shared" si="5"/>
        <v>0.69799999999999995</v>
      </c>
      <c r="H92" s="851"/>
      <c r="I92" s="852"/>
      <c r="J92" s="852"/>
      <c r="K92" s="851"/>
      <c r="L92" s="851"/>
      <c r="M92" s="851"/>
      <c r="N92" s="851"/>
      <c r="O92" s="851"/>
      <c r="P92" s="851"/>
      <c r="Q92" s="852"/>
      <c r="R92" s="852"/>
      <c r="S92" s="851"/>
      <c r="T92" s="851"/>
    </row>
    <row r="93" spans="1:20" ht="14.25">
      <c r="A93" s="843">
        <v>9.1</v>
      </c>
      <c r="B93" s="844">
        <v>0.55300000000000005</v>
      </c>
      <c r="C93" s="845">
        <v>0.754</v>
      </c>
      <c r="D93" s="846">
        <v>0.81899999999999995</v>
      </c>
      <c r="E93" s="847">
        <f t="shared" si="3"/>
        <v>0.44900000000000001</v>
      </c>
      <c r="F93" s="20">
        <f t="shared" si="4"/>
        <v>0.63400000000000001</v>
      </c>
      <c r="G93" s="848">
        <f t="shared" si="5"/>
        <v>0.69599999999999995</v>
      </c>
      <c r="H93" s="851"/>
      <c r="I93" s="852"/>
      <c r="J93" s="852"/>
      <c r="K93" s="851"/>
      <c r="L93" s="851"/>
      <c r="M93" s="851"/>
      <c r="N93" s="851"/>
      <c r="O93" s="851"/>
      <c r="P93" s="851"/>
      <c r="Q93" s="852"/>
      <c r="R93" s="852"/>
      <c r="S93" s="851"/>
      <c r="T93" s="851"/>
    </row>
    <row r="94" spans="1:20" ht="14.25">
      <c r="A94" s="843">
        <v>9.1999999999999993</v>
      </c>
      <c r="B94" s="844">
        <v>0.54900000000000004</v>
      </c>
      <c r="C94" s="845">
        <v>0.751</v>
      </c>
      <c r="D94" s="846">
        <v>0.81699999999999995</v>
      </c>
      <c r="E94" s="847">
        <f t="shared" si="3"/>
        <v>0.44600000000000001</v>
      </c>
      <c r="F94" s="20">
        <f t="shared" si="4"/>
        <v>0.63200000000000001</v>
      </c>
      <c r="G94" s="848">
        <f t="shared" si="5"/>
        <v>0.69399999999999995</v>
      </c>
      <c r="H94" s="851"/>
      <c r="I94" s="852"/>
      <c r="J94" s="852"/>
      <c r="K94" s="851"/>
      <c r="L94" s="851"/>
      <c r="M94" s="851"/>
      <c r="N94" s="851"/>
      <c r="O94" s="851"/>
      <c r="P94" s="851"/>
      <c r="Q94" s="852"/>
      <c r="R94" s="852"/>
      <c r="S94" s="851"/>
      <c r="T94" s="851"/>
    </row>
    <row r="95" spans="1:20" ht="14.25">
      <c r="A95" s="843">
        <v>9.3000000000000007</v>
      </c>
      <c r="B95" s="844">
        <v>0.54500000000000004</v>
      </c>
      <c r="C95" s="845">
        <v>0.748</v>
      </c>
      <c r="D95" s="846">
        <v>0.81399999999999995</v>
      </c>
      <c r="E95" s="847">
        <f t="shared" si="3"/>
        <v>0.442</v>
      </c>
      <c r="F95" s="20">
        <f t="shared" si="4"/>
        <v>0.629</v>
      </c>
      <c r="G95" s="848">
        <f t="shared" si="5"/>
        <v>0.69199999999999995</v>
      </c>
      <c r="H95" s="851"/>
      <c r="I95" s="852"/>
      <c r="J95" s="852"/>
      <c r="K95" s="851"/>
      <c r="L95" s="851"/>
      <c r="M95" s="851"/>
      <c r="N95" s="851"/>
      <c r="O95" s="851"/>
      <c r="P95" s="851"/>
      <c r="Q95" s="852"/>
      <c r="R95" s="852"/>
      <c r="S95" s="851"/>
      <c r="T95" s="851"/>
    </row>
    <row r="96" spans="1:20" ht="14.25">
      <c r="A96" s="843">
        <v>9.4</v>
      </c>
      <c r="B96" s="844">
        <v>0.54100000000000004</v>
      </c>
      <c r="C96" s="845">
        <v>0.746</v>
      </c>
      <c r="D96" s="846">
        <v>0.81200000000000006</v>
      </c>
      <c r="E96" s="847">
        <f t="shared" si="3"/>
        <v>0.439</v>
      </c>
      <c r="F96" s="20">
        <f t="shared" si="4"/>
        <v>0.627</v>
      </c>
      <c r="G96" s="848">
        <f t="shared" si="5"/>
        <v>0.69</v>
      </c>
      <c r="H96" s="851"/>
      <c r="I96" s="852"/>
      <c r="J96" s="852"/>
      <c r="K96" s="851"/>
      <c r="L96" s="851"/>
      <c r="M96" s="851"/>
      <c r="N96" s="851"/>
      <c r="O96" s="851"/>
      <c r="P96" s="851"/>
      <c r="Q96" s="852"/>
      <c r="R96" s="852"/>
      <c r="S96" s="851"/>
      <c r="T96" s="851"/>
    </row>
    <row r="97" spans="1:20" ht="14.25">
      <c r="A97" s="843">
        <v>9.5</v>
      </c>
      <c r="B97" s="844">
        <v>0.53800000000000003</v>
      </c>
      <c r="C97" s="845">
        <v>0.74299999999999999</v>
      </c>
      <c r="D97" s="846">
        <v>0.81</v>
      </c>
      <c r="E97" s="847">
        <f t="shared" si="3"/>
        <v>0.437</v>
      </c>
      <c r="F97" s="20">
        <f t="shared" si="4"/>
        <v>0.625</v>
      </c>
      <c r="G97" s="848">
        <f t="shared" si="5"/>
        <v>0.68799999999999994</v>
      </c>
      <c r="H97" s="851"/>
      <c r="I97" s="852"/>
      <c r="J97" s="852"/>
      <c r="K97" s="851"/>
      <c r="L97" s="851"/>
      <c r="M97" s="851"/>
      <c r="N97" s="851"/>
      <c r="O97" s="851"/>
      <c r="P97" s="851"/>
      <c r="Q97" s="852"/>
      <c r="R97" s="852"/>
      <c r="S97" s="851"/>
      <c r="T97" s="851"/>
    </row>
    <row r="98" spans="1:20" ht="14.25">
      <c r="A98" s="843">
        <v>9.6</v>
      </c>
      <c r="B98" s="844">
        <v>0.53400000000000003</v>
      </c>
      <c r="C98" s="845">
        <v>0.74</v>
      </c>
      <c r="D98" s="846">
        <v>0.80800000000000005</v>
      </c>
      <c r="E98" s="847">
        <f t="shared" si="3"/>
        <v>0.433</v>
      </c>
      <c r="F98" s="20">
        <f t="shared" si="4"/>
        <v>0.622</v>
      </c>
      <c r="G98" s="848">
        <f t="shared" si="5"/>
        <v>0.68600000000000005</v>
      </c>
      <c r="H98" s="851"/>
      <c r="I98" s="852"/>
      <c r="J98" s="852"/>
      <c r="K98" s="851"/>
      <c r="L98" s="851"/>
      <c r="M98" s="851"/>
      <c r="N98" s="851"/>
      <c r="O98" s="851"/>
      <c r="P98" s="851"/>
      <c r="Q98" s="852"/>
      <c r="R98" s="852"/>
      <c r="S98" s="851"/>
      <c r="T98" s="851"/>
    </row>
    <row r="99" spans="1:20" ht="14.25">
      <c r="A99" s="843">
        <v>9.6999999999999993</v>
      </c>
      <c r="B99" s="844">
        <v>0.53</v>
      </c>
      <c r="C99" s="845">
        <v>0.73699999999999999</v>
      </c>
      <c r="D99" s="846">
        <v>0.80600000000000005</v>
      </c>
      <c r="E99" s="847">
        <f t="shared" si="3"/>
        <v>0.43</v>
      </c>
      <c r="F99" s="20">
        <f t="shared" si="4"/>
        <v>0.62</v>
      </c>
      <c r="G99" s="848">
        <f t="shared" si="5"/>
        <v>0.68500000000000005</v>
      </c>
      <c r="H99" s="851"/>
      <c r="I99" s="852"/>
      <c r="J99" s="852"/>
      <c r="K99" s="851"/>
      <c r="L99" s="851"/>
      <c r="M99" s="851"/>
      <c r="N99" s="851"/>
      <c r="O99" s="851"/>
      <c r="P99" s="851"/>
      <c r="Q99" s="852"/>
      <c r="R99" s="852"/>
      <c r="S99" s="851"/>
      <c r="T99" s="851"/>
    </row>
    <row r="100" spans="1:20" ht="14.25">
      <c r="A100" s="843">
        <v>9.8000000000000007</v>
      </c>
      <c r="B100" s="844">
        <v>0.52600000000000002</v>
      </c>
      <c r="C100" s="845">
        <v>0.73499999999999999</v>
      </c>
      <c r="D100" s="846">
        <v>0.80300000000000005</v>
      </c>
      <c r="E100" s="847">
        <f t="shared" si="3"/>
        <v>0.42699999999999999</v>
      </c>
      <c r="F100" s="20">
        <f t="shared" si="4"/>
        <v>0.61799999999999999</v>
      </c>
      <c r="G100" s="848">
        <f t="shared" si="5"/>
        <v>0.68200000000000005</v>
      </c>
      <c r="H100" s="851"/>
      <c r="I100" s="852"/>
      <c r="J100" s="852"/>
      <c r="K100" s="851"/>
      <c r="L100" s="851"/>
      <c r="M100" s="851"/>
      <c r="N100" s="851"/>
      <c r="O100" s="851"/>
      <c r="P100" s="851"/>
      <c r="Q100" s="852"/>
      <c r="R100" s="852"/>
      <c r="S100" s="851"/>
      <c r="T100" s="851"/>
    </row>
    <row r="101" spans="1:20" ht="14.25">
      <c r="A101" s="843">
        <v>9.9</v>
      </c>
      <c r="B101" s="844">
        <v>0.52300000000000002</v>
      </c>
      <c r="C101" s="845">
        <v>0.73199999999999998</v>
      </c>
      <c r="D101" s="846">
        <v>0.80100000000000005</v>
      </c>
      <c r="E101" s="847">
        <f t="shared" si="3"/>
        <v>0.42499999999999999</v>
      </c>
      <c r="F101" s="20">
        <f t="shared" si="4"/>
        <v>0.61599999999999999</v>
      </c>
      <c r="G101" s="848">
        <f t="shared" si="5"/>
        <v>0.68100000000000005</v>
      </c>
      <c r="H101" s="851"/>
      <c r="I101" s="852"/>
      <c r="J101" s="852"/>
      <c r="K101" s="851"/>
      <c r="L101" s="851"/>
      <c r="M101" s="851"/>
      <c r="N101" s="851"/>
      <c r="O101" s="851"/>
      <c r="P101" s="851"/>
      <c r="Q101" s="852"/>
      <c r="R101" s="852"/>
      <c r="S101" s="851"/>
      <c r="T101" s="851"/>
    </row>
    <row r="102" spans="1:20" ht="14.25">
      <c r="A102" s="853">
        <v>10</v>
      </c>
      <c r="B102" s="854">
        <v>0.51900000000000002</v>
      </c>
      <c r="C102" s="855">
        <v>0.72899999999999998</v>
      </c>
      <c r="D102" s="856">
        <v>0.79900000000000004</v>
      </c>
      <c r="E102" s="857">
        <f t="shared" si="3"/>
        <v>0.42099999999999999</v>
      </c>
      <c r="F102" s="858">
        <f t="shared" si="4"/>
        <v>0.61299999999999999</v>
      </c>
      <c r="G102" s="859">
        <f t="shared" si="5"/>
        <v>0.67900000000000005</v>
      </c>
      <c r="H102" s="851"/>
      <c r="I102" s="852"/>
      <c r="J102" s="852"/>
      <c r="K102" s="851"/>
      <c r="L102" s="851"/>
      <c r="M102" s="851"/>
      <c r="N102" s="851"/>
      <c r="O102" s="851"/>
      <c r="P102" s="851"/>
      <c r="Q102" s="852"/>
      <c r="R102" s="852"/>
      <c r="S102" s="851"/>
      <c r="T102" s="851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788" customWidth="1"/>
    <col min="2" max="16384" width="9" style="788"/>
  </cols>
  <sheetData>
    <row r="1" spans="1:21">
      <c r="A1" s="789" t="s">
        <v>425</v>
      </c>
      <c r="B1" s="790" t="s">
        <v>49</v>
      </c>
      <c r="C1" s="791" t="s">
        <v>49</v>
      </c>
      <c r="D1" s="790" t="s">
        <v>63</v>
      </c>
      <c r="E1" s="792" t="s">
        <v>63</v>
      </c>
      <c r="F1" s="793" t="s">
        <v>75</v>
      </c>
      <c r="G1" s="791" t="s">
        <v>75</v>
      </c>
      <c r="H1" s="790" t="s">
        <v>87</v>
      </c>
      <c r="I1" s="792" t="s">
        <v>87</v>
      </c>
      <c r="J1" s="793" t="s">
        <v>96</v>
      </c>
      <c r="K1" s="791" t="s">
        <v>96</v>
      </c>
      <c r="L1" s="790" t="s">
        <v>103</v>
      </c>
      <c r="M1" s="792" t="s">
        <v>103</v>
      </c>
      <c r="N1" s="793" t="s">
        <v>108</v>
      </c>
      <c r="O1" s="791" t="s">
        <v>108</v>
      </c>
      <c r="P1" s="790" t="s">
        <v>113</v>
      </c>
      <c r="Q1" s="792" t="s">
        <v>113</v>
      </c>
      <c r="R1" s="793" t="s">
        <v>116</v>
      </c>
      <c r="S1" s="791" t="s">
        <v>116</v>
      </c>
      <c r="T1" s="790" t="s">
        <v>118</v>
      </c>
      <c r="U1" s="792" t="s">
        <v>118</v>
      </c>
    </row>
    <row r="2" spans="1:21">
      <c r="A2" s="794"/>
      <c r="B2" s="795" t="s">
        <v>1052</v>
      </c>
      <c r="C2" s="796" t="s">
        <v>1053</v>
      </c>
      <c r="D2" s="795" t="s">
        <v>1052</v>
      </c>
      <c r="E2" s="797" t="s">
        <v>1053</v>
      </c>
      <c r="F2" s="798" t="s">
        <v>1052</v>
      </c>
      <c r="G2" s="796" t="s">
        <v>1053</v>
      </c>
      <c r="H2" s="795" t="s">
        <v>1052</v>
      </c>
      <c r="I2" s="797" t="s">
        <v>1053</v>
      </c>
      <c r="J2" s="798" t="s">
        <v>1052</v>
      </c>
      <c r="K2" s="796" t="s">
        <v>1053</v>
      </c>
      <c r="L2" s="795" t="s">
        <v>1052</v>
      </c>
      <c r="M2" s="797" t="s">
        <v>1053</v>
      </c>
      <c r="N2" s="798" t="s">
        <v>1052</v>
      </c>
      <c r="O2" s="796" t="s">
        <v>1053</v>
      </c>
      <c r="P2" s="795" t="s">
        <v>1052</v>
      </c>
      <c r="Q2" s="797" t="s">
        <v>1053</v>
      </c>
      <c r="R2" s="798" t="s">
        <v>1052</v>
      </c>
      <c r="S2" s="796" t="s">
        <v>1053</v>
      </c>
      <c r="T2" s="795" t="s">
        <v>1052</v>
      </c>
      <c r="U2" s="797" t="s">
        <v>1053</v>
      </c>
    </row>
    <row r="3" spans="1:21">
      <c r="A3" s="799" t="s">
        <v>438</v>
      </c>
      <c r="B3" s="800">
        <f>0-C3</f>
        <v>-4.4999999999999998E-2</v>
      </c>
      <c r="C3" s="801">
        <v>4.4999999999999998E-2</v>
      </c>
      <c r="D3" s="802">
        <f>0-E3</f>
        <v>-4.4999999999999998E-2</v>
      </c>
      <c r="E3" s="803">
        <v>4.4999999999999998E-2</v>
      </c>
      <c r="F3" s="800">
        <f>0-G3</f>
        <v>-4.4999999999999998E-2</v>
      </c>
      <c r="G3" s="801">
        <v>4.4999999999999998E-2</v>
      </c>
      <c r="H3" s="802">
        <f>0-I3</f>
        <v>-4.4999999999999998E-2</v>
      </c>
      <c r="I3" s="803">
        <v>4.4999999999999998E-2</v>
      </c>
      <c r="J3" s="800">
        <f>0-K3</f>
        <v>-0.06</v>
      </c>
      <c r="K3" s="801">
        <v>0.06</v>
      </c>
      <c r="L3" s="815">
        <v>-0.06</v>
      </c>
      <c r="M3" s="803">
        <v>5.3999999999999999E-2</v>
      </c>
      <c r="N3" s="800">
        <f>0-O3</f>
        <v>-7.4999999999999997E-2</v>
      </c>
      <c r="O3" s="801">
        <v>7.4999999999999997E-2</v>
      </c>
      <c r="P3" s="815">
        <v>-0.114</v>
      </c>
      <c r="Q3" s="803">
        <v>0.111</v>
      </c>
      <c r="R3" s="814">
        <v>-0.114</v>
      </c>
      <c r="S3" s="801">
        <v>0.105</v>
      </c>
      <c r="T3" s="802">
        <f>0-U3</f>
        <v>-0.09</v>
      </c>
      <c r="U3" s="834">
        <v>0.09</v>
      </c>
    </row>
    <row r="4" spans="1:21">
      <c r="A4" s="804" t="s">
        <v>145</v>
      </c>
      <c r="B4" s="805">
        <f t="shared" ref="B4:B10" si="0">0-C4</f>
        <v>-2.2499999999999999E-2</v>
      </c>
      <c r="C4" s="806">
        <v>2.2499999999999999E-2</v>
      </c>
      <c r="D4" s="807">
        <f t="shared" ref="D4:D10" si="1">0-E4</f>
        <v>-2.2499999999999999E-2</v>
      </c>
      <c r="E4" s="808">
        <v>2.2499999999999999E-2</v>
      </c>
      <c r="F4" s="805">
        <f t="shared" ref="F4:F10" si="2">0-G4</f>
        <v>-2.2499999999999999E-2</v>
      </c>
      <c r="G4" s="806">
        <v>2.2499999999999999E-2</v>
      </c>
      <c r="H4" s="807">
        <f t="shared" ref="H4:H10" si="3">0-I4</f>
        <v>-2.2499999999999999E-2</v>
      </c>
      <c r="I4" s="808">
        <v>2.2499999999999999E-2</v>
      </c>
      <c r="J4" s="805">
        <f t="shared" ref="J4:J9" si="4">0-K4</f>
        <v>-0.03</v>
      </c>
      <c r="K4" s="806">
        <v>0.03</v>
      </c>
      <c r="L4" s="817">
        <v>-0.03</v>
      </c>
      <c r="M4" s="808">
        <v>2.7E-2</v>
      </c>
      <c r="N4" s="805">
        <f>0-O4</f>
        <v>-3.7499999999999999E-2</v>
      </c>
      <c r="O4" s="806">
        <v>3.7499999999999999E-2</v>
      </c>
      <c r="P4" s="817">
        <v>-5.7000000000000002E-2</v>
      </c>
      <c r="Q4" s="808">
        <v>5.5500000000000001E-2</v>
      </c>
      <c r="R4" s="816">
        <v>-5.7000000000000002E-2</v>
      </c>
      <c r="S4" s="806">
        <v>5.2499999999999998E-2</v>
      </c>
      <c r="T4" s="807">
        <f t="shared" ref="T4:T10" si="5">0-U4</f>
        <v>-4.4999999999999998E-2</v>
      </c>
      <c r="U4" s="835">
        <v>4.4999999999999998E-2</v>
      </c>
    </row>
    <row r="5" spans="1:21">
      <c r="A5" s="804" t="s">
        <v>38</v>
      </c>
      <c r="B5" s="805">
        <f t="shared" si="0"/>
        <v>-1.4999999999999999E-2</v>
      </c>
      <c r="C5" s="806">
        <v>1.4999999999999999E-2</v>
      </c>
      <c r="D5" s="807">
        <f t="shared" si="1"/>
        <v>-1.4999999999999999E-2</v>
      </c>
      <c r="E5" s="808">
        <v>1.4999999999999999E-2</v>
      </c>
      <c r="F5" s="805">
        <f t="shared" si="2"/>
        <v>-1.4999999999999999E-2</v>
      </c>
      <c r="G5" s="806">
        <v>1.4999999999999999E-2</v>
      </c>
      <c r="H5" s="807">
        <f t="shared" si="3"/>
        <v>-1.4999999999999999E-2</v>
      </c>
      <c r="I5" s="808">
        <v>1.4999999999999999E-2</v>
      </c>
      <c r="J5" s="805">
        <f t="shared" si="4"/>
        <v>-0.02</v>
      </c>
      <c r="K5" s="806">
        <v>0.02</v>
      </c>
      <c r="L5" s="817">
        <v>-0.02</v>
      </c>
      <c r="M5" s="808">
        <v>1.7999999999999999E-2</v>
      </c>
      <c r="N5" s="805">
        <f t="shared" ref="N5:N10" si="6">0-O5</f>
        <v>-2.5000000000000001E-2</v>
      </c>
      <c r="O5" s="806">
        <v>2.5000000000000001E-2</v>
      </c>
      <c r="P5" s="817">
        <v>-3.7999999999999999E-2</v>
      </c>
      <c r="Q5" s="808">
        <v>3.6999999999999998E-2</v>
      </c>
      <c r="R5" s="816">
        <v>-3.7999999999999999E-2</v>
      </c>
      <c r="S5" s="806">
        <v>3.5000000000000003E-2</v>
      </c>
      <c r="T5" s="807">
        <f t="shared" si="5"/>
        <v>-0.03</v>
      </c>
      <c r="U5" s="835">
        <v>0.03</v>
      </c>
    </row>
    <row r="6" spans="1:21">
      <c r="A6" s="804" t="s">
        <v>439</v>
      </c>
      <c r="B6" s="805">
        <f t="shared" si="0"/>
        <v>-0.03</v>
      </c>
      <c r="C6" s="806">
        <v>0.03</v>
      </c>
      <c r="D6" s="807">
        <f t="shared" si="1"/>
        <v>-0.03</v>
      </c>
      <c r="E6" s="808">
        <v>0.03</v>
      </c>
      <c r="F6" s="805">
        <f t="shared" si="2"/>
        <v>-0.03</v>
      </c>
      <c r="G6" s="806">
        <v>0.03</v>
      </c>
      <c r="H6" s="807">
        <f t="shared" si="3"/>
        <v>-0.03</v>
      </c>
      <c r="I6" s="808">
        <v>0.03</v>
      </c>
      <c r="J6" s="805">
        <f t="shared" si="4"/>
        <v>-0.04</v>
      </c>
      <c r="K6" s="806">
        <v>0.04</v>
      </c>
      <c r="L6" s="817">
        <v>-0.04</v>
      </c>
      <c r="M6" s="808">
        <v>3.5999999999999997E-2</v>
      </c>
      <c r="N6" s="805">
        <f t="shared" si="6"/>
        <v>-0.05</v>
      </c>
      <c r="O6" s="806">
        <v>0.05</v>
      </c>
      <c r="P6" s="817">
        <v>-7.5999999999999998E-2</v>
      </c>
      <c r="Q6" s="808">
        <v>7.3999999999999996E-2</v>
      </c>
      <c r="R6" s="816">
        <v>-7.5999999999999998E-2</v>
      </c>
      <c r="S6" s="806">
        <v>7.0000000000000007E-2</v>
      </c>
      <c r="T6" s="807">
        <f t="shared" si="5"/>
        <v>-0.06</v>
      </c>
      <c r="U6" s="835">
        <v>0.06</v>
      </c>
    </row>
    <row r="7" spans="1:21">
      <c r="A7" s="804" t="s">
        <v>441</v>
      </c>
      <c r="B7" s="805">
        <f t="shared" si="0"/>
        <v>-1.4999999999999999E-2</v>
      </c>
      <c r="C7" s="806">
        <v>1.4999999999999999E-2</v>
      </c>
      <c r="D7" s="807">
        <f t="shared" si="1"/>
        <v>-1.4999999999999999E-2</v>
      </c>
      <c r="E7" s="808">
        <v>1.4999999999999999E-2</v>
      </c>
      <c r="F7" s="805">
        <f t="shared" si="2"/>
        <v>-1.4999999999999999E-2</v>
      </c>
      <c r="G7" s="806">
        <v>1.4999999999999999E-2</v>
      </c>
      <c r="H7" s="807">
        <f t="shared" si="3"/>
        <v>-1.4999999999999999E-2</v>
      </c>
      <c r="I7" s="808">
        <v>1.4999999999999999E-2</v>
      </c>
      <c r="J7" s="805">
        <f t="shared" si="4"/>
        <v>-0.02</v>
      </c>
      <c r="K7" s="806">
        <v>0.02</v>
      </c>
      <c r="L7" s="817">
        <v>-0.02</v>
      </c>
      <c r="M7" s="808">
        <v>1.7999999999999999E-2</v>
      </c>
      <c r="N7" s="805">
        <f t="shared" si="6"/>
        <v>-2.5000000000000001E-2</v>
      </c>
      <c r="O7" s="806">
        <v>2.5000000000000001E-2</v>
      </c>
      <c r="P7" s="817">
        <v>-3.7999999999999999E-2</v>
      </c>
      <c r="Q7" s="808">
        <v>3.6999999999999998E-2</v>
      </c>
      <c r="R7" s="816">
        <v>-3.7999999999999999E-2</v>
      </c>
      <c r="S7" s="806">
        <v>3.5000000000000003E-2</v>
      </c>
      <c r="T7" s="807">
        <f t="shared" si="5"/>
        <v>-0.03</v>
      </c>
      <c r="U7" s="835">
        <v>0.03</v>
      </c>
    </row>
    <row r="8" spans="1:21">
      <c r="A8" s="804" t="s">
        <v>442</v>
      </c>
      <c r="B8" s="805">
        <f t="shared" si="0"/>
        <v>-1.2E-2</v>
      </c>
      <c r="C8" s="806">
        <v>1.2E-2</v>
      </c>
      <c r="D8" s="807">
        <f t="shared" si="1"/>
        <v>-1.2E-2</v>
      </c>
      <c r="E8" s="808">
        <v>1.2E-2</v>
      </c>
      <c r="F8" s="805">
        <f t="shared" si="2"/>
        <v>-1.2E-2</v>
      </c>
      <c r="G8" s="806">
        <v>1.2E-2</v>
      </c>
      <c r="H8" s="807">
        <f t="shared" si="3"/>
        <v>-1.2E-2</v>
      </c>
      <c r="I8" s="808">
        <v>1.2E-2</v>
      </c>
      <c r="J8" s="805">
        <f t="shared" si="4"/>
        <v>-1.6E-2</v>
      </c>
      <c r="K8" s="806">
        <v>1.6E-2</v>
      </c>
      <c r="L8" s="817">
        <v>-1.6E-2</v>
      </c>
      <c r="M8" s="808">
        <v>1.44E-2</v>
      </c>
      <c r="N8" s="805">
        <f t="shared" si="6"/>
        <v>-0.02</v>
      </c>
      <c r="O8" s="806">
        <v>0.02</v>
      </c>
      <c r="P8" s="817">
        <v>-3.04E-2</v>
      </c>
      <c r="Q8" s="808">
        <v>2.9600000000000001E-2</v>
      </c>
      <c r="R8" s="816">
        <v>-3.04E-2</v>
      </c>
      <c r="S8" s="806">
        <v>2.8000000000000001E-2</v>
      </c>
      <c r="T8" s="807">
        <f t="shared" si="5"/>
        <v>-2.4E-2</v>
      </c>
      <c r="U8" s="835">
        <v>2.4E-2</v>
      </c>
    </row>
    <row r="9" spans="1:21">
      <c r="A9" s="809" t="s">
        <v>445</v>
      </c>
      <c r="B9" s="810">
        <f t="shared" si="0"/>
        <v>-1.0500000000000001E-2</v>
      </c>
      <c r="C9" s="811">
        <v>1.0500000000000001E-2</v>
      </c>
      <c r="D9" s="812">
        <f t="shared" si="1"/>
        <v>-1.0500000000000001E-2</v>
      </c>
      <c r="E9" s="813">
        <v>1.0500000000000001E-2</v>
      </c>
      <c r="F9" s="810">
        <f t="shared" si="2"/>
        <v>-1.0500000000000001E-2</v>
      </c>
      <c r="G9" s="811">
        <v>1.0500000000000001E-2</v>
      </c>
      <c r="H9" s="812">
        <f t="shared" si="3"/>
        <v>-1.0500000000000001E-2</v>
      </c>
      <c r="I9" s="813">
        <v>1.0500000000000001E-2</v>
      </c>
      <c r="J9" s="810">
        <f t="shared" si="4"/>
        <v>-1.4E-2</v>
      </c>
      <c r="K9" s="811">
        <v>1.4E-2</v>
      </c>
      <c r="L9" s="819">
        <v>-1.4E-2</v>
      </c>
      <c r="M9" s="813">
        <v>1.26E-2</v>
      </c>
      <c r="N9" s="810">
        <f t="shared" si="6"/>
        <v>-1.7500000000000002E-2</v>
      </c>
      <c r="O9" s="811">
        <v>1.7500000000000002E-2</v>
      </c>
      <c r="P9" s="819">
        <v>-2.6599999999999999E-2</v>
      </c>
      <c r="Q9" s="813">
        <v>2.5899999999999999E-2</v>
      </c>
      <c r="R9" s="818">
        <v>-2.6599999999999999E-2</v>
      </c>
      <c r="S9" s="811">
        <v>2.4500000000000001E-2</v>
      </c>
      <c r="T9" s="812">
        <f t="shared" si="5"/>
        <v>-2.1000000000000001E-2</v>
      </c>
      <c r="U9" s="836">
        <v>2.1000000000000001E-2</v>
      </c>
    </row>
    <row r="10" spans="1:21">
      <c r="A10" s="799" t="s">
        <v>147</v>
      </c>
      <c r="B10" s="800">
        <f t="shared" si="0"/>
        <v>-0.04</v>
      </c>
      <c r="C10" s="801">
        <v>0.04</v>
      </c>
      <c r="D10" s="802">
        <f t="shared" si="1"/>
        <v>-0.03</v>
      </c>
      <c r="E10" s="803">
        <v>0.03</v>
      </c>
      <c r="F10" s="800">
        <f t="shared" si="2"/>
        <v>-0.03</v>
      </c>
      <c r="G10" s="801">
        <v>0.03</v>
      </c>
      <c r="H10" s="802">
        <f t="shared" si="3"/>
        <v>-0.04</v>
      </c>
      <c r="I10" s="803">
        <v>0.04</v>
      </c>
      <c r="J10" s="814">
        <v>-3.5999999999999997E-2</v>
      </c>
      <c r="K10" s="801">
        <v>3.4000000000000002E-2</v>
      </c>
      <c r="L10" s="815">
        <v>-4.8000000000000001E-2</v>
      </c>
      <c r="M10" s="803">
        <v>4.5999999999999999E-2</v>
      </c>
      <c r="N10" s="800">
        <f t="shared" si="6"/>
        <v>-0.04</v>
      </c>
      <c r="O10" s="801">
        <v>0.04</v>
      </c>
      <c r="P10" s="815">
        <v>-7.1999999999999995E-2</v>
      </c>
      <c r="Q10" s="803">
        <v>6.8000000000000005E-2</v>
      </c>
      <c r="R10" s="814">
        <v>-0.08</v>
      </c>
      <c r="S10" s="801">
        <v>7.1999999999999995E-2</v>
      </c>
      <c r="T10" s="802">
        <f t="shared" si="5"/>
        <v>-0.06</v>
      </c>
      <c r="U10" s="834">
        <v>0.06</v>
      </c>
    </row>
    <row r="11" spans="1:21">
      <c r="A11" s="804" t="s">
        <v>145</v>
      </c>
      <c r="B11" s="805">
        <f t="shared" ref="B11:B17" si="7">0-C11</f>
        <v>-0.05</v>
      </c>
      <c r="C11" s="806">
        <v>0.05</v>
      </c>
      <c r="D11" s="807">
        <f t="shared" ref="D11:F16" si="8">0-E11</f>
        <v>-3.7499999999999999E-2</v>
      </c>
      <c r="E11" s="808">
        <v>3.7499999999999999E-2</v>
      </c>
      <c r="F11" s="805">
        <f t="shared" si="8"/>
        <v>-3.7499999999999999E-2</v>
      </c>
      <c r="G11" s="806">
        <v>3.7499999999999999E-2</v>
      </c>
      <c r="H11" s="807">
        <f t="shared" ref="H11:H16" si="9">0-I11</f>
        <v>-0.05</v>
      </c>
      <c r="I11" s="808">
        <v>0.05</v>
      </c>
      <c r="J11" s="816">
        <v>-4.4999999999999998E-2</v>
      </c>
      <c r="K11" s="806">
        <v>4.2500000000000003E-2</v>
      </c>
      <c r="L11" s="817">
        <v>-0.06</v>
      </c>
      <c r="M11" s="808">
        <v>5.7500000000000002E-2</v>
      </c>
      <c r="N11" s="805">
        <f t="shared" ref="N11:N16" si="10">0-O11</f>
        <v>-0.05</v>
      </c>
      <c r="O11" s="806">
        <v>0.05</v>
      </c>
      <c r="P11" s="817">
        <v>-0.09</v>
      </c>
      <c r="Q11" s="808">
        <v>8.5000000000000006E-2</v>
      </c>
      <c r="R11" s="816">
        <v>-0.1</v>
      </c>
      <c r="S11" s="806">
        <v>0.09</v>
      </c>
      <c r="T11" s="807">
        <f t="shared" ref="T11:T17" si="11">0-U11</f>
        <v>-7.4999999999999997E-2</v>
      </c>
      <c r="U11" s="835">
        <v>7.4999999999999997E-2</v>
      </c>
    </row>
    <row r="12" spans="1:21">
      <c r="A12" s="804" t="s">
        <v>38</v>
      </c>
      <c r="B12" s="805">
        <f t="shared" si="7"/>
        <v>-0.02</v>
      </c>
      <c r="C12" s="806">
        <v>0.02</v>
      </c>
      <c r="D12" s="807">
        <f t="shared" si="8"/>
        <v>-1.4999999999999999E-2</v>
      </c>
      <c r="E12" s="808">
        <v>1.4999999999999999E-2</v>
      </c>
      <c r="F12" s="805">
        <f t="shared" si="8"/>
        <v>-1.4999999999999999E-2</v>
      </c>
      <c r="G12" s="806">
        <v>1.4999999999999999E-2</v>
      </c>
      <c r="H12" s="807">
        <f t="shared" si="9"/>
        <v>-0.02</v>
      </c>
      <c r="I12" s="808">
        <v>0.02</v>
      </c>
      <c r="J12" s="816">
        <v>-1.7999999999999999E-2</v>
      </c>
      <c r="K12" s="806">
        <v>1.7000000000000001E-2</v>
      </c>
      <c r="L12" s="817">
        <v>-2.4E-2</v>
      </c>
      <c r="M12" s="808">
        <v>2.3E-2</v>
      </c>
      <c r="N12" s="805">
        <f t="shared" si="10"/>
        <v>-0.02</v>
      </c>
      <c r="O12" s="806">
        <v>0.02</v>
      </c>
      <c r="P12" s="817">
        <v>-3.5999999999999997E-2</v>
      </c>
      <c r="Q12" s="808">
        <v>3.4000000000000002E-2</v>
      </c>
      <c r="R12" s="816">
        <v>-0.04</v>
      </c>
      <c r="S12" s="806">
        <v>3.5999999999999997E-2</v>
      </c>
      <c r="T12" s="807">
        <f t="shared" si="11"/>
        <v>-0.03</v>
      </c>
      <c r="U12" s="835">
        <v>0.03</v>
      </c>
    </row>
    <row r="13" spans="1:21">
      <c r="A13" s="804" t="s">
        <v>439</v>
      </c>
      <c r="B13" s="805">
        <f t="shared" si="7"/>
        <v>-0.02</v>
      </c>
      <c r="C13" s="806">
        <v>0.02</v>
      </c>
      <c r="D13" s="807">
        <f t="shared" si="8"/>
        <v>-1.4999999999999999E-2</v>
      </c>
      <c r="E13" s="808">
        <v>1.4999999999999999E-2</v>
      </c>
      <c r="F13" s="805">
        <f t="shared" si="8"/>
        <v>-1.4999999999999999E-2</v>
      </c>
      <c r="G13" s="806">
        <v>1.4999999999999999E-2</v>
      </c>
      <c r="H13" s="807">
        <f t="shared" si="9"/>
        <v>-0.02</v>
      </c>
      <c r="I13" s="808">
        <v>0.02</v>
      </c>
      <c r="J13" s="816">
        <v>-1.7999999999999999E-2</v>
      </c>
      <c r="K13" s="806">
        <v>1.7000000000000001E-2</v>
      </c>
      <c r="L13" s="817">
        <v>-2.4E-2</v>
      </c>
      <c r="M13" s="808">
        <v>2.3E-2</v>
      </c>
      <c r="N13" s="805">
        <f t="shared" si="10"/>
        <v>-0.02</v>
      </c>
      <c r="O13" s="806">
        <v>0.02</v>
      </c>
      <c r="P13" s="817">
        <v>-3.5999999999999997E-2</v>
      </c>
      <c r="Q13" s="808">
        <v>3.4000000000000002E-2</v>
      </c>
      <c r="R13" s="816">
        <v>-0.04</v>
      </c>
      <c r="S13" s="806">
        <v>3.5999999999999997E-2</v>
      </c>
      <c r="T13" s="807">
        <f t="shared" si="11"/>
        <v>-0.03</v>
      </c>
      <c r="U13" s="835">
        <v>0.03</v>
      </c>
    </row>
    <row r="14" spans="1:21">
      <c r="A14" s="804" t="s">
        <v>441</v>
      </c>
      <c r="B14" s="805">
        <f t="shared" si="7"/>
        <v>-0.03</v>
      </c>
      <c r="C14" s="806">
        <v>0.03</v>
      </c>
      <c r="D14" s="807">
        <f t="shared" si="8"/>
        <v>-2.2499999999999999E-2</v>
      </c>
      <c r="E14" s="808">
        <v>2.2499999999999999E-2</v>
      </c>
      <c r="F14" s="805">
        <f t="shared" si="8"/>
        <v>-2.2499999999999999E-2</v>
      </c>
      <c r="G14" s="806">
        <v>2.2499999999999999E-2</v>
      </c>
      <c r="H14" s="807">
        <f t="shared" si="9"/>
        <v>-0.03</v>
      </c>
      <c r="I14" s="808">
        <v>0.03</v>
      </c>
      <c r="J14" s="816">
        <v>-2.7E-2</v>
      </c>
      <c r="K14" s="806">
        <v>2.5499999999999998E-2</v>
      </c>
      <c r="L14" s="817">
        <v>-3.5999999999999997E-2</v>
      </c>
      <c r="M14" s="808">
        <v>3.4500000000000003E-2</v>
      </c>
      <c r="N14" s="805">
        <f t="shared" si="10"/>
        <v>-0.03</v>
      </c>
      <c r="O14" s="806">
        <v>0.03</v>
      </c>
      <c r="P14" s="817">
        <v>-5.3999999999999999E-2</v>
      </c>
      <c r="Q14" s="808">
        <v>5.0999999999999997E-2</v>
      </c>
      <c r="R14" s="816">
        <v>-0.06</v>
      </c>
      <c r="S14" s="806">
        <v>5.3999999999999999E-2</v>
      </c>
      <c r="T14" s="807">
        <f t="shared" si="11"/>
        <v>-4.4999999999999998E-2</v>
      </c>
      <c r="U14" s="835">
        <v>4.4999999999999998E-2</v>
      </c>
    </row>
    <row r="15" spans="1:21">
      <c r="A15" s="804" t="s">
        <v>442</v>
      </c>
      <c r="B15" s="805">
        <f t="shared" si="7"/>
        <v>-1.6E-2</v>
      </c>
      <c r="C15" s="806">
        <v>1.6E-2</v>
      </c>
      <c r="D15" s="807">
        <f t="shared" si="8"/>
        <v>-1.2E-2</v>
      </c>
      <c r="E15" s="808">
        <v>1.2E-2</v>
      </c>
      <c r="F15" s="805">
        <f t="shared" si="8"/>
        <v>-1.2E-2</v>
      </c>
      <c r="G15" s="806">
        <v>1.2E-2</v>
      </c>
      <c r="H15" s="807">
        <f t="shared" si="9"/>
        <v>-1.6E-2</v>
      </c>
      <c r="I15" s="808">
        <v>1.6E-2</v>
      </c>
      <c r="J15" s="816">
        <v>-1.44E-2</v>
      </c>
      <c r="K15" s="806">
        <v>1.3599999999999999E-2</v>
      </c>
      <c r="L15" s="817">
        <v>-1.9199999999999998E-2</v>
      </c>
      <c r="M15" s="808">
        <v>1.84E-2</v>
      </c>
      <c r="N15" s="805">
        <f t="shared" si="10"/>
        <v>-1.6E-2</v>
      </c>
      <c r="O15" s="806">
        <v>1.6E-2</v>
      </c>
      <c r="P15" s="817">
        <v>-2.8799999999999999E-2</v>
      </c>
      <c r="Q15" s="808">
        <v>2.7199999999999998E-2</v>
      </c>
      <c r="R15" s="816">
        <v>-3.2000000000000001E-2</v>
      </c>
      <c r="S15" s="806">
        <v>2.8799999999999999E-2</v>
      </c>
      <c r="T15" s="807">
        <f t="shared" si="11"/>
        <v>-2.4E-2</v>
      </c>
      <c r="U15" s="835">
        <v>2.4E-2</v>
      </c>
    </row>
    <row r="16" spans="1:21" ht="12" customHeight="1">
      <c r="A16" s="809" t="s">
        <v>1038</v>
      </c>
      <c r="B16" s="810">
        <f t="shared" si="7"/>
        <v>-2.4E-2</v>
      </c>
      <c r="C16" s="811">
        <v>2.4E-2</v>
      </c>
      <c r="D16" s="812">
        <f t="shared" si="8"/>
        <v>-1.7999999999999999E-2</v>
      </c>
      <c r="E16" s="813">
        <v>1.7999999999999999E-2</v>
      </c>
      <c r="F16" s="810">
        <f t="shared" si="8"/>
        <v>-1.7999999999999999E-2</v>
      </c>
      <c r="G16" s="811">
        <v>1.7999999999999999E-2</v>
      </c>
      <c r="H16" s="812">
        <f t="shared" si="9"/>
        <v>-2.4E-2</v>
      </c>
      <c r="I16" s="813">
        <v>2.4E-2</v>
      </c>
      <c r="J16" s="818">
        <v>-2.1600000000000001E-2</v>
      </c>
      <c r="K16" s="811">
        <v>2.0400000000000001E-2</v>
      </c>
      <c r="L16" s="819">
        <v>-2.8799999999999999E-2</v>
      </c>
      <c r="M16" s="813">
        <v>2.76E-2</v>
      </c>
      <c r="N16" s="810">
        <f t="shared" si="10"/>
        <v>-2.4E-2</v>
      </c>
      <c r="O16" s="811">
        <v>2.4E-2</v>
      </c>
      <c r="P16" s="819">
        <v>-4.3200000000000002E-2</v>
      </c>
      <c r="Q16" s="813">
        <v>4.0800000000000003E-2</v>
      </c>
      <c r="R16" s="818">
        <v>-4.8000000000000001E-2</v>
      </c>
      <c r="S16" s="811">
        <v>4.3200000000000002E-2</v>
      </c>
      <c r="T16" s="812">
        <f t="shared" si="11"/>
        <v>-3.5999999999999997E-2</v>
      </c>
      <c r="U16" s="836">
        <v>3.5999999999999997E-2</v>
      </c>
    </row>
    <row r="17" spans="1:21">
      <c r="A17" s="799" t="s">
        <v>139</v>
      </c>
      <c r="B17" s="800">
        <f t="shared" si="7"/>
        <v>-0.02</v>
      </c>
      <c r="C17" s="801">
        <v>0.02</v>
      </c>
      <c r="D17" s="802">
        <f t="shared" ref="D17:D24" si="12">0-E17</f>
        <v>-2.1000000000000001E-2</v>
      </c>
      <c r="E17" s="803">
        <v>2.1000000000000001E-2</v>
      </c>
      <c r="F17" s="814">
        <v>-1.4999999999999999E-2</v>
      </c>
      <c r="G17" s="801">
        <v>2.5000000000000001E-2</v>
      </c>
      <c r="H17" s="815">
        <v>-1.7000000000000001E-2</v>
      </c>
      <c r="I17" s="803">
        <v>2.5999999999999999E-2</v>
      </c>
      <c r="J17" s="800">
        <f>0-K17</f>
        <v>-0.03</v>
      </c>
      <c r="K17" s="801">
        <v>0.03</v>
      </c>
      <c r="L17" s="802">
        <f t="shared" ref="L17:L24" si="13">0-M17</f>
        <v>-2.5999999999999999E-2</v>
      </c>
      <c r="M17" s="803">
        <v>2.5999999999999999E-2</v>
      </c>
      <c r="N17" s="814">
        <v>-2.7E-2</v>
      </c>
      <c r="O17" s="801">
        <v>2.5999999999999999E-2</v>
      </c>
      <c r="P17" s="802">
        <f t="shared" ref="P17:P24" si="14">0-Q17</f>
        <v>-3.3000000000000002E-2</v>
      </c>
      <c r="Q17" s="803">
        <v>3.3000000000000002E-2</v>
      </c>
      <c r="R17" s="814">
        <v>-3.5999999999999997E-2</v>
      </c>
      <c r="S17" s="801">
        <v>3.2000000000000001E-2</v>
      </c>
      <c r="T17" s="802">
        <f t="shared" si="11"/>
        <v>-0.03</v>
      </c>
      <c r="U17" s="803">
        <v>0.03</v>
      </c>
    </row>
    <row r="18" spans="1:21">
      <c r="A18" s="804" t="s">
        <v>145</v>
      </c>
      <c r="B18" s="805">
        <f t="shared" ref="B18:B25" si="15">0-C18</f>
        <v>-0.04</v>
      </c>
      <c r="C18" s="806">
        <v>0.04</v>
      </c>
      <c r="D18" s="807">
        <f t="shared" si="12"/>
        <v>-4.2000000000000003E-2</v>
      </c>
      <c r="E18" s="808">
        <v>4.2000000000000003E-2</v>
      </c>
      <c r="F18" s="816">
        <v>-0.03</v>
      </c>
      <c r="G18" s="806">
        <v>0.05</v>
      </c>
      <c r="H18" s="817">
        <v>-3.4000000000000002E-2</v>
      </c>
      <c r="I18" s="808">
        <v>5.1999999999999998E-2</v>
      </c>
      <c r="J18" s="805">
        <f t="shared" ref="J18:J24" si="16">0-K18</f>
        <v>-0.06</v>
      </c>
      <c r="K18" s="806">
        <v>0.06</v>
      </c>
      <c r="L18" s="807">
        <f t="shared" si="13"/>
        <v>-5.1999999999999998E-2</v>
      </c>
      <c r="M18" s="808">
        <v>5.1999999999999998E-2</v>
      </c>
      <c r="N18" s="816">
        <v>-5.3999999999999999E-2</v>
      </c>
      <c r="O18" s="806">
        <v>5.1999999999999998E-2</v>
      </c>
      <c r="P18" s="807">
        <f t="shared" si="14"/>
        <v>-6.6000000000000003E-2</v>
      </c>
      <c r="Q18" s="808">
        <v>6.6000000000000003E-2</v>
      </c>
      <c r="R18" s="816">
        <v>-7.1999999999999995E-2</v>
      </c>
      <c r="S18" s="806">
        <v>6.4000000000000001E-2</v>
      </c>
      <c r="T18" s="807">
        <f t="shared" ref="T18:T24" si="17">0-U18</f>
        <v>-0.06</v>
      </c>
      <c r="U18" s="808">
        <v>0.06</v>
      </c>
    </row>
    <row r="19" spans="1:21">
      <c r="A19" s="804" t="s">
        <v>38</v>
      </c>
      <c r="B19" s="805">
        <f t="shared" si="15"/>
        <v>-0.02</v>
      </c>
      <c r="C19" s="806">
        <v>0.02</v>
      </c>
      <c r="D19" s="807">
        <f t="shared" si="12"/>
        <v>-2.1000000000000001E-2</v>
      </c>
      <c r="E19" s="808">
        <v>2.1000000000000001E-2</v>
      </c>
      <c r="F19" s="816">
        <v>-1.4999999999999999E-2</v>
      </c>
      <c r="G19" s="806">
        <v>2.5000000000000001E-2</v>
      </c>
      <c r="H19" s="817">
        <v>-1.7000000000000001E-2</v>
      </c>
      <c r="I19" s="808">
        <v>2.5999999999999999E-2</v>
      </c>
      <c r="J19" s="805">
        <f t="shared" si="16"/>
        <v>-0.03</v>
      </c>
      <c r="K19" s="806">
        <v>0.03</v>
      </c>
      <c r="L19" s="807">
        <f t="shared" si="13"/>
        <v>-2.5999999999999999E-2</v>
      </c>
      <c r="M19" s="808">
        <v>2.5999999999999999E-2</v>
      </c>
      <c r="N19" s="816">
        <v>-2.7E-2</v>
      </c>
      <c r="O19" s="806">
        <v>2.5999999999999999E-2</v>
      </c>
      <c r="P19" s="807">
        <f t="shared" si="14"/>
        <v>-3.3000000000000002E-2</v>
      </c>
      <c r="Q19" s="808">
        <v>3.3000000000000002E-2</v>
      </c>
      <c r="R19" s="816">
        <v>-3.5999999999999997E-2</v>
      </c>
      <c r="S19" s="806">
        <v>3.2000000000000001E-2</v>
      </c>
      <c r="T19" s="807">
        <f t="shared" si="17"/>
        <v>-0.03</v>
      </c>
      <c r="U19" s="808">
        <v>0.03</v>
      </c>
    </row>
    <row r="20" spans="1:21">
      <c r="A20" s="804" t="s">
        <v>447</v>
      </c>
      <c r="B20" s="805">
        <f t="shared" si="15"/>
        <v>-0.02</v>
      </c>
      <c r="C20" s="806">
        <v>0.02</v>
      </c>
      <c r="D20" s="807">
        <f t="shared" si="12"/>
        <v>-2.1000000000000001E-2</v>
      </c>
      <c r="E20" s="808">
        <v>2.1000000000000001E-2</v>
      </c>
      <c r="F20" s="816">
        <v>-1.4999999999999999E-2</v>
      </c>
      <c r="G20" s="806">
        <v>2.5000000000000001E-2</v>
      </c>
      <c r="H20" s="817">
        <v>-1.7000000000000001E-2</v>
      </c>
      <c r="I20" s="808">
        <v>2.5999999999999999E-2</v>
      </c>
      <c r="J20" s="805">
        <f t="shared" si="16"/>
        <v>-0.03</v>
      </c>
      <c r="K20" s="806">
        <v>0.03</v>
      </c>
      <c r="L20" s="807">
        <f t="shared" si="13"/>
        <v>-2.5999999999999999E-2</v>
      </c>
      <c r="M20" s="808">
        <v>2.5999999999999999E-2</v>
      </c>
      <c r="N20" s="816">
        <v>-2.7E-2</v>
      </c>
      <c r="O20" s="806">
        <v>2.5999999999999999E-2</v>
      </c>
      <c r="P20" s="807">
        <f t="shared" si="14"/>
        <v>-3.3000000000000002E-2</v>
      </c>
      <c r="Q20" s="808">
        <v>3.3000000000000002E-2</v>
      </c>
      <c r="R20" s="816">
        <v>-3.5999999999999997E-2</v>
      </c>
      <c r="S20" s="806">
        <v>3.2000000000000001E-2</v>
      </c>
      <c r="T20" s="807">
        <f t="shared" si="17"/>
        <v>-0.03</v>
      </c>
      <c r="U20" s="808">
        <v>0.03</v>
      </c>
    </row>
    <row r="21" spans="1:21">
      <c r="A21" s="804" t="s">
        <v>442</v>
      </c>
      <c r="B21" s="805">
        <f t="shared" si="15"/>
        <v>-1.6E-2</v>
      </c>
      <c r="C21" s="806">
        <v>1.6E-2</v>
      </c>
      <c r="D21" s="807">
        <f t="shared" si="12"/>
        <v>-1.6799999999999999E-2</v>
      </c>
      <c r="E21" s="808">
        <v>1.6799999999999999E-2</v>
      </c>
      <c r="F21" s="816">
        <v>-1.2E-2</v>
      </c>
      <c r="G21" s="806">
        <v>0.02</v>
      </c>
      <c r="H21" s="817">
        <v>-1.3599999999999999E-2</v>
      </c>
      <c r="I21" s="808">
        <v>2.0799999999999999E-2</v>
      </c>
      <c r="J21" s="805">
        <f t="shared" si="16"/>
        <v>-2.4E-2</v>
      </c>
      <c r="K21" s="806">
        <v>2.4E-2</v>
      </c>
      <c r="L21" s="807">
        <f t="shared" si="13"/>
        <v>-2.0799999999999999E-2</v>
      </c>
      <c r="M21" s="808">
        <v>2.0799999999999999E-2</v>
      </c>
      <c r="N21" s="816">
        <v>-2.1600000000000001E-2</v>
      </c>
      <c r="O21" s="806">
        <v>2.0799999999999999E-2</v>
      </c>
      <c r="P21" s="807">
        <f t="shared" si="14"/>
        <v>-2.64E-2</v>
      </c>
      <c r="Q21" s="808">
        <v>2.64E-2</v>
      </c>
      <c r="R21" s="816">
        <v>-2.8799999999999999E-2</v>
      </c>
      <c r="S21" s="806">
        <v>2.5600000000000001E-2</v>
      </c>
      <c r="T21" s="807">
        <f t="shared" si="17"/>
        <v>-2.4E-2</v>
      </c>
      <c r="U21" s="808">
        <v>2.4E-2</v>
      </c>
    </row>
    <row r="22" spans="1:21" ht="12" customHeight="1">
      <c r="A22" s="804" t="s">
        <v>1038</v>
      </c>
      <c r="B22" s="805">
        <f t="shared" si="15"/>
        <v>-2.4E-2</v>
      </c>
      <c r="C22" s="806">
        <v>2.4E-2</v>
      </c>
      <c r="D22" s="807">
        <f t="shared" si="12"/>
        <v>-2.52E-2</v>
      </c>
      <c r="E22" s="808">
        <v>2.52E-2</v>
      </c>
      <c r="F22" s="816">
        <v>-1.7999999999999999E-2</v>
      </c>
      <c r="G22" s="806">
        <v>0.03</v>
      </c>
      <c r="H22" s="817">
        <v>-2.0400000000000001E-2</v>
      </c>
      <c r="I22" s="808">
        <v>3.1199999999999999E-2</v>
      </c>
      <c r="J22" s="805">
        <f t="shared" si="16"/>
        <v>-3.5999999999999997E-2</v>
      </c>
      <c r="K22" s="806">
        <v>3.5999999999999997E-2</v>
      </c>
      <c r="L22" s="807">
        <f t="shared" si="13"/>
        <v>-3.1199999999999999E-2</v>
      </c>
      <c r="M22" s="808">
        <v>3.1199999999999999E-2</v>
      </c>
      <c r="N22" s="816">
        <v>-3.2399999999999998E-2</v>
      </c>
      <c r="O22" s="806">
        <v>3.1199999999999999E-2</v>
      </c>
      <c r="P22" s="807">
        <f t="shared" si="14"/>
        <v>-3.9600000000000003E-2</v>
      </c>
      <c r="Q22" s="808">
        <v>3.9600000000000003E-2</v>
      </c>
      <c r="R22" s="816">
        <v>-4.3200000000000002E-2</v>
      </c>
      <c r="S22" s="806">
        <v>3.8399999999999997E-2</v>
      </c>
      <c r="T22" s="807">
        <f t="shared" si="17"/>
        <v>-3.5999999999999997E-2</v>
      </c>
      <c r="U22" s="808">
        <v>3.5999999999999997E-2</v>
      </c>
    </row>
    <row r="23" spans="1:21">
      <c r="A23" s="804" t="s">
        <v>446</v>
      </c>
      <c r="B23" s="805">
        <f t="shared" si="15"/>
        <v>-0.04</v>
      </c>
      <c r="C23" s="806">
        <v>0.04</v>
      </c>
      <c r="D23" s="807">
        <f t="shared" si="12"/>
        <v>-4.2000000000000003E-2</v>
      </c>
      <c r="E23" s="808">
        <v>4.2000000000000003E-2</v>
      </c>
      <c r="F23" s="816">
        <v>-0.03</v>
      </c>
      <c r="G23" s="806">
        <v>0.05</v>
      </c>
      <c r="H23" s="817">
        <v>-3.4000000000000002E-2</v>
      </c>
      <c r="I23" s="808">
        <v>5.1999999999999998E-2</v>
      </c>
      <c r="J23" s="805">
        <f t="shared" si="16"/>
        <v>-0.06</v>
      </c>
      <c r="K23" s="806">
        <v>0.06</v>
      </c>
      <c r="L23" s="807">
        <f t="shared" si="13"/>
        <v>-5.1999999999999998E-2</v>
      </c>
      <c r="M23" s="808">
        <v>5.1999999999999998E-2</v>
      </c>
      <c r="N23" s="816">
        <v>-5.3999999999999999E-2</v>
      </c>
      <c r="O23" s="806">
        <v>5.1999999999999998E-2</v>
      </c>
      <c r="P23" s="807">
        <f t="shared" si="14"/>
        <v>-6.6000000000000003E-2</v>
      </c>
      <c r="Q23" s="808">
        <v>6.6000000000000003E-2</v>
      </c>
      <c r="R23" s="816">
        <v>-7.1999999999999995E-2</v>
      </c>
      <c r="S23" s="806">
        <v>6.4000000000000001E-2</v>
      </c>
      <c r="T23" s="807">
        <f t="shared" si="17"/>
        <v>-0.06</v>
      </c>
      <c r="U23" s="808">
        <v>0.06</v>
      </c>
    </row>
    <row r="24" spans="1:21">
      <c r="A24" s="809" t="s">
        <v>1039</v>
      </c>
      <c r="B24" s="810">
        <f t="shared" si="15"/>
        <v>-0.02</v>
      </c>
      <c r="C24" s="811">
        <v>0.02</v>
      </c>
      <c r="D24" s="812">
        <f t="shared" si="12"/>
        <v>-2.1000000000000001E-2</v>
      </c>
      <c r="E24" s="813">
        <v>2.1000000000000001E-2</v>
      </c>
      <c r="F24" s="818">
        <v>-1.4999999999999999E-2</v>
      </c>
      <c r="G24" s="811">
        <v>2.5000000000000001E-2</v>
      </c>
      <c r="H24" s="819">
        <v>-1.7000000000000001E-2</v>
      </c>
      <c r="I24" s="813">
        <v>2.5999999999999999E-2</v>
      </c>
      <c r="J24" s="810">
        <f t="shared" si="16"/>
        <v>-0.03</v>
      </c>
      <c r="K24" s="811">
        <v>0.03</v>
      </c>
      <c r="L24" s="812">
        <f t="shared" si="13"/>
        <v>-2.5999999999999999E-2</v>
      </c>
      <c r="M24" s="813">
        <v>2.5999999999999999E-2</v>
      </c>
      <c r="N24" s="818">
        <v>-2.7E-2</v>
      </c>
      <c r="O24" s="811">
        <v>2.5999999999999999E-2</v>
      </c>
      <c r="P24" s="812">
        <f t="shared" si="14"/>
        <v>-3.3000000000000002E-2</v>
      </c>
      <c r="Q24" s="813">
        <v>3.3000000000000002E-2</v>
      </c>
      <c r="R24" s="818">
        <v>-3.5999999999999997E-2</v>
      </c>
      <c r="S24" s="811">
        <v>3.2000000000000001E-2</v>
      </c>
      <c r="T24" s="812">
        <f t="shared" si="17"/>
        <v>-0.03</v>
      </c>
      <c r="U24" s="813">
        <v>0.03</v>
      </c>
    </row>
    <row r="25" spans="1:21">
      <c r="A25" s="804" t="s">
        <v>141</v>
      </c>
      <c r="B25" s="800">
        <f t="shared" si="15"/>
        <v>-0.02</v>
      </c>
      <c r="C25" s="801">
        <v>0.02</v>
      </c>
      <c r="D25" s="802">
        <f t="shared" ref="D25:F31" si="18">0-E25</f>
        <v>-0.02</v>
      </c>
      <c r="E25" s="803">
        <v>0.02</v>
      </c>
      <c r="F25" s="800">
        <f t="shared" si="18"/>
        <v>-0.04</v>
      </c>
      <c r="G25" s="801">
        <v>0.04</v>
      </c>
      <c r="H25" s="802">
        <f t="shared" ref="H25" si="19">0-I25</f>
        <v>-4.8000000000000001E-2</v>
      </c>
      <c r="I25" s="803">
        <v>4.8000000000000001E-2</v>
      </c>
      <c r="J25" s="814">
        <v>-0.05</v>
      </c>
      <c r="K25" s="801">
        <v>4.8000000000000001E-2</v>
      </c>
      <c r="L25" s="802">
        <f t="shared" ref="L25:P31" si="20">0-M25</f>
        <v>-0.04</v>
      </c>
      <c r="M25" s="803">
        <v>0.04</v>
      </c>
      <c r="N25" s="800">
        <f t="shared" si="20"/>
        <v>-4.5999999999999999E-2</v>
      </c>
      <c r="O25" s="801">
        <v>4.5999999999999999E-2</v>
      </c>
      <c r="P25" s="802">
        <f t="shared" si="20"/>
        <v>-5.1999999999999998E-2</v>
      </c>
      <c r="Q25" s="803">
        <v>5.1999999999999998E-2</v>
      </c>
    </row>
    <row r="26" spans="1:21">
      <c r="A26" s="804" t="s">
        <v>145</v>
      </c>
      <c r="B26" s="805">
        <f t="shared" ref="B26:B31" si="21">0-C26</f>
        <v>-3.2000000000000001E-2</v>
      </c>
      <c r="C26" s="806">
        <v>3.2000000000000001E-2</v>
      </c>
      <c r="D26" s="807">
        <f t="shared" si="18"/>
        <v>-3.2000000000000001E-2</v>
      </c>
      <c r="E26" s="808">
        <v>3.2000000000000001E-2</v>
      </c>
      <c r="F26" s="805">
        <f t="shared" ref="F26" si="22">0-G26</f>
        <v>-6.4000000000000001E-2</v>
      </c>
      <c r="G26" s="806">
        <v>6.4000000000000001E-2</v>
      </c>
      <c r="H26" s="807">
        <f t="shared" ref="H26" si="23">0-I26</f>
        <v>-7.6799999999999993E-2</v>
      </c>
      <c r="I26" s="808">
        <v>7.6799999999999993E-2</v>
      </c>
      <c r="J26" s="816">
        <v>-0.08</v>
      </c>
      <c r="K26" s="806">
        <v>7.6799999999999993E-2</v>
      </c>
      <c r="L26" s="807">
        <f t="shared" si="20"/>
        <v>-6.4000000000000001E-2</v>
      </c>
      <c r="M26" s="808">
        <v>6.4000000000000001E-2</v>
      </c>
      <c r="N26" s="805">
        <f t="shared" ref="N26" si="24">0-O26</f>
        <v>-7.3599999999999999E-2</v>
      </c>
      <c r="O26" s="806">
        <v>7.3599999999999999E-2</v>
      </c>
      <c r="P26" s="807">
        <f t="shared" ref="P26" si="25">0-Q26</f>
        <v>-8.3199999999999996E-2</v>
      </c>
      <c r="Q26" s="808">
        <v>8.3199999999999996E-2</v>
      </c>
    </row>
    <row r="27" spans="1:21">
      <c r="A27" s="804" t="s">
        <v>38</v>
      </c>
      <c r="B27" s="805">
        <f t="shared" si="21"/>
        <v>-0.01</v>
      </c>
      <c r="C27" s="806">
        <v>0.01</v>
      </c>
      <c r="D27" s="807">
        <f t="shared" si="18"/>
        <v>-0.01</v>
      </c>
      <c r="E27" s="808">
        <v>0.01</v>
      </c>
      <c r="F27" s="805">
        <f t="shared" ref="F27" si="26">0-G27</f>
        <v>-0.02</v>
      </c>
      <c r="G27" s="806">
        <v>0.02</v>
      </c>
      <c r="H27" s="807">
        <f t="shared" ref="H27" si="27">0-I27</f>
        <v>-2.4E-2</v>
      </c>
      <c r="I27" s="808">
        <v>2.4E-2</v>
      </c>
      <c r="J27" s="816">
        <v>-2.5000000000000001E-2</v>
      </c>
      <c r="K27" s="806">
        <v>2.4E-2</v>
      </c>
      <c r="L27" s="807">
        <f t="shared" si="20"/>
        <v>-0.02</v>
      </c>
      <c r="M27" s="808">
        <v>0.02</v>
      </c>
      <c r="N27" s="805">
        <f t="shared" ref="N27" si="28">0-O27</f>
        <v>-2.3E-2</v>
      </c>
      <c r="O27" s="806">
        <v>2.3E-2</v>
      </c>
      <c r="P27" s="807">
        <f t="shared" ref="P27" si="29">0-Q27</f>
        <v>-2.5999999999999999E-2</v>
      </c>
      <c r="Q27" s="808">
        <v>2.5999999999999999E-2</v>
      </c>
    </row>
    <row r="28" spans="1:21">
      <c r="A28" s="804" t="s">
        <v>447</v>
      </c>
      <c r="B28" s="805">
        <f t="shared" si="21"/>
        <v>-8.0000000000000002E-3</v>
      </c>
      <c r="C28" s="806">
        <v>8.0000000000000002E-3</v>
      </c>
      <c r="D28" s="807">
        <f t="shared" si="18"/>
        <v>-8.0000000000000002E-3</v>
      </c>
      <c r="E28" s="808">
        <v>8.0000000000000002E-3</v>
      </c>
      <c r="F28" s="805">
        <f t="shared" ref="F28" si="30">0-G28</f>
        <v>-1.6E-2</v>
      </c>
      <c r="G28" s="806">
        <v>1.6E-2</v>
      </c>
      <c r="H28" s="807">
        <f t="shared" ref="H28" si="31">0-I28</f>
        <v>-1.9199999999999998E-2</v>
      </c>
      <c r="I28" s="808">
        <v>1.9199999999999998E-2</v>
      </c>
      <c r="J28" s="816">
        <v>-0.02</v>
      </c>
      <c r="K28" s="806">
        <v>1.9199999999999998E-2</v>
      </c>
      <c r="L28" s="807">
        <f t="shared" si="20"/>
        <v>-1.6E-2</v>
      </c>
      <c r="M28" s="808">
        <v>1.6E-2</v>
      </c>
      <c r="N28" s="805">
        <f t="shared" ref="N28" si="32">0-O28</f>
        <v>-1.84E-2</v>
      </c>
      <c r="O28" s="806">
        <v>1.84E-2</v>
      </c>
      <c r="P28" s="807">
        <f t="shared" ref="P28" si="33">0-Q28</f>
        <v>-2.0799999999999999E-2</v>
      </c>
      <c r="Q28" s="808">
        <v>2.0799999999999999E-2</v>
      </c>
    </row>
    <row r="29" spans="1:21">
      <c r="A29" s="804" t="s">
        <v>442</v>
      </c>
      <c r="B29" s="805">
        <f t="shared" si="21"/>
        <v>-1.2E-2</v>
      </c>
      <c r="C29" s="806">
        <v>1.2E-2</v>
      </c>
      <c r="D29" s="807">
        <f t="shared" si="18"/>
        <v>-1.2E-2</v>
      </c>
      <c r="E29" s="808">
        <v>1.2E-2</v>
      </c>
      <c r="F29" s="805">
        <f t="shared" ref="F29" si="34">0-G29</f>
        <v>-2.4E-2</v>
      </c>
      <c r="G29" s="806">
        <v>2.4E-2</v>
      </c>
      <c r="H29" s="807">
        <f t="shared" ref="H29" si="35">0-I29</f>
        <v>-2.8799999999999999E-2</v>
      </c>
      <c r="I29" s="808">
        <v>2.8799999999999999E-2</v>
      </c>
      <c r="J29" s="816">
        <v>-0.03</v>
      </c>
      <c r="K29" s="806">
        <v>2.8799999999999999E-2</v>
      </c>
      <c r="L29" s="807">
        <f t="shared" si="20"/>
        <v>-2.4E-2</v>
      </c>
      <c r="M29" s="808">
        <v>2.4E-2</v>
      </c>
      <c r="N29" s="805">
        <f t="shared" ref="N29" si="36">0-O29</f>
        <v>-2.76E-2</v>
      </c>
      <c r="O29" s="806">
        <v>2.76E-2</v>
      </c>
      <c r="P29" s="807">
        <f t="shared" ref="P29" si="37">0-Q29</f>
        <v>-3.1199999999999999E-2</v>
      </c>
      <c r="Q29" s="808">
        <v>3.1199999999999999E-2</v>
      </c>
    </row>
    <row r="30" spans="1:21">
      <c r="A30" s="804" t="s">
        <v>445</v>
      </c>
      <c r="B30" s="805">
        <f t="shared" si="21"/>
        <v>-0.01</v>
      </c>
      <c r="C30" s="806">
        <v>0.01</v>
      </c>
      <c r="D30" s="807">
        <f t="shared" si="18"/>
        <v>-0.01</v>
      </c>
      <c r="E30" s="808">
        <v>0.01</v>
      </c>
      <c r="F30" s="805">
        <f t="shared" ref="F30" si="38">0-G30</f>
        <v>-0.02</v>
      </c>
      <c r="G30" s="806">
        <v>0.02</v>
      </c>
      <c r="H30" s="807">
        <f t="shared" ref="H30" si="39">0-I30</f>
        <v>-2.4E-2</v>
      </c>
      <c r="I30" s="808">
        <v>2.4E-2</v>
      </c>
      <c r="J30" s="816">
        <v>-2.5000000000000001E-2</v>
      </c>
      <c r="K30" s="806">
        <v>2.4E-2</v>
      </c>
      <c r="L30" s="807">
        <f t="shared" si="20"/>
        <v>-0.02</v>
      </c>
      <c r="M30" s="808">
        <v>0.02</v>
      </c>
      <c r="N30" s="805">
        <f t="shared" ref="N30" si="40">0-O30</f>
        <v>-2.3E-2</v>
      </c>
      <c r="O30" s="806">
        <v>2.3E-2</v>
      </c>
      <c r="P30" s="807">
        <f t="shared" ref="P30" si="41">0-Q30</f>
        <v>-2.5999999999999999E-2</v>
      </c>
      <c r="Q30" s="808">
        <v>2.5999999999999999E-2</v>
      </c>
    </row>
    <row r="31" spans="1:21">
      <c r="A31" s="809" t="s">
        <v>150</v>
      </c>
      <c r="B31" s="810">
        <f t="shared" si="21"/>
        <v>-8.0000000000000002E-3</v>
      </c>
      <c r="C31" s="811">
        <v>8.0000000000000002E-3</v>
      </c>
      <c r="D31" s="812">
        <f t="shared" si="18"/>
        <v>-8.0000000000000002E-3</v>
      </c>
      <c r="E31" s="813">
        <v>8.0000000000000002E-3</v>
      </c>
      <c r="F31" s="810">
        <f t="shared" ref="F31" si="42">0-G31</f>
        <v>-1.6E-2</v>
      </c>
      <c r="G31" s="811">
        <v>1.6E-2</v>
      </c>
      <c r="H31" s="812">
        <f t="shared" ref="H31" si="43">0-I31</f>
        <v>-1.9199999999999998E-2</v>
      </c>
      <c r="I31" s="813">
        <v>1.9199999999999998E-2</v>
      </c>
      <c r="J31" s="818">
        <v>-0.02</v>
      </c>
      <c r="K31" s="811">
        <v>1.9199999999999998E-2</v>
      </c>
      <c r="L31" s="812">
        <f t="shared" si="20"/>
        <v>-1.6E-2</v>
      </c>
      <c r="M31" s="813">
        <v>1.6E-2</v>
      </c>
      <c r="N31" s="810">
        <f t="shared" ref="N31" si="44">0-O31</f>
        <v>-1.84E-2</v>
      </c>
      <c r="O31" s="811">
        <v>1.84E-2</v>
      </c>
      <c r="P31" s="812">
        <f t="shared" ref="P31" si="45">0-Q31</f>
        <v>-2.0799999999999999E-2</v>
      </c>
      <c r="Q31" s="813">
        <v>2.0799999999999999E-2</v>
      </c>
    </row>
    <row r="35" spans="1:11">
      <c r="A35" s="820" t="s">
        <v>1054</v>
      </c>
      <c r="B35" s="821" t="s">
        <v>49</v>
      </c>
      <c r="C35" s="822" t="s">
        <v>63</v>
      </c>
      <c r="D35" s="822" t="s">
        <v>75</v>
      </c>
      <c r="E35" s="822" t="s">
        <v>87</v>
      </c>
      <c r="F35" s="822" t="s">
        <v>96</v>
      </c>
      <c r="G35" s="822" t="s">
        <v>103</v>
      </c>
      <c r="H35" s="823" t="s">
        <v>108</v>
      </c>
      <c r="I35" s="823" t="s">
        <v>113</v>
      </c>
      <c r="J35" s="822" t="s">
        <v>116</v>
      </c>
      <c r="K35" s="833" t="s">
        <v>118</v>
      </c>
    </row>
    <row r="36" spans="1:11">
      <c r="A36" s="824" t="s">
        <v>438</v>
      </c>
      <c r="B36" s="825">
        <f>C3</f>
        <v>4.4999999999999998E-2</v>
      </c>
      <c r="C36" s="826">
        <f>E3</f>
        <v>4.4999999999999998E-2</v>
      </c>
      <c r="D36" s="826">
        <f>G3</f>
        <v>4.4999999999999998E-2</v>
      </c>
      <c r="E36" s="826">
        <f>I3</f>
        <v>4.4999999999999998E-2</v>
      </c>
      <c r="F36" s="826">
        <f>K3</f>
        <v>0.06</v>
      </c>
      <c r="G36" s="826">
        <f>M3</f>
        <v>5.3999999999999999E-2</v>
      </c>
      <c r="H36" s="826">
        <f>O3</f>
        <v>7.4999999999999997E-2</v>
      </c>
      <c r="I36" s="826">
        <f>Q3</f>
        <v>0.111</v>
      </c>
      <c r="J36" s="826">
        <f>S3</f>
        <v>0.105</v>
      </c>
      <c r="K36" s="834">
        <f>U3</f>
        <v>0.09</v>
      </c>
    </row>
    <row r="37" spans="1:11">
      <c r="A37" s="827" t="s">
        <v>145</v>
      </c>
      <c r="B37" s="828">
        <f t="shared" ref="B37:B64" si="46">C4</f>
        <v>2.2499999999999999E-2</v>
      </c>
      <c r="C37" s="829">
        <f t="shared" ref="C37:C64" si="47">E4</f>
        <v>2.2499999999999999E-2</v>
      </c>
      <c r="D37" s="829">
        <f t="shared" ref="D37:D64" si="48">G4</f>
        <v>2.2499999999999999E-2</v>
      </c>
      <c r="E37" s="829">
        <f t="shared" ref="E37:E64" si="49">I4</f>
        <v>2.2499999999999999E-2</v>
      </c>
      <c r="F37" s="829">
        <f t="shared" ref="F37:F64" si="50">K4</f>
        <v>0.03</v>
      </c>
      <c r="G37" s="829">
        <f t="shared" ref="G37:G64" si="51">M4</f>
        <v>2.7E-2</v>
      </c>
      <c r="H37" s="829">
        <f t="shared" ref="H37:H64" si="52">O4</f>
        <v>3.7499999999999999E-2</v>
      </c>
      <c r="I37" s="829">
        <f t="shared" ref="I37:I64" si="53">Q4</f>
        <v>5.5500000000000001E-2</v>
      </c>
      <c r="J37" s="829">
        <f t="shared" ref="J37:J64" si="54">S4</f>
        <v>5.2499999999999998E-2</v>
      </c>
      <c r="K37" s="835">
        <f t="shared" ref="K37:K64" si="55">U4</f>
        <v>4.4999999999999998E-2</v>
      </c>
    </row>
    <row r="38" spans="1:11">
      <c r="A38" s="827" t="s">
        <v>38</v>
      </c>
      <c r="B38" s="828">
        <f t="shared" si="46"/>
        <v>1.4999999999999999E-2</v>
      </c>
      <c r="C38" s="829">
        <f t="shared" si="47"/>
        <v>1.4999999999999999E-2</v>
      </c>
      <c r="D38" s="829">
        <f t="shared" si="48"/>
        <v>1.4999999999999999E-2</v>
      </c>
      <c r="E38" s="829">
        <f t="shared" si="49"/>
        <v>1.4999999999999999E-2</v>
      </c>
      <c r="F38" s="829">
        <f t="shared" si="50"/>
        <v>0.02</v>
      </c>
      <c r="G38" s="829">
        <f t="shared" si="51"/>
        <v>1.7999999999999999E-2</v>
      </c>
      <c r="H38" s="829">
        <f t="shared" si="52"/>
        <v>2.5000000000000001E-2</v>
      </c>
      <c r="I38" s="829">
        <f t="shared" si="53"/>
        <v>3.6999999999999998E-2</v>
      </c>
      <c r="J38" s="829">
        <f t="shared" si="54"/>
        <v>3.5000000000000003E-2</v>
      </c>
      <c r="K38" s="835">
        <f t="shared" si="55"/>
        <v>0.03</v>
      </c>
    </row>
    <row r="39" spans="1:11">
      <c r="A39" s="827" t="s">
        <v>439</v>
      </c>
      <c r="B39" s="828">
        <f t="shared" si="46"/>
        <v>0.03</v>
      </c>
      <c r="C39" s="829">
        <f t="shared" si="47"/>
        <v>0.03</v>
      </c>
      <c r="D39" s="829">
        <f t="shared" si="48"/>
        <v>0.03</v>
      </c>
      <c r="E39" s="829">
        <f t="shared" si="49"/>
        <v>0.03</v>
      </c>
      <c r="F39" s="829">
        <f t="shared" si="50"/>
        <v>0.04</v>
      </c>
      <c r="G39" s="829">
        <f t="shared" si="51"/>
        <v>3.5999999999999997E-2</v>
      </c>
      <c r="H39" s="829">
        <f t="shared" si="52"/>
        <v>0.05</v>
      </c>
      <c r="I39" s="829">
        <f t="shared" si="53"/>
        <v>7.3999999999999996E-2</v>
      </c>
      <c r="J39" s="829">
        <f t="shared" si="54"/>
        <v>7.0000000000000007E-2</v>
      </c>
      <c r="K39" s="835">
        <f t="shared" si="55"/>
        <v>0.06</v>
      </c>
    </row>
    <row r="40" spans="1:11">
      <c r="A40" s="827" t="s">
        <v>441</v>
      </c>
      <c r="B40" s="828">
        <f t="shared" si="46"/>
        <v>1.4999999999999999E-2</v>
      </c>
      <c r="C40" s="829">
        <f t="shared" si="47"/>
        <v>1.4999999999999999E-2</v>
      </c>
      <c r="D40" s="829">
        <f t="shared" si="48"/>
        <v>1.4999999999999999E-2</v>
      </c>
      <c r="E40" s="829">
        <f t="shared" si="49"/>
        <v>1.4999999999999999E-2</v>
      </c>
      <c r="F40" s="829">
        <f t="shared" si="50"/>
        <v>0.02</v>
      </c>
      <c r="G40" s="829">
        <f t="shared" si="51"/>
        <v>1.7999999999999999E-2</v>
      </c>
      <c r="H40" s="829">
        <f t="shared" si="52"/>
        <v>2.5000000000000001E-2</v>
      </c>
      <c r="I40" s="829">
        <f t="shared" si="53"/>
        <v>3.6999999999999998E-2</v>
      </c>
      <c r="J40" s="829">
        <f t="shared" si="54"/>
        <v>3.5000000000000003E-2</v>
      </c>
      <c r="K40" s="835">
        <f t="shared" si="55"/>
        <v>0.03</v>
      </c>
    </row>
    <row r="41" spans="1:11">
      <c r="A41" s="827" t="s">
        <v>442</v>
      </c>
      <c r="B41" s="828">
        <f t="shared" si="46"/>
        <v>1.2E-2</v>
      </c>
      <c r="C41" s="829">
        <f t="shared" si="47"/>
        <v>1.2E-2</v>
      </c>
      <c r="D41" s="829">
        <f t="shared" si="48"/>
        <v>1.2E-2</v>
      </c>
      <c r="E41" s="829">
        <f t="shared" si="49"/>
        <v>1.2E-2</v>
      </c>
      <c r="F41" s="829">
        <f t="shared" si="50"/>
        <v>1.6E-2</v>
      </c>
      <c r="G41" s="829">
        <f t="shared" si="51"/>
        <v>1.44E-2</v>
      </c>
      <c r="H41" s="829">
        <f t="shared" si="52"/>
        <v>0.02</v>
      </c>
      <c r="I41" s="829">
        <f t="shared" si="53"/>
        <v>2.9600000000000001E-2</v>
      </c>
      <c r="J41" s="829">
        <f t="shared" si="54"/>
        <v>2.8000000000000001E-2</v>
      </c>
      <c r="K41" s="835">
        <f t="shared" si="55"/>
        <v>2.4E-2</v>
      </c>
    </row>
    <row r="42" spans="1:11">
      <c r="A42" s="830" t="s">
        <v>445</v>
      </c>
      <c r="B42" s="831">
        <f t="shared" si="46"/>
        <v>1.0500000000000001E-2</v>
      </c>
      <c r="C42" s="832">
        <f t="shared" si="47"/>
        <v>1.0500000000000001E-2</v>
      </c>
      <c r="D42" s="832">
        <f t="shared" si="48"/>
        <v>1.0500000000000001E-2</v>
      </c>
      <c r="E42" s="832">
        <f t="shared" si="49"/>
        <v>1.0500000000000001E-2</v>
      </c>
      <c r="F42" s="832">
        <f t="shared" si="50"/>
        <v>1.4E-2</v>
      </c>
      <c r="G42" s="832">
        <f t="shared" si="51"/>
        <v>1.26E-2</v>
      </c>
      <c r="H42" s="832">
        <f t="shared" si="52"/>
        <v>1.7500000000000002E-2</v>
      </c>
      <c r="I42" s="832">
        <f t="shared" si="53"/>
        <v>2.5899999999999999E-2</v>
      </c>
      <c r="J42" s="832">
        <f t="shared" si="54"/>
        <v>2.4500000000000001E-2</v>
      </c>
      <c r="K42" s="836">
        <f t="shared" si="55"/>
        <v>2.1000000000000001E-2</v>
      </c>
    </row>
    <row r="43" spans="1:11">
      <c r="A43" s="799" t="s">
        <v>147</v>
      </c>
      <c r="B43" s="825">
        <f t="shared" si="46"/>
        <v>0.04</v>
      </c>
      <c r="C43" s="826">
        <f t="shared" si="47"/>
        <v>0.03</v>
      </c>
      <c r="D43" s="826">
        <f t="shared" si="48"/>
        <v>0.03</v>
      </c>
      <c r="E43" s="826">
        <f t="shared" si="49"/>
        <v>0.04</v>
      </c>
      <c r="F43" s="826">
        <f t="shared" si="50"/>
        <v>3.4000000000000002E-2</v>
      </c>
      <c r="G43" s="826">
        <f t="shared" si="51"/>
        <v>4.5999999999999999E-2</v>
      </c>
      <c r="H43" s="826">
        <f t="shared" si="52"/>
        <v>0.04</v>
      </c>
      <c r="I43" s="826">
        <f t="shared" si="53"/>
        <v>6.8000000000000005E-2</v>
      </c>
      <c r="J43" s="826">
        <f t="shared" si="54"/>
        <v>7.1999999999999995E-2</v>
      </c>
      <c r="K43" s="834">
        <f t="shared" si="55"/>
        <v>0.06</v>
      </c>
    </row>
    <row r="44" spans="1:11">
      <c r="A44" s="804" t="s">
        <v>145</v>
      </c>
      <c r="B44" s="828">
        <f t="shared" si="46"/>
        <v>0.05</v>
      </c>
      <c r="C44" s="829">
        <f t="shared" si="47"/>
        <v>3.7499999999999999E-2</v>
      </c>
      <c r="D44" s="829">
        <f t="shared" si="48"/>
        <v>3.7499999999999999E-2</v>
      </c>
      <c r="E44" s="829">
        <f t="shared" si="49"/>
        <v>0.05</v>
      </c>
      <c r="F44" s="829">
        <f t="shared" si="50"/>
        <v>4.2500000000000003E-2</v>
      </c>
      <c r="G44" s="829">
        <f t="shared" si="51"/>
        <v>5.7500000000000002E-2</v>
      </c>
      <c r="H44" s="829">
        <f t="shared" si="52"/>
        <v>0.05</v>
      </c>
      <c r="I44" s="829">
        <f t="shared" si="53"/>
        <v>8.5000000000000006E-2</v>
      </c>
      <c r="J44" s="829">
        <f t="shared" si="54"/>
        <v>0.09</v>
      </c>
      <c r="K44" s="835">
        <f t="shared" si="55"/>
        <v>7.4999999999999997E-2</v>
      </c>
    </row>
    <row r="45" spans="1:11">
      <c r="A45" s="804" t="s">
        <v>38</v>
      </c>
      <c r="B45" s="828">
        <f t="shared" si="46"/>
        <v>0.02</v>
      </c>
      <c r="C45" s="829">
        <f t="shared" si="47"/>
        <v>1.4999999999999999E-2</v>
      </c>
      <c r="D45" s="829">
        <f t="shared" si="48"/>
        <v>1.4999999999999999E-2</v>
      </c>
      <c r="E45" s="829">
        <f t="shared" si="49"/>
        <v>0.02</v>
      </c>
      <c r="F45" s="829">
        <f t="shared" si="50"/>
        <v>1.7000000000000001E-2</v>
      </c>
      <c r="G45" s="829">
        <f t="shared" si="51"/>
        <v>2.3E-2</v>
      </c>
      <c r="H45" s="829">
        <f t="shared" si="52"/>
        <v>0.02</v>
      </c>
      <c r="I45" s="829">
        <f t="shared" si="53"/>
        <v>3.4000000000000002E-2</v>
      </c>
      <c r="J45" s="829">
        <f t="shared" si="54"/>
        <v>3.5999999999999997E-2</v>
      </c>
      <c r="K45" s="835">
        <f t="shared" si="55"/>
        <v>0.03</v>
      </c>
    </row>
    <row r="46" spans="1:11">
      <c r="A46" s="804" t="s">
        <v>439</v>
      </c>
      <c r="B46" s="828">
        <f t="shared" si="46"/>
        <v>0.02</v>
      </c>
      <c r="C46" s="829">
        <f t="shared" si="47"/>
        <v>1.4999999999999999E-2</v>
      </c>
      <c r="D46" s="829">
        <f t="shared" si="48"/>
        <v>1.4999999999999999E-2</v>
      </c>
      <c r="E46" s="829">
        <f t="shared" si="49"/>
        <v>0.02</v>
      </c>
      <c r="F46" s="829">
        <f t="shared" si="50"/>
        <v>1.7000000000000001E-2</v>
      </c>
      <c r="G46" s="829">
        <f t="shared" si="51"/>
        <v>2.3E-2</v>
      </c>
      <c r="H46" s="829">
        <f t="shared" si="52"/>
        <v>0.02</v>
      </c>
      <c r="I46" s="829">
        <f t="shared" si="53"/>
        <v>3.4000000000000002E-2</v>
      </c>
      <c r="J46" s="829">
        <f t="shared" si="54"/>
        <v>3.5999999999999997E-2</v>
      </c>
      <c r="K46" s="835">
        <f t="shared" si="55"/>
        <v>0.03</v>
      </c>
    </row>
    <row r="47" spans="1:11">
      <c r="A47" s="804" t="s">
        <v>441</v>
      </c>
      <c r="B47" s="828">
        <f t="shared" si="46"/>
        <v>0.03</v>
      </c>
      <c r="C47" s="829">
        <f t="shared" si="47"/>
        <v>2.2499999999999999E-2</v>
      </c>
      <c r="D47" s="829">
        <f t="shared" si="48"/>
        <v>2.2499999999999999E-2</v>
      </c>
      <c r="E47" s="829">
        <f t="shared" si="49"/>
        <v>0.03</v>
      </c>
      <c r="F47" s="829">
        <f t="shared" si="50"/>
        <v>2.5499999999999998E-2</v>
      </c>
      <c r="G47" s="829">
        <f t="shared" si="51"/>
        <v>3.4500000000000003E-2</v>
      </c>
      <c r="H47" s="829">
        <f t="shared" si="52"/>
        <v>0.03</v>
      </c>
      <c r="I47" s="829">
        <f t="shared" si="53"/>
        <v>5.0999999999999997E-2</v>
      </c>
      <c r="J47" s="829">
        <f t="shared" si="54"/>
        <v>5.3999999999999999E-2</v>
      </c>
      <c r="K47" s="835">
        <f t="shared" si="55"/>
        <v>4.4999999999999998E-2</v>
      </c>
    </row>
    <row r="48" spans="1:11">
      <c r="A48" s="804" t="s">
        <v>442</v>
      </c>
      <c r="B48" s="828">
        <f t="shared" si="46"/>
        <v>1.6E-2</v>
      </c>
      <c r="C48" s="829">
        <f t="shared" si="47"/>
        <v>1.2E-2</v>
      </c>
      <c r="D48" s="829">
        <f t="shared" si="48"/>
        <v>1.2E-2</v>
      </c>
      <c r="E48" s="829">
        <f t="shared" si="49"/>
        <v>1.6E-2</v>
      </c>
      <c r="F48" s="829">
        <f t="shared" si="50"/>
        <v>1.3599999999999999E-2</v>
      </c>
      <c r="G48" s="829">
        <f t="shared" si="51"/>
        <v>1.84E-2</v>
      </c>
      <c r="H48" s="829">
        <f t="shared" si="52"/>
        <v>1.6E-2</v>
      </c>
      <c r="I48" s="829">
        <f t="shared" si="53"/>
        <v>2.7199999999999998E-2</v>
      </c>
      <c r="J48" s="829">
        <f t="shared" si="54"/>
        <v>2.8799999999999999E-2</v>
      </c>
      <c r="K48" s="835">
        <f t="shared" si="55"/>
        <v>2.4E-2</v>
      </c>
    </row>
    <row r="49" spans="1:11">
      <c r="A49" s="809" t="s">
        <v>1038</v>
      </c>
      <c r="B49" s="831">
        <f t="shared" si="46"/>
        <v>2.4E-2</v>
      </c>
      <c r="C49" s="832">
        <f t="shared" si="47"/>
        <v>1.7999999999999999E-2</v>
      </c>
      <c r="D49" s="832">
        <f t="shared" si="48"/>
        <v>1.7999999999999999E-2</v>
      </c>
      <c r="E49" s="832">
        <f t="shared" si="49"/>
        <v>2.4E-2</v>
      </c>
      <c r="F49" s="832">
        <f t="shared" si="50"/>
        <v>2.0400000000000001E-2</v>
      </c>
      <c r="G49" s="832">
        <f t="shared" si="51"/>
        <v>2.76E-2</v>
      </c>
      <c r="H49" s="832">
        <f t="shared" si="52"/>
        <v>2.4E-2</v>
      </c>
      <c r="I49" s="832">
        <f t="shared" si="53"/>
        <v>4.0800000000000003E-2</v>
      </c>
      <c r="J49" s="832">
        <f t="shared" si="54"/>
        <v>4.3200000000000002E-2</v>
      </c>
      <c r="K49" s="836">
        <f t="shared" si="55"/>
        <v>3.5999999999999997E-2</v>
      </c>
    </row>
    <row r="50" spans="1:11">
      <c r="A50" s="799" t="s">
        <v>139</v>
      </c>
      <c r="B50" s="825">
        <f t="shared" si="46"/>
        <v>0.02</v>
      </c>
      <c r="C50" s="826">
        <f t="shared" si="47"/>
        <v>2.1000000000000001E-2</v>
      </c>
      <c r="D50" s="826">
        <f t="shared" si="48"/>
        <v>2.5000000000000001E-2</v>
      </c>
      <c r="E50" s="826">
        <f t="shared" si="49"/>
        <v>2.5999999999999999E-2</v>
      </c>
      <c r="F50" s="826">
        <f t="shared" si="50"/>
        <v>0.03</v>
      </c>
      <c r="G50" s="826">
        <f t="shared" si="51"/>
        <v>2.5999999999999999E-2</v>
      </c>
      <c r="H50" s="826">
        <f t="shared" si="52"/>
        <v>2.5999999999999999E-2</v>
      </c>
      <c r="I50" s="826">
        <f t="shared" si="53"/>
        <v>3.3000000000000002E-2</v>
      </c>
      <c r="J50" s="826">
        <f t="shared" si="54"/>
        <v>3.2000000000000001E-2</v>
      </c>
      <c r="K50" s="834">
        <f t="shared" si="55"/>
        <v>0.03</v>
      </c>
    </row>
    <row r="51" spans="1:11">
      <c r="A51" s="804" t="s">
        <v>145</v>
      </c>
      <c r="B51" s="828">
        <f t="shared" si="46"/>
        <v>0.04</v>
      </c>
      <c r="C51" s="829">
        <f t="shared" si="47"/>
        <v>4.2000000000000003E-2</v>
      </c>
      <c r="D51" s="829">
        <f t="shared" si="48"/>
        <v>0.05</v>
      </c>
      <c r="E51" s="829">
        <f t="shared" si="49"/>
        <v>5.1999999999999998E-2</v>
      </c>
      <c r="F51" s="829">
        <f t="shared" si="50"/>
        <v>0.06</v>
      </c>
      <c r="G51" s="829">
        <f t="shared" si="51"/>
        <v>5.1999999999999998E-2</v>
      </c>
      <c r="H51" s="829">
        <f t="shared" si="52"/>
        <v>5.1999999999999998E-2</v>
      </c>
      <c r="I51" s="829">
        <f t="shared" si="53"/>
        <v>6.6000000000000003E-2</v>
      </c>
      <c r="J51" s="829">
        <f t="shared" si="54"/>
        <v>6.4000000000000001E-2</v>
      </c>
      <c r="K51" s="835">
        <f t="shared" si="55"/>
        <v>0.06</v>
      </c>
    </row>
    <row r="52" spans="1:11">
      <c r="A52" s="804" t="s">
        <v>38</v>
      </c>
      <c r="B52" s="828">
        <f t="shared" si="46"/>
        <v>0.02</v>
      </c>
      <c r="C52" s="829">
        <f t="shared" si="47"/>
        <v>2.1000000000000001E-2</v>
      </c>
      <c r="D52" s="829">
        <f t="shared" si="48"/>
        <v>2.5000000000000001E-2</v>
      </c>
      <c r="E52" s="829">
        <f t="shared" si="49"/>
        <v>2.5999999999999999E-2</v>
      </c>
      <c r="F52" s="829">
        <f t="shared" si="50"/>
        <v>0.03</v>
      </c>
      <c r="G52" s="829">
        <f t="shared" si="51"/>
        <v>2.5999999999999999E-2</v>
      </c>
      <c r="H52" s="829">
        <f t="shared" si="52"/>
        <v>2.5999999999999999E-2</v>
      </c>
      <c r="I52" s="829">
        <f t="shared" si="53"/>
        <v>3.3000000000000002E-2</v>
      </c>
      <c r="J52" s="829">
        <f t="shared" si="54"/>
        <v>3.2000000000000001E-2</v>
      </c>
      <c r="K52" s="835">
        <f t="shared" si="55"/>
        <v>0.03</v>
      </c>
    </row>
    <row r="53" spans="1:11">
      <c r="A53" s="804" t="s">
        <v>447</v>
      </c>
      <c r="B53" s="828">
        <f t="shared" si="46"/>
        <v>0.02</v>
      </c>
      <c r="C53" s="829">
        <f t="shared" si="47"/>
        <v>2.1000000000000001E-2</v>
      </c>
      <c r="D53" s="829">
        <f t="shared" si="48"/>
        <v>2.5000000000000001E-2</v>
      </c>
      <c r="E53" s="829">
        <f t="shared" si="49"/>
        <v>2.5999999999999999E-2</v>
      </c>
      <c r="F53" s="829">
        <f t="shared" si="50"/>
        <v>0.03</v>
      </c>
      <c r="G53" s="829">
        <f t="shared" si="51"/>
        <v>2.5999999999999999E-2</v>
      </c>
      <c r="H53" s="829">
        <f t="shared" si="52"/>
        <v>2.5999999999999999E-2</v>
      </c>
      <c r="I53" s="829">
        <f t="shared" si="53"/>
        <v>3.3000000000000002E-2</v>
      </c>
      <c r="J53" s="829">
        <f t="shared" si="54"/>
        <v>3.2000000000000001E-2</v>
      </c>
      <c r="K53" s="835">
        <f t="shared" si="55"/>
        <v>0.03</v>
      </c>
    </row>
    <row r="54" spans="1:11">
      <c r="A54" s="804" t="s">
        <v>442</v>
      </c>
      <c r="B54" s="828">
        <f t="shared" si="46"/>
        <v>1.6E-2</v>
      </c>
      <c r="C54" s="829">
        <f t="shared" si="47"/>
        <v>1.6799999999999999E-2</v>
      </c>
      <c r="D54" s="829">
        <f t="shared" si="48"/>
        <v>0.02</v>
      </c>
      <c r="E54" s="829">
        <f t="shared" si="49"/>
        <v>2.0799999999999999E-2</v>
      </c>
      <c r="F54" s="829">
        <f t="shared" si="50"/>
        <v>2.4E-2</v>
      </c>
      <c r="G54" s="829">
        <f t="shared" si="51"/>
        <v>2.0799999999999999E-2</v>
      </c>
      <c r="H54" s="829">
        <f t="shared" si="52"/>
        <v>2.0799999999999999E-2</v>
      </c>
      <c r="I54" s="829">
        <f t="shared" si="53"/>
        <v>2.64E-2</v>
      </c>
      <c r="J54" s="829">
        <f t="shared" si="54"/>
        <v>2.5600000000000001E-2</v>
      </c>
      <c r="K54" s="835">
        <f t="shared" si="55"/>
        <v>2.4E-2</v>
      </c>
    </row>
    <row r="55" spans="1:11">
      <c r="A55" s="804" t="s">
        <v>1038</v>
      </c>
      <c r="B55" s="828">
        <f t="shared" si="46"/>
        <v>2.4E-2</v>
      </c>
      <c r="C55" s="829">
        <f t="shared" si="47"/>
        <v>2.52E-2</v>
      </c>
      <c r="D55" s="829">
        <f t="shared" si="48"/>
        <v>0.03</v>
      </c>
      <c r="E55" s="829">
        <f t="shared" si="49"/>
        <v>3.1199999999999999E-2</v>
      </c>
      <c r="F55" s="829">
        <f t="shared" si="50"/>
        <v>3.5999999999999997E-2</v>
      </c>
      <c r="G55" s="829">
        <f t="shared" si="51"/>
        <v>3.1199999999999999E-2</v>
      </c>
      <c r="H55" s="829">
        <f t="shared" si="52"/>
        <v>3.1199999999999999E-2</v>
      </c>
      <c r="I55" s="829">
        <f t="shared" si="53"/>
        <v>3.9600000000000003E-2</v>
      </c>
      <c r="J55" s="829">
        <f t="shared" si="54"/>
        <v>3.8399999999999997E-2</v>
      </c>
      <c r="K55" s="835">
        <f t="shared" si="55"/>
        <v>3.5999999999999997E-2</v>
      </c>
    </row>
    <row r="56" spans="1:11">
      <c r="A56" s="804" t="s">
        <v>446</v>
      </c>
      <c r="B56" s="828">
        <f t="shared" si="46"/>
        <v>0.04</v>
      </c>
      <c r="C56" s="829">
        <f t="shared" si="47"/>
        <v>4.2000000000000003E-2</v>
      </c>
      <c r="D56" s="829">
        <f t="shared" si="48"/>
        <v>0.05</v>
      </c>
      <c r="E56" s="829">
        <f t="shared" si="49"/>
        <v>5.1999999999999998E-2</v>
      </c>
      <c r="F56" s="829">
        <f t="shared" si="50"/>
        <v>0.06</v>
      </c>
      <c r="G56" s="829">
        <f t="shared" si="51"/>
        <v>5.1999999999999998E-2</v>
      </c>
      <c r="H56" s="829">
        <f t="shared" si="52"/>
        <v>5.1999999999999998E-2</v>
      </c>
      <c r="I56" s="829">
        <f t="shared" si="53"/>
        <v>6.6000000000000003E-2</v>
      </c>
      <c r="J56" s="829">
        <f t="shared" si="54"/>
        <v>6.4000000000000001E-2</v>
      </c>
      <c r="K56" s="835">
        <f t="shared" si="55"/>
        <v>0.06</v>
      </c>
    </row>
    <row r="57" spans="1:11">
      <c r="A57" s="809" t="s">
        <v>1039</v>
      </c>
      <c r="B57" s="831">
        <f t="shared" si="46"/>
        <v>0.02</v>
      </c>
      <c r="C57" s="832">
        <f t="shared" si="47"/>
        <v>2.1000000000000001E-2</v>
      </c>
      <c r="D57" s="832">
        <f t="shared" si="48"/>
        <v>2.5000000000000001E-2</v>
      </c>
      <c r="E57" s="832">
        <f t="shared" si="49"/>
        <v>2.5999999999999999E-2</v>
      </c>
      <c r="F57" s="832">
        <f t="shared" si="50"/>
        <v>0.03</v>
      </c>
      <c r="G57" s="832">
        <f t="shared" si="51"/>
        <v>2.5999999999999999E-2</v>
      </c>
      <c r="H57" s="832">
        <f t="shared" si="52"/>
        <v>2.5999999999999999E-2</v>
      </c>
      <c r="I57" s="832">
        <f t="shared" si="53"/>
        <v>3.3000000000000002E-2</v>
      </c>
      <c r="J57" s="832">
        <f t="shared" si="54"/>
        <v>3.2000000000000001E-2</v>
      </c>
      <c r="K57" s="836">
        <f t="shared" si="55"/>
        <v>0.03</v>
      </c>
    </row>
    <row r="58" spans="1:11">
      <c r="A58" s="804" t="s">
        <v>141</v>
      </c>
      <c r="B58" s="825">
        <f t="shared" si="46"/>
        <v>0.02</v>
      </c>
      <c r="C58" s="826">
        <f t="shared" si="47"/>
        <v>0.02</v>
      </c>
      <c r="D58" s="826">
        <f t="shared" si="48"/>
        <v>0.04</v>
      </c>
      <c r="E58" s="826">
        <f t="shared" si="49"/>
        <v>4.8000000000000001E-2</v>
      </c>
      <c r="F58" s="826">
        <f t="shared" si="50"/>
        <v>4.8000000000000001E-2</v>
      </c>
      <c r="G58" s="826">
        <f t="shared" si="51"/>
        <v>0.04</v>
      </c>
      <c r="H58" s="826">
        <f t="shared" si="52"/>
        <v>4.5999999999999999E-2</v>
      </c>
      <c r="I58" s="826">
        <f t="shared" si="53"/>
        <v>5.1999999999999998E-2</v>
      </c>
      <c r="J58" s="826">
        <f t="shared" si="54"/>
        <v>0</v>
      </c>
      <c r="K58" s="834">
        <f t="shared" si="55"/>
        <v>0</v>
      </c>
    </row>
    <row r="59" spans="1:11">
      <c r="A59" s="804" t="s">
        <v>145</v>
      </c>
      <c r="B59" s="828">
        <f t="shared" si="46"/>
        <v>3.2000000000000001E-2</v>
      </c>
      <c r="C59" s="829">
        <f t="shared" si="47"/>
        <v>3.2000000000000001E-2</v>
      </c>
      <c r="D59" s="829">
        <f t="shared" si="48"/>
        <v>6.4000000000000001E-2</v>
      </c>
      <c r="E59" s="829">
        <f t="shared" si="49"/>
        <v>7.6799999999999993E-2</v>
      </c>
      <c r="F59" s="829">
        <f t="shared" si="50"/>
        <v>7.6799999999999993E-2</v>
      </c>
      <c r="G59" s="829">
        <f t="shared" si="51"/>
        <v>6.4000000000000001E-2</v>
      </c>
      <c r="H59" s="829">
        <f t="shared" si="52"/>
        <v>7.3599999999999999E-2</v>
      </c>
      <c r="I59" s="829">
        <f t="shared" si="53"/>
        <v>8.3199999999999996E-2</v>
      </c>
      <c r="J59" s="829">
        <f t="shared" si="54"/>
        <v>0</v>
      </c>
      <c r="K59" s="835">
        <f t="shared" si="55"/>
        <v>0</v>
      </c>
    </row>
    <row r="60" spans="1:11">
      <c r="A60" s="804" t="s">
        <v>38</v>
      </c>
      <c r="B60" s="828">
        <f t="shared" si="46"/>
        <v>0.01</v>
      </c>
      <c r="C60" s="829">
        <f t="shared" si="47"/>
        <v>0.01</v>
      </c>
      <c r="D60" s="829">
        <f t="shared" si="48"/>
        <v>0.02</v>
      </c>
      <c r="E60" s="829">
        <f t="shared" si="49"/>
        <v>2.4E-2</v>
      </c>
      <c r="F60" s="829">
        <f t="shared" si="50"/>
        <v>2.4E-2</v>
      </c>
      <c r="G60" s="829">
        <f t="shared" si="51"/>
        <v>0.02</v>
      </c>
      <c r="H60" s="829">
        <f t="shared" si="52"/>
        <v>2.3E-2</v>
      </c>
      <c r="I60" s="829">
        <f t="shared" si="53"/>
        <v>2.5999999999999999E-2</v>
      </c>
      <c r="J60" s="829">
        <f t="shared" si="54"/>
        <v>0</v>
      </c>
      <c r="K60" s="835">
        <f t="shared" si="55"/>
        <v>0</v>
      </c>
    </row>
    <row r="61" spans="1:11">
      <c r="A61" s="804" t="s">
        <v>447</v>
      </c>
      <c r="B61" s="828">
        <f t="shared" si="46"/>
        <v>8.0000000000000002E-3</v>
      </c>
      <c r="C61" s="829">
        <f t="shared" si="47"/>
        <v>8.0000000000000002E-3</v>
      </c>
      <c r="D61" s="829">
        <f t="shared" si="48"/>
        <v>1.6E-2</v>
      </c>
      <c r="E61" s="829">
        <f t="shared" si="49"/>
        <v>1.9199999999999998E-2</v>
      </c>
      <c r="F61" s="829">
        <f t="shared" si="50"/>
        <v>1.9199999999999998E-2</v>
      </c>
      <c r="G61" s="829">
        <f t="shared" si="51"/>
        <v>1.6E-2</v>
      </c>
      <c r="H61" s="829">
        <f t="shared" si="52"/>
        <v>1.84E-2</v>
      </c>
      <c r="I61" s="829">
        <f t="shared" si="53"/>
        <v>2.0799999999999999E-2</v>
      </c>
      <c r="J61" s="829">
        <f t="shared" si="54"/>
        <v>0</v>
      </c>
      <c r="K61" s="835">
        <f t="shared" si="55"/>
        <v>0</v>
      </c>
    </row>
    <row r="62" spans="1:11">
      <c r="A62" s="804" t="s">
        <v>442</v>
      </c>
      <c r="B62" s="828">
        <f t="shared" si="46"/>
        <v>1.2E-2</v>
      </c>
      <c r="C62" s="829">
        <f t="shared" si="47"/>
        <v>1.2E-2</v>
      </c>
      <c r="D62" s="829">
        <f t="shared" si="48"/>
        <v>2.4E-2</v>
      </c>
      <c r="E62" s="829">
        <f t="shared" si="49"/>
        <v>2.8799999999999999E-2</v>
      </c>
      <c r="F62" s="829">
        <f t="shared" si="50"/>
        <v>2.8799999999999999E-2</v>
      </c>
      <c r="G62" s="829">
        <f t="shared" si="51"/>
        <v>2.4E-2</v>
      </c>
      <c r="H62" s="829">
        <f t="shared" si="52"/>
        <v>2.76E-2</v>
      </c>
      <c r="I62" s="829">
        <f t="shared" si="53"/>
        <v>3.1199999999999999E-2</v>
      </c>
      <c r="J62" s="829">
        <f t="shared" si="54"/>
        <v>0</v>
      </c>
      <c r="K62" s="835">
        <f t="shared" si="55"/>
        <v>0</v>
      </c>
    </row>
    <row r="63" spans="1:11">
      <c r="A63" s="804" t="s">
        <v>445</v>
      </c>
      <c r="B63" s="828">
        <f t="shared" si="46"/>
        <v>0.01</v>
      </c>
      <c r="C63" s="829">
        <f t="shared" si="47"/>
        <v>0.01</v>
      </c>
      <c r="D63" s="829">
        <f t="shared" si="48"/>
        <v>0.02</v>
      </c>
      <c r="E63" s="829">
        <f t="shared" si="49"/>
        <v>2.4E-2</v>
      </c>
      <c r="F63" s="829">
        <f t="shared" si="50"/>
        <v>2.4E-2</v>
      </c>
      <c r="G63" s="829">
        <f t="shared" si="51"/>
        <v>0.02</v>
      </c>
      <c r="H63" s="829">
        <f t="shared" si="52"/>
        <v>2.3E-2</v>
      </c>
      <c r="I63" s="829">
        <f t="shared" si="53"/>
        <v>2.5999999999999999E-2</v>
      </c>
      <c r="J63" s="829">
        <f t="shared" si="54"/>
        <v>0</v>
      </c>
      <c r="K63" s="835">
        <f t="shared" si="55"/>
        <v>0</v>
      </c>
    </row>
    <row r="64" spans="1:11">
      <c r="A64" s="809" t="s">
        <v>150</v>
      </c>
      <c r="B64" s="831">
        <f t="shared" si="46"/>
        <v>8.0000000000000002E-3</v>
      </c>
      <c r="C64" s="832">
        <f t="shared" si="47"/>
        <v>8.0000000000000002E-3</v>
      </c>
      <c r="D64" s="832">
        <f t="shared" si="48"/>
        <v>1.6E-2</v>
      </c>
      <c r="E64" s="832">
        <f t="shared" si="49"/>
        <v>1.9199999999999998E-2</v>
      </c>
      <c r="F64" s="832">
        <f t="shared" si="50"/>
        <v>1.9199999999999998E-2</v>
      </c>
      <c r="G64" s="832">
        <f t="shared" si="51"/>
        <v>1.6E-2</v>
      </c>
      <c r="H64" s="832">
        <f t="shared" si="52"/>
        <v>1.84E-2</v>
      </c>
      <c r="I64" s="832">
        <f t="shared" si="53"/>
        <v>2.0799999999999999E-2</v>
      </c>
      <c r="J64" s="832">
        <f t="shared" si="54"/>
        <v>0</v>
      </c>
      <c r="K64" s="836">
        <f t="shared" si="55"/>
        <v>0</v>
      </c>
    </row>
    <row r="65" spans="1:11">
      <c r="A65" s="837" t="s">
        <v>1055</v>
      </c>
      <c r="B65" s="822" t="s">
        <v>49</v>
      </c>
      <c r="C65" s="822" t="s">
        <v>63</v>
      </c>
      <c r="D65" s="822" t="s">
        <v>75</v>
      </c>
      <c r="E65" s="822" t="s">
        <v>87</v>
      </c>
      <c r="F65" s="822" t="s">
        <v>96</v>
      </c>
      <c r="G65" s="822" t="s">
        <v>103</v>
      </c>
      <c r="H65" s="823" t="s">
        <v>108</v>
      </c>
      <c r="I65" s="823" t="s">
        <v>113</v>
      </c>
      <c r="J65" s="822" t="s">
        <v>116</v>
      </c>
      <c r="K65" s="833" t="s">
        <v>118</v>
      </c>
    </row>
    <row r="66" spans="1:11">
      <c r="A66" s="824" t="s">
        <v>438</v>
      </c>
      <c r="B66" s="825">
        <f>B3</f>
        <v>-4.4999999999999998E-2</v>
      </c>
      <c r="C66" s="826">
        <f>D3</f>
        <v>-4.4999999999999998E-2</v>
      </c>
      <c r="D66" s="826">
        <f>F3</f>
        <v>-4.4999999999999998E-2</v>
      </c>
      <c r="E66" s="826">
        <f>H3</f>
        <v>-4.4999999999999998E-2</v>
      </c>
      <c r="F66" s="826">
        <f>J3</f>
        <v>-0.06</v>
      </c>
      <c r="G66" s="826">
        <f>L3</f>
        <v>-0.06</v>
      </c>
      <c r="H66" s="826">
        <f>N3</f>
        <v>-7.4999999999999997E-2</v>
      </c>
      <c r="I66" s="826">
        <f>P3</f>
        <v>-0.114</v>
      </c>
      <c r="J66" s="826">
        <f>R3</f>
        <v>-0.114</v>
      </c>
      <c r="K66" s="834">
        <f>T3</f>
        <v>-0.09</v>
      </c>
    </row>
    <row r="67" spans="1:11">
      <c r="A67" s="827" t="s">
        <v>145</v>
      </c>
      <c r="B67" s="828">
        <f t="shared" ref="B67:B94" si="56">B4</f>
        <v>-2.2499999999999999E-2</v>
      </c>
      <c r="C67" s="829">
        <f t="shared" ref="C67:C94" si="57">D4</f>
        <v>-2.2499999999999999E-2</v>
      </c>
      <c r="D67" s="829">
        <f t="shared" ref="D67:D94" si="58">F4</f>
        <v>-2.2499999999999999E-2</v>
      </c>
      <c r="E67" s="829">
        <f t="shared" ref="E67:E94" si="59">H4</f>
        <v>-2.2499999999999999E-2</v>
      </c>
      <c r="F67" s="829">
        <f t="shared" ref="F67:F94" si="60">J4</f>
        <v>-0.03</v>
      </c>
      <c r="G67" s="829">
        <f t="shared" ref="G67:G94" si="61">L4</f>
        <v>-0.03</v>
      </c>
      <c r="H67" s="829">
        <f t="shared" ref="H67:H94" si="62">N4</f>
        <v>-3.7499999999999999E-2</v>
      </c>
      <c r="I67" s="829">
        <f t="shared" ref="I67:I94" si="63">P4</f>
        <v>-5.7000000000000002E-2</v>
      </c>
      <c r="J67" s="829">
        <f t="shared" ref="J67:J94" si="64">R4</f>
        <v>-5.7000000000000002E-2</v>
      </c>
      <c r="K67" s="835">
        <f t="shared" ref="K67:K94" si="65">T4</f>
        <v>-4.4999999999999998E-2</v>
      </c>
    </row>
    <row r="68" spans="1:11">
      <c r="A68" s="827" t="s">
        <v>38</v>
      </c>
      <c r="B68" s="828">
        <f t="shared" si="56"/>
        <v>-1.4999999999999999E-2</v>
      </c>
      <c r="C68" s="829">
        <f t="shared" si="57"/>
        <v>-1.4999999999999999E-2</v>
      </c>
      <c r="D68" s="829">
        <f t="shared" si="58"/>
        <v>-1.4999999999999999E-2</v>
      </c>
      <c r="E68" s="829">
        <f t="shared" si="59"/>
        <v>-1.4999999999999999E-2</v>
      </c>
      <c r="F68" s="829">
        <f t="shared" si="60"/>
        <v>-0.02</v>
      </c>
      <c r="G68" s="829">
        <f t="shared" si="61"/>
        <v>-0.02</v>
      </c>
      <c r="H68" s="829">
        <f t="shared" si="62"/>
        <v>-2.5000000000000001E-2</v>
      </c>
      <c r="I68" s="829">
        <f t="shared" si="63"/>
        <v>-3.7999999999999999E-2</v>
      </c>
      <c r="J68" s="829">
        <f t="shared" si="64"/>
        <v>-3.7999999999999999E-2</v>
      </c>
      <c r="K68" s="835">
        <f t="shared" si="65"/>
        <v>-0.03</v>
      </c>
    </row>
    <row r="69" spans="1:11">
      <c r="A69" s="827" t="s">
        <v>439</v>
      </c>
      <c r="B69" s="828">
        <f t="shared" si="56"/>
        <v>-0.03</v>
      </c>
      <c r="C69" s="829">
        <f t="shared" si="57"/>
        <v>-0.03</v>
      </c>
      <c r="D69" s="829">
        <f t="shared" si="58"/>
        <v>-0.03</v>
      </c>
      <c r="E69" s="829">
        <f t="shared" si="59"/>
        <v>-0.03</v>
      </c>
      <c r="F69" s="829">
        <f t="shared" si="60"/>
        <v>-0.04</v>
      </c>
      <c r="G69" s="829">
        <f t="shared" si="61"/>
        <v>-0.04</v>
      </c>
      <c r="H69" s="829">
        <f t="shared" si="62"/>
        <v>-0.05</v>
      </c>
      <c r="I69" s="829">
        <f t="shared" si="63"/>
        <v>-7.5999999999999998E-2</v>
      </c>
      <c r="J69" s="829">
        <f t="shared" si="64"/>
        <v>-7.5999999999999998E-2</v>
      </c>
      <c r="K69" s="835">
        <f t="shared" si="65"/>
        <v>-0.06</v>
      </c>
    </row>
    <row r="70" spans="1:11">
      <c r="A70" s="827" t="s">
        <v>441</v>
      </c>
      <c r="B70" s="828">
        <f t="shared" si="56"/>
        <v>-1.4999999999999999E-2</v>
      </c>
      <c r="C70" s="829">
        <f t="shared" si="57"/>
        <v>-1.4999999999999999E-2</v>
      </c>
      <c r="D70" s="829">
        <f t="shared" si="58"/>
        <v>-1.4999999999999999E-2</v>
      </c>
      <c r="E70" s="829">
        <f t="shared" si="59"/>
        <v>-1.4999999999999999E-2</v>
      </c>
      <c r="F70" s="829">
        <f t="shared" si="60"/>
        <v>-0.02</v>
      </c>
      <c r="G70" s="829">
        <f t="shared" si="61"/>
        <v>-0.02</v>
      </c>
      <c r="H70" s="829">
        <f t="shared" si="62"/>
        <v>-2.5000000000000001E-2</v>
      </c>
      <c r="I70" s="829">
        <f t="shared" si="63"/>
        <v>-3.7999999999999999E-2</v>
      </c>
      <c r="J70" s="829">
        <f t="shared" si="64"/>
        <v>-3.7999999999999999E-2</v>
      </c>
      <c r="K70" s="835">
        <f t="shared" si="65"/>
        <v>-0.03</v>
      </c>
    </row>
    <row r="71" spans="1:11">
      <c r="A71" s="827" t="s">
        <v>442</v>
      </c>
      <c r="B71" s="828">
        <f t="shared" si="56"/>
        <v>-1.2E-2</v>
      </c>
      <c r="C71" s="829">
        <f t="shared" si="57"/>
        <v>-1.2E-2</v>
      </c>
      <c r="D71" s="829">
        <f t="shared" si="58"/>
        <v>-1.2E-2</v>
      </c>
      <c r="E71" s="829">
        <f t="shared" si="59"/>
        <v>-1.2E-2</v>
      </c>
      <c r="F71" s="829">
        <f t="shared" si="60"/>
        <v>-1.6E-2</v>
      </c>
      <c r="G71" s="829">
        <f t="shared" si="61"/>
        <v>-1.6E-2</v>
      </c>
      <c r="H71" s="829">
        <f t="shared" si="62"/>
        <v>-0.02</v>
      </c>
      <c r="I71" s="829">
        <f t="shared" si="63"/>
        <v>-3.04E-2</v>
      </c>
      <c r="J71" s="829">
        <f t="shared" si="64"/>
        <v>-3.04E-2</v>
      </c>
      <c r="K71" s="835">
        <f t="shared" si="65"/>
        <v>-2.4E-2</v>
      </c>
    </row>
    <row r="72" spans="1:11">
      <c r="A72" s="830" t="s">
        <v>445</v>
      </c>
      <c r="B72" s="831">
        <f t="shared" si="56"/>
        <v>-1.0500000000000001E-2</v>
      </c>
      <c r="C72" s="832">
        <f t="shared" si="57"/>
        <v>-1.0500000000000001E-2</v>
      </c>
      <c r="D72" s="832">
        <f t="shared" si="58"/>
        <v>-1.0500000000000001E-2</v>
      </c>
      <c r="E72" s="832">
        <f t="shared" si="59"/>
        <v>-1.0500000000000001E-2</v>
      </c>
      <c r="F72" s="832">
        <f t="shared" si="60"/>
        <v>-1.4E-2</v>
      </c>
      <c r="G72" s="832">
        <f t="shared" si="61"/>
        <v>-1.4E-2</v>
      </c>
      <c r="H72" s="832">
        <f t="shared" si="62"/>
        <v>-1.7500000000000002E-2</v>
      </c>
      <c r="I72" s="832">
        <f t="shared" si="63"/>
        <v>-2.6599999999999999E-2</v>
      </c>
      <c r="J72" s="832">
        <f t="shared" si="64"/>
        <v>-2.6599999999999999E-2</v>
      </c>
      <c r="K72" s="836">
        <f t="shared" si="65"/>
        <v>-2.1000000000000001E-2</v>
      </c>
    </row>
    <row r="73" spans="1:11">
      <c r="A73" s="799" t="s">
        <v>147</v>
      </c>
      <c r="B73" s="825">
        <f t="shared" si="56"/>
        <v>-0.04</v>
      </c>
      <c r="C73" s="826">
        <f t="shared" si="57"/>
        <v>-0.03</v>
      </c>
      <c r="D73" s="826">
        <f t="shared" si="58"/>
        <v>-0.03</v>
      </c>
      <c r="E73" s="826">
        <f t="shared" si="59"/>
        <v>-0.04</v>
      </c>
      <c r="F73" s="826">
        <f t="shared" si="60"/>
        <v>-3.5999999999999997E-2</v>
      </c>
      <c r="G73" s="826">
        <f t="shared" si="61"/>
        <v>-4.8000000000000001E-2</v>
      </c>
      <c r="H73" s="826">
        <f t="shared" si="62"/>
        <v>-0.04</v>
      </c>
      <c r="I73" s="826">
        <f t="shared" si="63"/>
        <v>-7.1999999999999995E-2</v>
      </c>
      <c r="J73" s="826">
        <f t="shared" si="64"/>
        <v>-0.08</v>
      </c>
      <c r="K73" s="834">
        <f t="shared" si="65"/>
        <v>-0.06</v>
      </c>
    </row>
    <row r="74" spans="1:11">
      <c r="A74" s="804" t="s">
        <v>145</v>
      </c>
      <c r="B74" s="828">
        <f t="shared" si="56"/>
        <v>-0.05</v>
      </c>
      <c r="C74" s="829">
        <f t="shared" si="57"/>
        <v>-3.7499999999999999E-2</v>
      </c>
      <c r="D74" s="829">
        <f t="shared" si="58"/>
        <v>-3.7499999999999999E-2</v>
      </c>
      <c r="E74" s="829">
        <f t="shared" si="59"/>
        <v>-0.05</v>
      </c>
      <c r="F74" s="829">
        <f t="shared" si="60"/>
        <v>-4.4999999999999998E-2</v>
      </c>
      <c r="G74" s="829">
        <f t="shared" si="61"/>
        <v>-0.06</v>
      </c>
      <c r="H74" s="829">
        <f t="shared" si="62"/>
        <v>-0.05</v>
      </c>
      <c r="I74" s="829">
        <f t="shared" si="63"/>
        <v>-0.09</v>
      </c>
      <c r="J74" s="829">
        <f t="shared" si="64"/>
        <v>-0.1</v>
      </c>
      <c r="K74" s="835">
        <f t="shared" si="65"/>
        <v>-7.4999999999999997E-2</v>
      </c>
    </row>
    <row r="75" spans="1:11">
      <c r="A75" s="804" t="s">
        <v>38</v>
      </c>
      <c r="B75" s="828">
        <f t="shared" si="56"/>
        <v>-0.02</v>
      </c>
      <c r="C75" s="829">
        <f t="shared" si="57"/>
        <v>-1.4999999999999999E-2</v>
      </c>
      <c r="D75" s="829">
        <f t="shared" si="58"/>
        <v>-1.4999999999999999E-2</v>
      </c>
      <c r="E75" s="829">
        <f t="shared" si="59"/>
        <v>-0.02</v>
      </c>
      <c r="F75" s="829">
        <f t="shared" si="60"/>
        <v>-1.7999999999999999E-2</v>
      </c>
      <c r="G75" s="829">
        <f t="shared" si="61"/>
        <v>-2.4E-2</v>
      </c>
      <c r="H75" s="829">
        <f t="shared" si="62"/>
        <v>-0.02</v>
      </c>
      <c r="I75" s="829">
        <f t="shared" si="63"/>
        <v>-3.5999999999999997E-2</v>
      </c>
      <c r="J75" s="829">
        <f t="shared" si="64"/>
        <v>-0.04</v>
      </c>
      <c r="K75" s="835">
        <f t="shared" si="65"/>
        <v>-0.03</v>
      </c>
    </row>
    <row r="76" spans="1:11">
      <c r="A76" s="804" t="s">
        <v>439</v>
      </c>
      <c r="B76" s="828">
        <f t="shared" si="56"/>
        <v>-0.02</v>
      </c>
      <c r="C76" s="829">
        <f t="shared" si="57"/>
        <v>-1.4999999999999999E-2</v>
      </c>
      <c r="D76" s="829">
        <f t="shared" si="58"/>
        <v>-1.4999999999999999E-2</v>
      </c>
      <c r="E76" s="829">
        <f t="shared" si="59"/>
        <v>-0.02</v>
      </c>
      <c r="F76" s="829">
        <f t="shared" si="60"/>
        <v>-1.7999999999999999E-2</v>
      </c>
      <c r="G76" s="829">
        <f t="shared" si="61"/>
        <v>-2.4E-2</v>
      </c>
      <c r="H76" s="829">
        <f t="shared" si="62"/>
        <v>-0.02</v>
      </c>
      <c r="I76" s="829">
        <f t="shared" si="63"/>
        <v>-3.5999999999999997E-2</v>
      </c>
      <c r="J76" s="829">
        <f t="shared" si="64"/>
        <v>-0.04</v>
      </c>
      <c r="K76" s="835">
        <f t="shared" si="65"/>
        <v>-0.03</v>
      </c>
    </row>
    <row r="77" spans="1:11">
      <c r="A77" s="804" t="s">
        <v>441</v>
      </c>
      <c r="B77" s="828">
        <f t="shared" si="56"/>
        <v>-0.03</v>
      </c>
      <c r="C77" s="829">
        <f t="shared" si="57"/>
        <v>-2.2499999999999999E-2</v>
      </c>
      <c r="D77" s="829">
        <f t="shared" si="58"/>
        <v>-2.2499999999999999E-2</v>
      </c>
      <c r="E77" s="829">
        <f t="shared" si="59"/>
        <v>-0.03</v>
      </c>
      <c r="F77" s="829">
        <f t="shared" si="60"/>
        <v>-2.7E-2</v>
      </c>
      <c r="G77" s="829">
        <f t="shared" si="61"/>
        <v>-3.5999999999999997E-2</v>
      </c>
      <c r="H77" s="829">
        <f t="shared" si="62"/>
        <v>-0.03</v>
      </c>
      <c r="I77" s="829">
        <f t="shared" si="63"/>
        <v>-5.3999999999999999E-2</v>
      </c>
      <c r="J77" s="829">
        <f t="shared" si="64"/>
        <v>-0.06</v>
      </c>
      <c r="K77" s="835">
        <f t="shared" si="65"/>
        <v>-4.4999999999999998E-2</v>
      </c>
    </row>
    <row r="78" spans="1:11">
      <c r="A78" s="804" t="s">
        <v>442</v>
      </c>
      <c r="B78" s="828">
        <f t="shared" si="56"/>
        <v>-1.6E-2</v>
      </c>
      <c r="C78" s="829">
        <f t="shared" si="57"/>
        <v>-1.2E-2</v>
      </c>
      <c r="D78" s="829">
        <f t="shared" si="58"/>
        <v>-1.2E-2</v>
      </c>
      <c r="E78" s="829">
        <f t="shared" si="59"/>
        <v>-1.6E-2</v>
      </c>
      <c r="F78" s="829">
        <f t="shared" si="60"/>
        <v>-1.44E-2</v>
      </c>
      <c r="G78" s="829">
        <f t="shared" si="61"/>
        <v>-1.9199999999999998E-2</v>
      </c>
      <c r="H78" s="829">
        <f t="shared" si="62"/>
        <v>-1.6E-2</v>
      </c>
      <c r="I78" s="829">
        <f t="shared" si="63"/>
        <v>-2.8799999999999999E-2</v>
      </c>
      <c r="J78" s="829">
        <f t="shared" si="64"/>
        <v>-3.2000000000000001E-2</v>
      </c>
      <c r="K78" s="835">
        <f t="shared" si="65"/>
        <v>-2.4E-2</v>
      </c>
    </row>
    <row r="79" spans="1:11">
      <c r="A79" s="809" t="s">
        <v>1038</v>
      </c>
      <c r="B79" s="831">
        <f t="shared" si="56"/>
        <v>-2.4E-2</v>
      </c>
      <c r="C79" s="832">
        <f t="shared" si="57"/>
        <v>-1.7999999999999999E-2</v>
      </c>
      <c r="D79" s="832">
        <f t="shared" si="58"/>
        <v>-1.7999999999999999E-2</v>
      </c>
      <c r="E79" s="832">
        <f t="shared" si="59"/>
        <v>-2.4E-2</v>
      </c>
      <c r="F79" s="832">
        <f t="shared" si="60"/>
        <v>-2.1600000000000001E-2</v>
      </c>
      <c r="G79" s="832">
        <f t="shared" si="61"/>
        <v>-2.8799999999999999E-2</v>
      </c>
      <c r="H79" s="832">
        <f t="shared" si="62"/>
        <v>-2.4E-2</v>
      </c>
      <c r="I79" s="832">
        <f t="shared" si="63"/>
        <v>-4.3200000000000002E-2</v>
      </c>
      <c r="J79" s="832">
        <f t="shared" si="64"/>
        <v>-4.8000000000000001E-2</v>
      </c>
      <c r="K79" s="836">
        <f t="shared" si="65"/>
        <v>-3.5999999999999997E-2</v>
      </c>
    </row>
    <row r="80" spans="1:11">
      <c r="A80" s="799" t="s">
        <v>139</v>
      </c>
      <c r="B80" s="825">
        <f t="shared" si="56"/>
        <v>-0.02</v>
      </c>
      <c r="C80" s="826">
        <f t="shared" si="57"/>
        <v>-2.1000000000000001E-2</v>
      </c>
      <c r="D80" s="826">
        <f t="shared" si="58"/>
        <v>-1.4999999999999999E-2</v>
      </c>
      <c r="E80" s="826">
        <f t="shared" si="59"/>
        <v>-1.7000000000000001E-2</v>
      </c>
      <c r="F80" s="826">
        <f t="shared" si="60"/>
        <v>-0.03</v>
      </c>
      <c r="G80" s="826">
        <f t="shared" si="61"/>
        <v>-2.5999999999999999E-2</v>
      </c>
      <c r="H80" s="826">
        <f t="shared" si="62"/>
        <v>-2.7E-2</v>
      </c>
      <c r="I80" s="826">
        <f t="shared" si="63"/>
        <v>-3.3000000000000002E-2</v>
      </c>
      <c r="J80" s="826">
        <f t="shared" si="64"/>
        <v>-3.5999999999999997E-2</v>
      </c>
      <c r="K80" s="834">
        <f t="shared" si="65"/>
        <v>-0.03</v>
      </c>
    </row>
    <row r="81" spans="1:11">
      <c r="A81" s="804" t="s">
        <v>145</v>
      </c>
      <c r="B81" s="828">
        <f t="shared" si="56"/>
        <v>-0.04</v>
      </c>
      <c r="C81" s="829">
        <f t="shared" si="57"/>
        <v>-4.2000000000000003E-2</v>
      </c>
      <c r="D81" s="829">
        <f t="shared" si="58"/>
        <v>-0.03</v>
      </c>
      <c r="E81" s="829">
        <f t="shared" si="59"/>
        <v>-3.4000000000000002E-2</v>
      </c>
      <c r="F81" s="829">
        <f t="shared" si="60"/>
        <v>-0.06</v>
      </c>
      <c r="G81" s="829">
        <f t="shared" si="61"/>
        <v>-5.1999999999999998E-2</v>
      </c>
      <c r="H81" s="829">
        <f t="shared" si="62"/>
        <v>-5.3999999999999999E-2</v>
      </c>
      <c r="I81" s="829">
        <f t="shared" si="63"/>
        <v>-6.6000000000000003E-2</v>
      </c>
      <c r="J81" s="829">
        <f t="shared" si="64"/>
        <v>-7.1999999999999995E-2</v>
      </c>
      <c r="K81" s="835">
        <f t="shared" si="65"/>
        <v>-0.06</v>
      </c>
    </row>
    <row r="82" spans="1:11">
      <c r="A82" s="804" t="s">
        <v>38</v>
      </c>
      <c r="B82" s="828">
        <f t="shared" si="56"/>
        <v>-0.02</v>
      </c>
      <c r="C82" s="829">
        <f t="shared" si="57"/>
        <v>-2.1000000000000001E-2</v>
      </c>
      <c r="D82" s="829">
        <f t="shared" si="58"/>
        <v>-1.4999999999999999E-2</v>
      </c>
      <c r="E82" s="829">
        <f t="shared" si="59"/>
        <v>-1.7000000000000001E-2</v>
      </c>
      <c r="F82" s="829">
        <f t="shared" si="60"/>
        <v>-0.03</v>
      </c>
      <c r="G82" s="829">
        <f t="shared" si="61"/>
        <v>-2.5999999999999999E-2</v>
      </c>
      <c r="H82" s="829">
        <f t="shared" si="62"/>
        <v>-2.7E-2</v>
      </c>
      <c r="I82" s="829">
        <f t="shared" si="63"/>
        <v>-3.3000000000000002E-2</v>
      </c>
      <c r="J82" s="829">
        <f t="shared" si="64"/>
        <v>-3.5999999999999997E-2</v>
      </c>
      <c r="K82" s="835">
        <f t="shared" si="65"/>
        <v>-0.03</v>
      </c>
    </row>
    <row r="83" spans="1:11">
      <c r="A83" s="804" t="s">
        <v>447</v>
      </c>
      <c r="B83" s="828">
        <f t="shared" si="56"/>
        <v>-0.02</v>
      </c>
      <c r="C83" s="829">
        <f t="shared" si="57"/>
        <v>-2.1000000000000001E-2</v>
      </c>
      <c r="D83" s="829">
        <f t="shared" si="58"/>
        <v>-1.4999999999999999E-2</v>
      </c>
      <c r="E83" s="829">
        <f t="shared" si="59"/>
        <v>-1.7000000000000001E-2</v>
      </c>
      <c r="F83" s="829">
        <f t="shared" si="60"/>
        <v>-0.03</v>
      </c>
      <c r="G83" s="829">
        <f t="shared" si="61"/>
        <v>-2.5999999999999999E-2</v>
      </c>
      <c r="H83" s="829">
        <f t="shared" si="62"/>
        <v>-2.7E-2</v>
      </c>
      <c r="I83" s="829">
        <f t="shared" si="63"/>
        <v>-3.3000000000000002E-2</v>
      </c>
      <c r="J83" s="829">
        <f t="shared" si="64"/>
        <v>-3.5999999999999997E-2</v>
      </c>
      <c r="K83" s="835">
        <f t="shared" si="65"/>
        <v>-0.03</v>
      </c>
    </row>
    <row r="84" spans="1:11">
      <c r="A84" s="804" t="s">
        <v>442</v>
      </c>
      <c r="B84" s="828">
        <f t="shared" si="56"/>
        <v>-1.6E-2</v>
      </c>
      <c r="C84" s="829">
        <f t="shared" si="57"/>
        <v>-1.6799999999999999E-2</v>
      </c>
      <c r="D84" s="829">
        <f t="shared" si="58"/>
        <v>-1.2E-2</v>
      </c>
      <c r="E84" s="829">
        <f t="shared" si="59"/>
        <v>-1.3599999999999999E-2</v>
      </c>
      <c r="F84" s="829">
        <f t="shared" si="60"/>
        <v>-2.4E-2</v>
      </c>
      <c r="G84" s="829">
        <f t="shared" si="61"/>
        <v>-2.0799999999999999E-2</v>
      </c>
      <c r="H84" s="829">
        <f t="shared" si="62"/>
        <v>-2.1600000000000001E-2</v>
      </c>
      <c r="I84" s="829">
        <f t="shared" si="63"/>
        <v>-2.64E-2</v>
      </c>
      <c r="J84" s="829">
        <f t="shared" si="64"/>
        <v>-2.8799999999999999E-2</v>
      </c>
      <c r="K84" s="835">
        <f t="shared" si="65"/>
        <v>-2.4E-2</v>
      </c>
    </row>
    <row r="85" spans="1:11">
      <c r="A85" s="804" t="s">
        <v>1038</v>
      </c>
      <c r="B85" s="828">
        <f t="shared" si="56"/>
        <v>-2.4E-2</v>
      </c>
      <c r="C85" s="829">
        <f t="shared" si="57"/>
        <v>-2.52E-2</v>
      </c>
      <c r="D85" s="829">
        <f t="shared" si="58"/>
        <v>-1.7999999999999999E-2</v>
      </c>
      <c r="E85" s="829">
        <f t="shared" si="59"/>
        <v>-2.0400000000000001E-2</v>
      </c>
      <c r="F85" s="829">
        <f t="shared" si="60"/>
        <v>-3.5999999999999997E-2</v>
      </c>
      <c r="G85" s="829">
        <f t="shared" si="61"/>
        <v>-3.1199999999999999E-2</v>
      </c>
      <c r="H85" s="829">
        <f t="shared" si="62"/>
        <v>-3.2399999999999998E-2</v>
      </c>
      <c r="I85" s="829">
        <f t="shared" si="63"/>
        <v>-3.9600000000000003E-2</v>
      </c>
      <c r="J85" s="829">
        <f t="shared" si="64"/>
        <v>-4.3200000000000002E-2</v>
      </c>
      <c r="K85" s="835">
        <f t="shared" si="65"/>
        <v>-3.5999999999999997E-2</v>
      </c>
    </row>
    <row r="86" spans="1:11">
      <c r="A86" s="804" t="s">
        <v>446</v>
      </c>
      <c r="B86" s="828">
        <f t="shared" si="56"/>
        <v>-0.04</v>
      </c>
      <c r="C86" s="829">
        <f t="shared" si="57"/>
        <v>-4.2000000000000003E-2</v>
      </c>
      <c r="D86" s="829">
        <f t="shared" si="58"/>
        <v>-0.03</v>
      </c>
      <c r="E86" s="829">
        <f t="shared" si="59"/>
        <v>-3.4000000000000002E-2</v>
      </c>
      <c r="F86" s="829">
        <f t="shared" si="60"/>
        <v>-0.06</v>
      </c>
      <c r="G86" s="829">
        <f t="shared" si="61"/>
        <v>-5.1999999999999998E-2</v>
      </c>
      <c r="H86" s="829">
        <f t="shared" si="62"/>
        <v>-5.3999999999999999E-2</v>
      </c>
      <c r="I86" s="829">
        <f t="shared" si="63"/>
        <v>-6.6000000000000003E-2</v>
      </c>
      <c r="J86" s="829">
        <f t="shared" si="64"/>
        <v>-7.1999999999999995E-2</v>
      </c>
      <c r="K86" s="835">
        <f t="shared" si="65"/>
        <v>-0.06</v>
      </c>
    </row>
    <row r="87" spans="1:11">
      <c r="A87" s="809" t="s">
        <v>1039</v>
      </c>
      <c r="B87" s="831">
        <f t="shared" si="56"/>
        <v>-0.02</v>
      </c>
      <c r="C87" s="832">
        <f t="shared" si="57"/>
        <v>-2.1000000000000001E-2</v>
      </c>
      <c r="D87" s="832">
        <f t="shared" si="58"/>
        <v>-1.4999999999999999E-2</v>
      </c>
      <c r="E87" s="832">
        <f t="shared" si="59"/>
        <v>-1.7000000000000001E-2</v>
      </c>
      <c r="F87" s="832">
        <f t="shared" si="60"/>
        <v>-0.03</v>
      </c>
      <c r="G87" s="832">
        <f t="shared" si="61"/>
        <v>-2.5999999999999999E-2</v>
      </c>
      <c r="H87" s="832">
        <f t="shared" si="62"/>
        <v>-2.7E-2</v>
      </c>
      <c r="I87" s="832">
        <f t="shared" si="63"/>
        <v>-3.3000000000000002E-2</v>
      </c>
      <c r="J87" s="832">
        <f t="shared" si="64"/>
        <v>-3.5999999999999997E-2</v>
      </c>
      <c r="K87" s="836">
        <f t="shared" si="65"/>
        <v>-0.03</v>
      </c>
    </row>
    <row r="88" spans="1:11">
      <c r="A88" s="804" t="s">
        <v>141</v>
      </c>
      <c r="B88" s="838">
        <f t="shared" si="56"/>
        <v>-0.02</v>
      </c>
      <c r="C88" s="838">
        <f t="shared" si="57"/>
        <v>-0.02</v>
      </c>
      <c r="D88" s="838">
        <f t="shared" si="58"/>
        <v>-0.04</v>
      </c>
      <c r="E88" s="838">
        <f t="shared" si="59"/>
        <v>-4.8000000000000001E-2</v>
      </c>
      <c r="F88" s="838">
        <f t="shared" si="60"/>
        <v>-0.05</v>
      </c>
      <c r="G88" s="838">
        <f t="shared" si="61"/>
        <v>-0.04</v>
      </c>
      <c r="H88" s="838">
        <f t="shared" si="62"/>
        <v>-4.5999999999999999E-2</v>
      </c>
      <c r="I88" s="838">
        <f t="shared" si="63"/>
        <v>-5.1999999999999998E-2</v>
      </c>
      <c r="J88" s="838">
        <f t="shared" si="64"/>
        <v>0</v>
      </c>
      <c r="K88" s="838">
        <f t="shared" si="65"/>
        <v>0</v>
      </c>
    </row>
    <row r="89" spans="1:11">
      <c r="A89" s="804" t="s">
        <v>145</v>
      </c>
      <c r="B89" s="829">
        <f t="shared" si="56"/>
        <v>-3.2000000000000001E-2</v>
      </c>
      <c r="C89" s="829">
        <f t="shared" si="57"/>
        <v>-3.2000000000000001E-2</v>
      </c>
      <c r="D89" s="829">
        <f t="shared" si="58"/>
        <v>-6.4000000000000001E-2</v>
      </c>
      <c r="E89" s="829">
        <f t="shared" si="59"/>
        <v>-7.6799999999999993E-2</v>
      </c>
      <c r="F89" s="829">
        <f t="shared" si="60"/>
        <v>-0.08</v>
      </c>
      <c r="G89" s="829">
        <f t="shared" si="61"/>
        <v>-6.4000000000000001E-2</v>
      </c>
      <c r="H89" s="829">
        <f t="shared" si="62"/>
        <v>-7.3599999999999999E-2</v>
      </c>
      <c r="I89" s="829">
        <f t="shared" si="63"/>
        <v>-8.3199999999999996E-2</v>
      </c>
      <c r="J89" s="829">
        <f t="shared" si="64"/>
        <v>0</v>
      </c>
      <c r="K89" s="829">
        <f t="shared" si="65"/>
        <v>0</v>
      </c>
    </row>
    <row r="90" spans="1:11">
      <c r="A90" s="804" t="s">
        <v>38</v>
      </c>
      <c r="B90" s="829">
        <f t="shared" si="56"/>
        <v>-0.01</v>
      </c>
      <c r="C90" s="829">
        <f t="shared" si="57"/>
        <v>-0.01</v>
      </c>
      <c r="D90" s="829">
        <f t="shared" si="58"/>
        <v>-0.02</v>
      </c>
      <c r="E90" s="829">
        <f t="shared" si="59"/>
        <v>-2.4E-2</v>
      </c>
      <c r="F90" s="829">
        <f t="shared" si="60"/>
        <v>-2.5000000000000001E-2</v>
      </c>
      <c r="G90" s="829">
        <f t="shared" si="61"/>
        <v>-0.02</v>
      </c>
      <c r="H90" s="829">
        <f t="shared" si="62"/>
        <v>-2.3E-2</v>
      </c>
      <c r="I90" s="829">
        <f t="shared" si="63"/>
        <v>-2.5999999999999999E-2</v>
      </c>
      <c r="J90" s="829">
        <f t="shared" si="64"/>
        <v>0</v>
      </c>
      <c r="K90" s="829">
        <f t="shared" si="65"/>
        <v>0</v>
      </c>
    </row>
    <row r="91" spans="1:11">
      <c r="A91" s="804" t="s">
        <v>447</v>
      </c>
      <c r="B91" s="829">
        <f t="shared" si="56"/>
        <v>-8.0000000000000002E-3</v>
      </c>
      <c r="C91" s="829">
        <f t="shared" si="57"/>
        <v>-8.0000000000000002E-3</v>
      </c>
      <c r="D91" s="829">
        <f t="shared" si="58"/>
        <v>-1.6E-2</v>
      </c>
      <c r="E91" s="829">
        <f t="shared" si="59"/>
        <v>-1.9199999999999998E-2</v>
      </c>
      <c r="F91" s="829">
        <f t="shared" si="60"/>
        <v>-0.02</v>
      </c>
      <c r="G91" s="829">
        <f t="shared" si="61"/>
        <v>-1.6E-2</v>
      </c>
      <c r="H91" s="829">
        <f t="shared" si="62"/>
        <v>-1.84E-2</v>
      </c>
      <c r="I91" s="829">
        <f t="shared" si="63"/>
        <v>-2.0799999999999999E-2</v>
      </c>
      <c r="J91" s="829">
        <f t="shared" si="64"/>
        <v>0</v>
      </c>
      <c r="K91" s="829">
        <f t="shared" si="65"/>
        <v>0</v>
      </c>
    </row>
    <row r="92" spans="1:11">
      <c r="A92" s="804" t="s">
        <v>442</v>
      </c>
      <c r="B92" s="829">
        <f t="shared" si="56"/>
        <v>-1.2E-2</v>
      </c>
      <c r="C92" s="829">
        <f t="shared" si="57"/>
        <v>-1.2E-2</v>
      </c>
      <c r="D92" s="829">
        <f t="shared" si="58"/>
        <v>-2.4E-2</v>
      </c>
      <c r="E92" s="829">
        <f t="shared" si="59"/>
        <v>-2.8799999999999999E-2</v>
      </c>
      <c r="F92" s="829">
        <f t="shared" si="60"/>
        <v>-0.03</v>
      </c>
      <c r="G92" s="829">
        <f t="shared" si="61"/>
        <v>-2.4E-2</v>
      </c>
      <c r="H92" s="829">
        <f t="shared" si="62"/>
        <v>-2.76E-2</v>
      </c>
      <c r="I92" s="829">
        <f t="shared" si="63"/>
        <v>-3.1199999999999999E-2</v>
      </c>
      <c r="J92" s="829">
        <f t="shared" si="64"/>
        <v>0</v>
      </c>
      <c r="K92" s="829">
        <f t="shared" si="65"/>
        <v>0</v>
      </c>
    </row>
    <row r="93" spans="1:11">
      <c r="A93" s="804" t="s">
        <v>445</v>
      </c>
      <c r="B93" s="829">
        <f t="shared" si="56"/>
        <v>-0.01</v>
      </c>
      <c r="C93" s="829">
        <f t="shared" si="57"/>
        <v>-0.01</v>
      </c>
      <c r="D93" s="829">
        <f t="shared" si="58"/>
        <v>-0.02</v>
      </c>
      <c r="E93" s="829">
        <f t="shared" si="59"/>
        <v>-2.4E-2</v>
      </c>
      <c r="F93" s="829">
        <f t="shared" si="60"/>
        <v>-2.5000000000000001E-2</v>
      </c>
      <c r="G93" s="829">
        <f t="shared" si="61"/>
        <v>-0.02</v>
      </c>
      <c r="H93" s="829">
        <f t="shared" si="62"/>
        <v>-2.3E-2</v>
      </c>
      <c r="I93" s="829">
        <f t="shared" si="63"/>
        <v>-2.5999999999999999E-2</v>
      </c>
      <c r="J93" s="829">
        <f t="shared" si="64"/>
        <v>0</v>
      </c>
      <c r="K93" s="829">
        <f t="shared" si="65"/>
        <v>0</v>
      </c>
    </row>
    <row r="94" spans="1:11">
      <c r="A94" s="809" t="s">
        <v>150</v>
      </c>
      <c r="B94" s="829">
        <f t="shared" si="56"/>
        <v>-8.0000000000000002E-3</v>
      </c>
      <c r="C94" s="829">
        <f t="shared" si="57"/>
        <v>-8.0000000000000002E-3</v>
      </c>
      <c r="D94" s="829">
        <f t="shared" si="58"/>
        <v>-1.6E-2</v>
      </c>
      <c r="E94" s="829">
        <f t="shared" si="59"/>
        <v>-1.9199999999999998E-2</v>
      </c>
      <c r="F94" s="829">
        <f t="shared" si="60"/>
        <v>-0.02</v>
      </c>
      <c r="G94" s="829">
        <f t="shared" si="61"/>
        <v>-1.6E-2</v>
      </c>
      <c r="H94" s="829">
        <f t="shared" si="62"/>
        <v>-1.84E-2</v>
      </c>
      <c r="I94" s="829">
        <f t="shared" si="63"/>
        <v>-2.0799999999999999E-2</v>
      </c>
      <c r="J94" s="829">
        <f t="shared" si="64"/>
        <v>0</v>
      </c>
      <c r="K94" s="829">
        <f t="shared" si="65"/>
        <v>0</v>
      </c>
    </row>
  </sheetData>
  <phoneticPr fontId="1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F32" sqref="F32"/>
    </sheetView>
  </sheetViews>
  <sheetFormatPr defaultColWidth="9" defaultRowHeight="12"/>
  <cols>
    <col min="1" max="1" width="15.75" style="632" customWidth="1"/>
    <col min="2" max="2" width="21.125" style="633" customWidth="1"/>
    <col min="3" max="3" width="17.875" style="634" customWidth="1"/>
    <col min="4" max="4" width="12" style="634" customWidth="1"/>
    <col min="5" max="5" width="14.625" style="634" customWidth="1"/>
    <col min="6" max="6" width="14.25" style="634" customWidth="1"/>
    <col min="7" max="8" width="12" style="634" customWidth="1"/>
    <col min="9" max="9" width="12.25" style="634" customWidth="1"/>
    <col min="10" max="10" width="12" style="634" customWidth="1"/>
    <col min="11" max="11" width="9.5" style="635" customWidth="1"/>
    <col min="12" max="12" width="12" style="634" customWidth="1"/>
    <col min="13" max="13" width="8.5" style="634" customWidth="1"/>
    <col min="14" max="14" width="9.75" style="634" customWidth="1"/>
    <col min="15" max="25" width="12" style="634" customWidth="1"/>
    <col min="26" max="26" width="9.375" style="632" customWidth="1"/>
    <col min="27" max="32" width="9.375" style="636" customWidth="1"/>
    <col min="33" max="36" width="9.375" style="632" customWidth="1"/>
    <col min="37" max="38" width="9.375" style="634" customWidth="1"/>
    <col min="39" max="16384" width="9" style="634"/>
  </cols>
  <sheetData>
    <row r="1" spans="1:36" ht="20.25">
      <c r="A1" s="637" t="s">
        <v>1056</v>
      </c>
      <c r="B1" s="638"/>
      <c r="C1" s="639" t="s">
        <v>1057</v>
      </c>
      <c r="D1" s="640" t="s">
        <v>1058</v>
      </c>
      <c r="E1" s="641"/>
      <c r="F1" s="642"/>
      <c r="G1" s="643"/>
      <c r="H1" s="643"/>
      <c r="I1" s="643"/>
      <c r="J1" s="768"/>
      <c r="AE1" s="751"/>
      <c r="AF1" s="751"/>
    </row>
    <row r="2" spans="1:36" ht="15.75">
      <c r="A2" s="644" t="s">
        <v>295</v>
      </c>
      <c r="B2" s="645" t="str">
        <f>IF(C1="求取熟地价",E27,IF(C1="求取毛地价",E29,"——"))</f>
        <v>——</v>
      </c>
      <c r="C2" s="646" t="s">
        <v>332</v>
      </c>
      <c r="D2" s="1721" t="s">
        <v>377</v>
      </c>
      <c r="E2" s="1725" t="s">
        <v>1059</v>
      </c>
      <c r="F2" s="647" t="s">
        <v>1060</v>
      </c>
      <c r="G2" s="648"/>
      <c r="H2" s="648"/>
      <c r="I2" s="769"/>
      <c r="J2" s="770"/>
      <c r="AE2" s="751"/>
      <c r="AF2" s="751"/>
    </row>
    <row r="3" spans="1:36" ht="15.75">
      <c r="A3" s="649" t="s">
        <v>334</v>
      </c>
      <c r="B3" s="650" t="e">
        <f ca="1">IF(C1="求取熟地价",C27,ROUND((C15*B11+C18)*C22/B11,0))</f>
        <v>#DIV/0!</v>
      </c>
      <c r="C3" s="651" t="s">
        <v>335</v>
      </c>
      <c r="D3" s="1722"/>
      <c r="E3" s="1726"/>
      <c r="F3" s="647" t="s">
        <v>1061</v>
      </c>
      <c r="G3" s="648"/>
      <c r="H3" s="648"/>
      <c r="I3" s="769"/>
      <c r="J3" s="770"/>
      <c r="AE3" s="751"/>
      <c r="AF3" s="751"/>
    </row>
    <row r="4" spans="1:36" ht="15.75">
      <c r="A4" s="652"/>
      <c r="B4" s="653"/>
      <c r="C4" s="654"/>
      <c r="D4" s="1722"/>
      <c r="E4" s="1726"/>
      <c r="F4" s="647" t="s">
        <v>1062</v>
      </c>
      <c r="G4" s="648"/>
      <c r="H4" s="648"/>
      <c r="I4" s="769"/>
      <c r="J4" s="770"/>
      <c r="AE4" s="751"/>
      <c r="AF4" s="751"/>
    </row>
    <row r="5" spans="1:36" ht="14.25">
      <c r="A5" s="655" t="s">
        <v>333</v>
      </c>
      <c r="B5" s="656" t="str">
        <f>主表!B12</f>
        <v>住宅/居住</v>
      </c>
      <c r="C5" s="657"/>
      <c r="D5" s="1723"/>
      <c r="E5" s="1727"/>
      <c r="F5" s="647" t="s">
        <v>1063</v>
      </c>
      <c r="G5" s="648"/>
      <c r="H5" s="648"/>
      <c r="I5" s="769"/>
      <c r="J5" s="770"/>
      <c r="AE5" s="751"/>
      <c r="AF5" s="751"/>
    </row>
    <row r="6" spans="1:36" ht="14.25">
      <c r="A6" s="658" t="s">
        <v>1064</v>
      </c>
      <c r="B6" s="659" t="s">
        <v>1072</v>
      </c>
      <c r="C6" s="657"/>
      <c r="D6" s="1721" t="s">
        <v>1065</v>
      </c>
      <c r="E6" s="1725" t="s">
        <v>1066</v>
      </c>
      <c r="F6" s="647" t="s">
        <v>1067</v>
      </c>
      <c r="G6" s="648"/>
      <c r="H6" s="648"/>
      <c r="I6" s="769"/>
      <c r="J6" s="770"/>
      <c r="AE6" s="751"/>
      <c r="AF6" s="751"/>
    </row>
    <row r="7" spans="1:36" ht="14.25">
      <c r="A7" s="660" t="s">
        <v>1068</v>
      </c>
      <c r="B7" s="661" t="str">
        <f>LEFT(主表!B10,1)&amp;"类"</f>
        <v>五类</v>
      </c>
      <c r="C7" s="657"/>
      <c r="D7" s="1722"/>
      <c r="E7" s="1726"/>
      <c r="F7" s="647" t="s">
        <v>1069</v>
      </c>
      <c r="G7" s="648"/>
      <c r="H7" s="648"/>
      <c r="I7" s="769"/>
      <c r="J7" s="770"/>
      <c r="AE7" s="751"/>
      <c r="AF7" s="751"/>
    </row>
    <row r="8" spans="1:36" ht="15">
      <c r="A8" s="658" t="s">
        <v>1070</v>
      </c>
      <c r="B8" s="662"/>
      <c r="C8" s="657"/>
      <c r="D8" s="1723"/>
      <c r="E8" s="1727"/>
      <c r="F8" s="647" t="s">
        <v>1071</v>
      </c>
      <c r="G8" s="648"/>
      <c r="H8" s="648"/>
      <c r="I8" s="769"/>
      <c r="J8" s="770"/>
      <c r="AE8" s="751"/>
      <c r="AF8" s="751"/>
    </row>
    <row r="9" spans="1:36" ht="15">
      <c r="A9" s="658" t="s">
        <v>330</v>
      </c>
      <c r="B9" s="663">
        <f>主表!B7</f>
        <v>52.76</v>
      </c>
      <c r="C9" s="657"/>
      <c r="D9" s="664" t="s">
        <v>1072</v>
      </c>
      <c r="E9" s="665" t="s">
        <v>1072</v>
      </c>
      <c r="F9" s="647" t="s">
        <v>1073</v>
      </c>
      <c r="G9" s="648"/>
      <c r="H9" s="648"/>
      <c r="I9" s="769"/>
      <c r="J9" s="770"/>
      <c r="AE9" s="751"/>
      <c r="AF9" s="751"/>
    </row>
    <row r="10" spans="1:36" ht="15">
      <c r="A10" s="658" t="s">
        <v>1003</v>
      </c>
      <c r="B10" s="663">
        <f>主表!B6</f>
        <v>0</v>
      </c>
      <c r="C10" s="657"/>
      <c r="D10" s="1721" t="s">
        <v>137</v>
      </c>
      <c r="E10" s="1725" t="s">
        <v>1074</v>
      </c>
      <c r="F10" s="647" t="s">
        <v>1075</v>
      </c>
      <c r="G10" s="648"/>
      <c r="H10" s="648"/>
      <c r="I10" s="769"/>
      <c r="J10" s="770"/>
      <c r="AE10" s="751"/>
      <c r="AF10" s="751"/>
    </row>
    <row r="11" spans="1:36" ht="15">
      <c r="A11" s="666" t="s">
        <v>254</v>
      </c>
      <c r="B11" s="667" t="e">
        <f>IF(A11="容积率",主表!B8,主表!B9)</f>
        <v>#DIV/0!</v>
      </c>
      <c r="C11" s="657"/>
      <c r="D11" s="1724"/>
      <c r="E11" s="1728"/>
      <c r="F11" s="669" t="s">
        <v>1076</v>
      </c>
      <c r="G11" s="670"/>
      <c r="H11" s="670"/>
      <c r="I11" s="771"/>
      <c r="J11" s="772"/>
      <c r="AE11" s="751"/>
      <c r="AF11" s="751"/>
    </row>
    <row r="12" spans="1:36" ht="14.25">
      <c r="A12" s="671"/>
      <c r="B12" s="671"/>
      <c r="C12" s="671"/>
      <c r="D12" s="671"/>
      <c r="E12" s="671"/>
      <c r="F12" s="671"/>
      <c r="G12" s="672"/>
      <c r="H12" s="673"/>
      <c r="I12" s="759"/>
      <c r="J12" s="678"/>
      <c r="AE12" s="751"/>
      <c r="AF12" s="751"/>
    </row>
    <row r="13" spans="1:36" ht="14.25">
      <c r="A13" s="674" t="s">
        <v>1077</v>
      </c>
      <c r="B13" s="675"/>
      <c r="C13" s="676" t="s">
        <v>294</v>
      </c>
      <c r="D13" s="677" t="s">
        <v>1043</v>
      </c>
      <c r="E13" s="656" t="s">
        <v>1044</v>
      </c>
      <c r="F13" s="678"/>
      <c r="G13" s="678"/>
      <c r="H13" s="673"/>
      <c r="I13" s="759"/>
      <c r="J13" s="678"/>
      <c r="AE13" s="751"/>
      <c r="AF13" s="751"/>
    </row>
    <row r="14" spans="1:36" s="630" customFormat="1" ht="15.75">
      <c r="A14" s="679" t="s">
        <v>341</v>
      </c>
      <c r="B14" s="680" t="s">
        <v>1078</v>
      </c>
      <c r="C14" s="681"/>
      <c r="D14" s="682">
        <f>SUMPRODUCT((D35:M35=B7)*(B36:B39=B6)*(D36:M39))</f>
        <v>600</v>
      </c>
      <c r="E14" s="683">
        <f>SUMPRODUCT((D35:M35=B7)*(B40:B43=B6)*(D40:M43))</f>
        <v>800</v>
      </c>
      <c r="F14" s="678"/>
      <c r="G14" s="678"/>
      <c r="H14" s="673"/>
      <c r="I14" s="759"/>
      <c r="J14" s="678"/>
      <c r="K14" s="773"/>
      <c r="AE14" s="784"/>
      <c r="AF14" s="784"/>
      <c r="AG14" s="786"/>
      <c r="AH14" s="786"/>
      <c r="AI14" s="786"/>
      <c r="AJ14" s="786"/>
    </row>
    <row r="15" spans="1:36" ht="15.75">
      <c r="A15" s="684" t="s">
        <v>373</v>
      </c>
      <c r="B15" s="685" t="s">
        <v>1079</v>
      </c>
      <c r="C15" s="686">
        <f>IF(B5="住宅/居住",C16+C17,C16)</f>
        <v>0</v>
      </c>
      <c r="D15" s="687"/>
      <c r="E15" s="688"/>
      <c r="F15" s="678"/>
      <c r="G15" s="678"/>
      <c r="H15" s="673"/>
      <c r="I15" s="759"/>
      <c r="J15" s="678"/>
      <c r="AE15" s="751"/>
      <c r="AF15" s="751"/>
    </row>
    <row r="16" spans="1:36" ht="15.75">
      <c r="A16" s="689">
        <v>1</v>
      </c>
      <c r="B16" s="690" t="s">
        <v>1080</v>
      </c>
      <c r="C16" s="691"/>
      <c r="D16" s="692">
        <f>SUMPRODUCT((D35:M35=B7)*(B44:B46=B16)*(D44:M46))</f>
        <v>460</v>
      </c>
      <c r="E16" s="693">
        <f>SUMPRODUCT((D35:M35=B7)*(B47:B49=B16)*(D47:M49))</f>
        <v>800</v>
      </c>
      <c r="F16" s="678"/>
      <c r="G16" s="678"/>
      <c r="H16" s="673"/>
      <c r="I16" s="759"/>
      <c r="J16" s="678"/>
      <c r="AE16" s="751"/>
      <c r="AF16" s="751"/>
    </row>
    <row r="17" spans="1:37" ht="15.75" customHeight="1">
      <c r="A17" s="689">
        <v>2</v>
      </c>
      <c r="B17" s="690" t="s">
        <v>1081</v>
      </c>
      <c r="C17" s="691"/>
      <c r="D17" s="682">
        <f>SUMPRODUCT((D35:M35=B7)*(B44:B46=B17)*(D44:M46))</f>
        <v>150</v>
      </c>
      <c r="E17" s="683">
        <f>SUMPRODUCT((D35:M35=B7)*(B47:B49=B17)*(D47:M49))</f>
        <v>400</v>
      </c>
      <c r="F17" s="694" t="s">
        <v>1082</v>
      </c>
      <c r="G17" s="678"/>
      <c r="H17" s="673"/>
      <c r="I17" s="759"/>
      <c r="J17" s="678"/>
      <c r="AE17" s="751"/>
      <c r="AF17" s="751"/>
    </row>
    <row r="18" spans="1:37" ht="15">
      <c r="A18" s="695" t="s">
        <v>378</v>
      </c>
      <c r="B18" s="696" t="s">
        <v>1083</v>
      </c>
      <c r="C18" s="697">
        <f>IF(B8="城镇拆迁",C19*IF(F19="居民住宅",1,IF(F19="企业事业单位",2,4)),C20)</f>
        <v>0</v>
      </c>
      <c r="D18" s="698"/>
      <c r="E18" s="699"/>
      <c r="F18" s="678"/>
      <c r="G18" s="678"/>
      <c r="H18" s="673"/>
      <c r="I18" s="759"/>
      <c r="J18" s="678"/>
      <c r="AE18" s="751"/>
      <c r="AF18" s="751"/>
    </row>
    <row r="19" spans="1:37" ht="15.75">
      <c r="A19" s="700"/>
      <c r="B19" s="701" t="s">
        <v>1084</v>
      </c>
      <c r="C19" s="702"/>
      <c r="D19" s="703">
        <f>SUMPRODUCT((D35:M35=B7)*(B44:B46=B19)*(D44:M46))</f>
        <v>5900</v>
      </c>
      <c r="E19" s="703">
        <f>SUMPRODUCT((D35:M35=B7)*(B47:B49=B19)*(D47:M49))</f>
        <v>7800</v>
      </c>
      <c r="F19" s="704" t="s">
        <v>1085</v>
      </c>
      <c r="G19" s="678"/>
      <c r="H19" s="673"/>
      <c r="I19" s="759"/>
      <c r="J19" s="678"/>
      <c r="AE19" s="751"/>
      <c r="AF19" s="751"/>
    </row>
    <row r="20" spans="1:37" ht="15">
      <c r="A20" s="705"/>
      <c r="B20" s="706" t="s">
        <v>1086</v>
      </c>
      <c r="C20" s="707"/>
      <c r="D20" s="708">
        <f>SUMPRODUCT((D35:M35=B7)*(B50:B51=F20)*(D50:M51))</f>
        <v>150</v>
      </c>
      <c r="E20" s="682">
        <f>SUMPRODUCT((D35:M35=B7)*(B52:B53=F20)*(D52:M53))</f>
        <v>450</v>
      </c>
      <c r="F20" s="709" t="s">
        <v>1087</v>
      </c>
      <c r="G20" s="678"/>
      <c r="H20" s="673"/>
      <c r="I20" s="759"/>
      <c r="J20" s="678"/>
      <c r="AE20" s="751"/>
      <c r="AF20" s="751"/>
    </row>
    <row r="21" spans="1:37" ht="15.75">
      <c r="A21" s="710" t="s">
        <v>386</v>
      </c>
      <c r="B21" s="711" t="s">
        <v>392</v>
      </c>
      <c r="C21" s="712" t="e">
        <f>IF(B11&lt;1,1,SUMIF(B55:K55,ROUNDDOWN(B11,0),B56:K56)+(SUMIF(B55:K55,ROUNDUP(B11,0),B56:K56)-SUMIF(B55:K55,ROUNDDOWN(B11,0),B56:K56))*(B11-ROUNDDOWN(B11,0)))</f>
        <v>#DIV/0!</v>
      </c>
      <c r="D21" s="713"/>
      <c r="E21" s="714"/>
      <c r="F21" s="678"/>
      <c r="G21" s="678"/>
      <c r="H21" s="673"/>
      <c r="I21" s="759"/>
      <c r="J21" s="678"/>
      <c r="AE21" s="751"/>
      <c r="AF21" s="751"/>
    </row>
    <row r="22" spans="1:37" ht="15.75">
      <c r="A22" s="715" t="s">
        <v>389</v>
      </c>
      <c r="B22" s="685" t="s">
        <v>281</v>
      </c>
      <c r="C22" s="716">
        <f ca="1">ROUND(POWER(1+C23,C25-C24)*(POWER(1+C23,C24)-1)/(POWER(1+C23,C25)-1),4)</f>
        <v>0.99729999999999996</v>
      </c>
      <c r="D22" s="717"/>
      <c r="E22" s="718"/>
      <c r="F22" s="678"/>
      <c r="G22" s="678"/>
      <c r="H22" s="673"/>
      <c r="I22" s="759"/>
      <c r="J22" s="678"/>
      <c r="AE22" s="751"/>
      <c r="AF22" s="751"/>
    </row>
    <row r="23" spans="1:37" ht="15">
      <c r="A23" s="719"/>
      <c r="B23" s="720" t="s">
        <v>278</v>
      </c>
      <c r="C23" s="721">
        <f ca="1">AVERAGE(存贷款利率!G3,存贷款利率!I3)</f>
        <v>4.0050000000000002E-2</v>
      </c>
      <c r="D23" s="722"/>
      <c r="E23" s="723"/>
      <c r="F23" s="678"/>
      <c r="G23" s="678"/>
      <c r="H23" s="673"/>
      <c r="I23" s="759"/>
      <c r="J23" s="678"/>
      <c r="AE23" s="751"/>
      <c r="AF23" s="751"/>
    </row>
    <row r="24" spans="1:37" ht="15">
      <c r="A24" s="719"/>
      <c r="B24" s="724" t="s">
        <v>272</v>
      </c>
      <c r="C24" s="692">
        <f>IF(B24="剩余土地使用年限",主表!B15,主表!B16)</f>
        <v>69</v>
      </c>
      <c r="D24" s="722"/>
      <c r="E24" s="723"/>
      <c r="F24" s="678"/>
      <c r="G24" s="678"/>
      <c r="H24" s="673"/>
      <c r="I24" s="759"/>
      <c r="J24" s="678"/>
      <c r="AE24" s="751"/>
      <c r="AF24" s="751"/>
    </row>
    <row r="25" spans="1:37" ht="15">
      <c r="A25" s="725"/>
      <c r="B25" s="726" t="s">
        <v>1088</v>
      </c>
      <c r="C25" s="682">
        <f>IF(B5="住宅/居住",70,IF(B5="商业",40,50))</f>
        <v>70</v>
      </c>
      <c r="D25" s="727"/>
      <c r="E25" s="728"/>
      <c r="F25" s="678"/>
      <c r="G25" s="678"/>
      <c r="H25" s="673"/>
      <c r="I25" s="759"/>
      <c r="J25" s="678"/>
      <c r="AE25" s="751"/>
      <c r="AF25" s="751"/>
    </row>
    <row r="26" spans="1:37" ht="14.25">
      <c r="A26" s="729" t="s">
        <v>396</v>
      </c>
      <c r="B26" s="730" t="s">
        <v>399</v>
      </c>
      <c r="C26" s="731" t="s">
        <v>294</v>
      </c>
      <c r="D26" s="731" t="s">
        <v>1018</v>
      </c>
      <c r="E26" s="732" t="s">
        <v>403</v>
      </c>
      <c r="F26" s="733"/>
      <c r="G26" s="734"/>
      <c r="H26" s="734"/>
      <c r="I26" s="734"/>
      <c r="J26" s="774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635"/>
      <c r="AB26" s="635"/>
      <c r="AC26" s="635"/>
      <c r="AD26" s="635"/>
      <c r="AE26" s="751"/>
      <c r="AF26" s="751"/>
    </row>
    <row r="27" spans="1:37" s="630" customFormat="1" ht="15">
      <c r="A27" s="1707" t="s">
        <v>1019</v>
      </c>
      <c r="B27" s="735" t="s">
        <v>1007</v>
      </c>
      <c r="C27" s="692" t="e">
        <f>ROUND(C28/B11,0)</f>
        <v>#DIV/0!</v>
      </c>
      <c r="D27" s="736">
        <f>B9</f>
        <v>52.76</v>
      </c>
      <c r="E27" s="737" t="e">
        <f>ROUND(C27*D27,0)</f>
        <v>#DIV/0!</v>
      </c>
      <c r="F27" s="738"/>
      <c r="G27" s="739"/>
      <c r="H27" s="739"/>
      <c r="I27" s="739"/>
      <c r="J27" s="775"/>
      <c r="K27" s="776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751"/>
      <c r="AA27" s="751"/>
      <c r="AB27" s="751"/>
      <c r="AC27" s="751"/>
      <c r="AD27" s="751"/>
      <c r="AE27" s="751"/>
      <c r="AF27" s="751"/>
      <c r="AG27" s="632"/>
      <c r="AH27" s="632"/>
      <c r="AI27" s="632"/>
    </row>
    <row r="28" spans="1:37" s="630" customFormat="1" ht="15">
      <c r="A28" s="1708"/>
      <c r="B28" s="740" t="s">
        <v>1021</v>
      </c>
      <c r="C28" s="692">
        <f>IF(主表!B4&lt;DATE(2002,12,10),ROUND(C14*C21*C22+C15*B11+C18,0),0)</f>
        <v>0</v>
      </c>
      <c r="D28" s="736">
        <f>B10</f>
        <v>0</v>
      </c>
      <c r="E28" s="737">
        <f>ROUND(C28*D28,0)</f>
        <v>0</v>
      </c>
      <c r="F28" s="738"/>
      <c r="G28" s="739"/>
      <c r="H28" s="739"/>
      <c r="I28" s="739"/>
      <c r="J28" s="775"/>
      <c r="K28" s="776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5"/>
      <c r="Z28" s="751"/>
      <c r="AA28" s="751"/>
      <c r="AB28" s="751"/>
      <c r="AC28" s="751"/>
      <c r="AD28" s="751"/>
      <c r="AE28" s="751"/>
      <c r="AF28" s="751"/>
      <c r="AG28" s="632"/>
      <c r="AH28" s="632"/>
      <c r="AI28" s="632"/>
    </row>
    <row r="29" spans="1:37" s="630" customFormat="1" ht="15">
      <c r="A29" s="1709" t="s">
        <v>1089</v>
      </c>
      <c r="B29" s="690" t="s">
        <v>1090</v>
      </c>
      <c r="C29" s="703" t="e">
        <f>ROUND(C30/B11,0)</f>
        <v>#DIV/0!</v>
      </c>
      <c r="D29" s="741">
        <f>B9</f>
        <v>52.76</v>
      </c>
      <c r="E29" s="742" t="e">
        <f>ROUND(C29*D29,0)</f>
        <v>#DIV/0!</v>
      </c>
      <c r="F29" s="738"/>
      <c r="G29" s="739"/>
      <c r="H29" s="739"/>
      <c r="I29" s="739"/>
      <c r="J29" s="775"/>
      <c r="K29" s="776"/>
      <c r="L29" s="635"/>
      <c r="M29" s="635"/>
      <c r="N29" s="635"/>
      <c r="O29" s="635"/>
      <c r="P29" s="635"/>
      <c r="Q29" s="635"/>
      <c r="R29" s="635"/>
      <c r="S29" s="635"/>
      <c r="T29" s="635"/>
      <c r="U29" s="635"/>
      <c r="V29" s="635"/>
      <c r="W29" s="635"/>
      <c r="X29" s="635"/>
      <c r="Y29" s="635"/>
      <c r="Z29" s="751"/>
      <c r="AA29" s="751"/>
      <c r="AB29" s="751"/>
      <c r="AC29" s="751"/>
      <c r="AD29" s="751"/>
      <c r="AE29" s="751"/>
      <c r="AF29" s="751"/>
      <c r="AG29" s="632"/>
      <c r="AH29" s="632"/>
      <c r="AI29" s="632"/>
    </row>
    <row r="30" spans="1:37" s="630" customFormat="1" ht="15">
      <c r="A30" s="1715"/>
      <c r="B30" s="744" t="s">
        <v>1091</v>
      </c>
      <c r="C30" s="745">
        <f>IF(主表!B4&lt;DATE(2002,12,10),ROUND(C14*C21*C22+C15*B11,0),0)</f>
        <v>0</v>
      </c>
      <c r="D30" s="746">
        <f>B10</f>
        <v>0</v>
      </c>
      <c r="E30" s="747">
        <f t="shared" ref="E30" si="0">ROUND(C30*D30,0)</f>
        <v>0</v>
      </c>
      <c r="F30" s="748"/>
      <c r="G30" s="749"/>
      <c r="H30" s="749"/>
      <c r="I30" s="749"/>
      <c r="J30" s="777"/>
      <c r="K30" s="776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5"/>
      <c r="X30" s="635"/>
      <c r="Y30" s="635"/>
      <c r="Z30" s="751"/>
      <c r="AA30" s="751"/>
      <c r="AB30" s="751"/>
      <c r="AC30" s="751"/>
      <c r="AD30" s="751"/>
      <c r="AE30" s="776"/>
      <c r="AF30" s="785"/>
      <c r="AG30" s="787"/>
      <c r="AH30" s="632"/>
      <c r="AI30" s="786"/>
      <c r="AJ30" s="786"/>
      <c r="AK30" s="786"/>
    </row>
    <row r="31" spans="1:37" s="630" customFormat="1" ht="13.5">
      <c r="A31" s="632"/>
      <c r="B31" s="633"/>
      <c r="C31" s="634"/>
      <c r="D31" s="634"/>
      <c r="E31" s="634"/>
      <c r="F31" s="634"/>
      <c r="G31" s="634"/>
      <c r="H31" s="634"/>
      <c r="I31" s="634"/>
      <c r="J31" s="634"/>
      <c r="K31" s="776"/>
      <c r="L31" s="635"/>
      <c r="M31" s="635"/>
      <c r="N31" s="635"/>
      <c r="O31" s="635"/>
      <c r="P31" s="635"/>
      <c r="Q31" s="635"/>
      <c r="R31" s="635"/>
      <c r="S31" s="635"/>
      <c r="T31" s="635"/>
      <c r="U31" s="635"/>
      <c r="V31" s="635"/>
      <c r="W31" s="635"/>
      <c r="X31" s="635"/>
      <c r="Y31" s="635"/>
      <c r="Z31" s="751"/>
      <c r="AA31" s="751"/>
      <c r="AB31" s="751"/>
      <c r="AC31" s="751"/>
      <c r="AD31" s="751"/>
      <c r="AE31" s="776"/>
      <c r="AF31" s="776"/>
    </row>
    <row r="32" spans="1:37" s="630" customFormat="1" ht="14.25">
      <c r="A32" s="632"/>
      <c r="B32" s="633"/>
      <c r="C32" s="750"/>
      <c r="D32" s="750"/>
      <c r="E32" s="750"/>
      <c r="F32" s="750"/>
      <c r="G32" s="750"/>
      <c r="H32" s="750"/>
      <c r="I32" s="750"/>
      <c r="J32" s="750"/>
      <c r="K32" s="778"/>
      <c r="L32" s="779"/>
      <c r="M32" s="779"/>
      <c r="N32" s="779"/>
      <c r="O32" s="779"/>
      <c r="P32" s="779"/>
      <c r="Q32" s="779"/>
      <c r="R32" s="779"/>
      <c r="S32" s="779"/>
      <c r="T32" s="635"/>
      <c r="U32" s="635"/>
      <c r="V32" s="635"/>
      <c r="W32" s="635"/>
      <c r="X32" s="635"/>
      <c r="Y32" s="635"/>
      <c r="Z32" s="751"/>
      <c r="AA32" s="751"/>
      <c r="AB32" s="751"/>
      <c r="AC32" s="751"/>
      <c r="AD32" s="751"/>
      <c r="AE32" s="776"/>
      <c r="AF32" s="776"/>
    </row>
    <row r="33" spans="1:37">
      <c r="A33" s="751"/>
      <c r="B33" s="752"/>
      <c r="C33" s="635"/>
      <c r="D33" s="635"/>
      <c r="E33" s="635"/>
      <c r="F33" s="635"/>
      <c r="G33" s="635"/>
      <c r="H33" s="635"/>
      <c r="I33" s="635"/>
      <c r="J33" s="635"/>
      <c r="L33" s="635"/>
      <c r="M33" s="635"/>
      <c r="N33" s="635"/>
      <c r="O33" s="635"/>
      <c r="P33" s="635"/>
      <c r="Q33" s="635"/>
      <c r="R33" s="635"/>
      <c r="S33" s="635"/>
      <c r="T33" s="635"/>
      <c r="U33" s="635"/>
      <c r="V33" s="635"/>
      <c r="W33" s="635"/>
      <c r="X33" s="635"/>
      <c r="Y33" s="635"/>
      <c r="Z33" s="751"/>
      <c r="AA33" s="751"/>
      <c r="AB33" s="751"/>
      <c r="AC33" s="751"/>
      <c r="AD33" s="751"/>
      <c r="AE33" s="751"/>
      <c r="AF33" s="751"/>
      <c r="AK33" s="632"/>
    </row>
    <row r="34" spans="1:37" s="630" customFormat="1" ht="13.5">
      <c r="A34" s="751"/>
      <c r="B34" s="752"/>
      <c r="C34" s="635"/>
      <c r="D34" s="635"/>
      <c r="E34" s="635"/>
      <c r="F34" s="635"/>
      <c r="G34" s="635"/>
      <c r="H34" s="635"/>
      <c r="I34" s="635"/>
      <c r="J34" s="635"/>
      <c r="K34" s="776"/>
      <c r="L34" s="635"/>
      <c r="M34" s="635"/>
      <c r="N34" s="635"/>
      <c r="O34" s="635"/>
      <c r="P34" s="635"/>
      <c r="Q34" s="635"/>
      <c r="R34" s="635"/>
      <c r="S34" s="635"/>
      <c r="T34" s="635"/>
      <c r="U34" s="635"/>
      <c r="V34" s="635"/>
      <c r="W34" s="635"/>
      <c r="X34" s="635"/>
      <c r="Y34" s="635"/>
      <c r="Z34" s="751"/>
      <c r="AA34" s="751"/>
      <c r="AB34" s="751"/>
      <c r="AC34" s="751"/>
      <c r="AD34" s="751"/>
      <c r="AE34" s="776"/>
      <c r="AF34" s="776"/>
    </row>
    <row r="35" spans="1:37" s="631" customFormat="1">
      <c r="A35" s="753"/>
      <c r="B35" s="753" t="s">
        <v>1068</v>
      </c>
      <c r="C35" s="753"/>
      <c r="D35" s="753" t="s">
        <v>1092</v>
      </c>
      <c r="E35" s="753" t="s">
        <v>1093</v>
      </c>
      <c r="F35" s="753" t="s">
        <v>1094</v>
      </c>
      <c r="G35" s="753" t="s">
        <v>1095</v>
      </c>
      <c r="H35" s="753" t="s">
        <v>1096</v>
      </c>
      <c r="I35" s="753" t="s">
        <v>1097</v>
      </c>
      <c r="J35" s="753" t="s">
        <v>1098</v>
      </c>
      <c r="K35" s="753" t="s">
        <v>1099</v>
      </c>
      <c r="L35" s="753" t="s">
        <v>1100</v>
      </c>
      <c r="M35" s="753" t="s">
        <v>1101</v>
      </c>
      <c r="N35" s="634"/>
      <c r="O35" s="634"/>
      <c r="P35" s="634"/>
      <c r="Q35" s="634"/>
      <c r="R35" s="634"/>
      <c r="S35" s="634"/>
      <c r="T35" s="634"/>
      <c r="U35" s="634"/>
      <c r="V35" s="634"/>
      <c r="W35" s="632"/>
      <c r="X35" s="636"/>
      <c r="Y35" s="636"/>
      <c r="Z35" s="636"/>
      <c r="AA35" s="636"/>
      <c r="AB35" s="636"/>
      <c r="AC35" s="636"/>
      <c r="AD35" s="632"/>
      <c r="AE35" s="636"/>
      <c r="AF35" s="636"/>
      <c r="AG35" s="636"/>
    </row>
    <row r="36" spans="1:37" s="631" customFormat="1" ht="12.75">
      <c r="A36" s="1716" t="s">
        <v>1102</v>
      </c>
      <c r="B36" s="754" t="s">
        <v>1103</v>
      </c>
      <c r="C36" s="755" t="s">
        <v>1052</v>
      </c>
      <c r="D36" s="756">
        <v>3200</v>
      </c>
      <c r="E36" s="756">
        <v>2400</v>
      </c>
      <c r="F36" s="756">
        <v>2000</v>
      </c>
      <c r="G36" s="756">
        <v>1500</v>
      </c>
      <c r="H36" s="756">
        <v>1000</v>
      </c>
      <c r="I36" s="756">
        <v>500</v>
      </c>
      <c r="J36" s="756">
        <v>400</v>
      </c>
      <c r="K36" s="756">
        <v>70</v>
      </c>
      <c r="L36" s="756">
        <v>50</v>
      </c>
      <c r="M36" s="780">
        <v>40</v>
      </c>
      <c r="N36" s="634"/>
      <c r="O36" s="634"/>
      <c r="P36" s="634"/>
      <c r="Q36" s="634"/>
      <c r="R36" s="634"/>
      <c r="S36" s="634"/>
      <c r="T36" s="634"/>
      <c r="U36" s="634"/>
      <c r="V36" s="634"/>
      <c r="W36" s="632"/>
      <c r="X36" s="636"/>
      <c r="Y36" s="636"/>
      <c r="Z36" s="636"/>
      <c r="AA36" s="636"/>
      <c r="AB36" s="636"/>
      <c r="AC36" s="636"/>
      <c r="AD36" s="632"/>
      <c r="AE36" s="636"/>
      <c r="AF36" s="636"/>
      <c r="AG36" s="636"/>
    </row>
    <row r="37" spans="1:37" s="631" customFormat="1" ht="12.75">
      <c r="A37" s="1717"/>
      <c r="B37" s="757" t="s">
        <v>1104</v>
      </c>
      <c r="C37" s="758" t="s">
        <v>1052</v>
      </c>
      <c r="D37" s="759">
        <v>3000</v>
      </c>
      <c r="E37" s="759">
        <v>2200</v>
      </c>
      <c r="F37" s="759">
        <v>1800</v>
      </c>
      <c r="G37" s="759">
        <v>1400</v>
      </c>
      <c r="H37" s="759">
        <v>1000</v>
      </c>
      <c r="I37" s="759">
        <v>500</v>
      </c>
      <c r="J37" s="759">
        <v>300</v>
      </c>
      <c r="K37" s="759">
        <v>70</v>
      </c>
      <c r="L37" s="759">
        <v>40</v>
      </c>
      <c r="M37" s="781">
        <v>30</v>
      </c>
      <c r="N37" s="634"/>
      <c r="O37" s="634"/>
      <c r="P37" s="634"/>
      <c r="Q37" s="634"/>
      <c r="R37" s="634"/>
      <c r="S37" s="634"/>
      <c r="T37" s="634"/>
      <c r="U37" s="634"/>
      <c r="V37" s="634"/>
      <c r="W37" s="632"/>
      <c r="X37" s="636"/>
      <c r="Y37" s="636"/>
      <c r="Z37" s="636"/>
      <c r="AA37" s="636"/>
      <c r="AB37" s="636"/>
      <c r="AC37" s="636"/>
      <c r="AD37" s="632"/>
      <c r="AE37" s="636"/>
      <c r="AF37" s="636"/>
      <c r="AG37" s="636"/>
    </row>
    <row r="38" spans="1:37" s="631" customFormat="1" ht="12.75">
      <c r="A38" s="1717"/>
      <c r="B38" s="757" t="s">
        <v>1105</v>
      </c>
      <c r="C38" s="758" t="s">
        <v>1052</v>
      </c>
      <c r="D38" s="759">
        <v>2000</v>
      </c>
      <c r="E38" s="759">
        <v>1500</v>
      </c>
      <c r="F38" s="759">
        <v>1000</v>
      </c>
      <c r="G38" s="759">
        <v>800</v>
      </c>
      <c r="H38" s="759">
        <v>600</v>
      </c>
      <c r="I38" s="759">
        <v>400</v>
      </c>
      <c r="J38" s="759">
        <v>150</v>
      </c>
      <c r="K38" s="759">
        <v>50</v>
      </c>
      <c r="L38" s="759">
        <v>30</v>
      </c>
      <c r="M38" s="781">
        <v>20</v>
      </c>
      <c r="N38" s="634"/>
      <c r="O38" s="634"/>
      <c r="P38" s="634"/>
      <c r="Q38" s="634"/>
      <c r="R38" s="634"/>
      <c r="S38" s="634"/>
      <c r="T38" s="634"/>
      <c r="U38" s="634"/>
      <c r="V38" s="634"/>
      <c r="W38" s="632"/>
      <c r="X38" s="636"/>
      <c r="Y38" s="636"/>
      <c r="Z38" s="636"/>
      <c r="AA38" s="636"/>
      <c r="AB38" s="636"/>
      <c r="AC38" s="636"/>
      <c r="AD38" s="632"/>
      <c r="AE38" s="636"/>
      <c r="AF38" s="636"/>
      <c r="AG38" s="636"/>
    </row>
    <row r="39" spans="1:37" s="631" customFormat="1" ht="12.75">
      <c r="A39" s="1717"/>
      <c r="B39" s="760" t="s">
        <v>1106</v>
      </c>
      <c r="C39" s="761" t="s">
        <v>1052</v>
      </c>
      <c r="D39" s="762">
        <v>320</v>
      </c>
      <c r="E39" s="762">
        <v>240</v>
      </c>
      <c r="F39" s="762">
        <v>180</v>
      </c>
      <c r="G39" s="762">
        <v>140</v>
      </c>
      <c r="H39" s="762">
        <v>100</v>
      </c>
      <c r="I39" s="762">
        <v>70</v>
      </c>
      <c r="J39" s="762">
        <v>30</v>
      </c>
      <c r="K39" s="762">
        <v>25</v>
      </c>
      <c r="L39" s="762">
        <v>20</v>
      </c>
      <c r="M39" s="782">
        <v>15</v>
      </c>
      <c r="N39" s="634"/>
      <c r="O39" s="634"/>
      <c r="P39" s="634"/>
      <c r="Q39" s="634"/>
      <c r="R39" s="634"/>
      <c r="S39" s="634"/>
      <c r="T39" s="634"/>
      <c r="U39" s="634"/>
      <c r="V39" s="634"/>
      <c r="W39" s="632"/>
      <c r="X39" s="636"/>
      <c r="Y39" s="636"/>
      <c r="Z39" s="636"/>
      <c r="AA39" s="636"/>
      <c r="AB39" s="636"/>
      <c r="AC39" s="636"/>
      <c r="AD39" s="632"/>
      <c r="AE39" s="636"/>
      <c r="AF39" s="636"/>
      <c r="AG39" s="636"/>
    </row>
    <row r="40" spans="1:37" s="631" customFormat="1" ht="12.75">
      <c r="A40" s="1717"/>
      <c r="B40" s="754" t="s">
        <v>1103</v>
      </c>
      <c r="C40" s="755" t="s">
        <v>1053</v>
      </c>
      <c r="D40" s="759">
        <v>5400</v>
      </c>
      <c r="E40" s="759">
        <v>3200</v>
      </c>
      <c r="F40" s="759">
        <v>2400</v>
      </c>
      <c r="G40" s="759">
        <v>2000</v>
      </c>
      <c r="H40" s="759">
        <v>1500</v>
      </c>
      <c r="I40" s="759">
        <v>1000</v>
      </c>
      <c r="J40" s="759">
        <v>500</v>
      </c>
      <c r="K40" s="759">
        <v>400</v>
      </c>
      <c r="L40" s="759">
        <v>70</v>
      </c>
      <c r="M40" s="781">
        <v>50</v>
      </c>
      <c r="N40" s="634"/>
      <c r="O40" s="634"/>
      <c r="P40" s="634"/>
      <c r="Q40" s="634"/>
      <c r="R40" s="634"/>
      <c r="S40" s="634"/>
      <c r="T40" s="634"/>
      <c r="U40" s="634"/>
      <c r="V40" s="634"/>
      <c r="W40" s="632"/>
      <c r="X40" s="636"/>
      <c r="Y40" s="636"/>
      <c r="Z40" s="636"/>
      <c r="AA40" s="636"/>
      <c r="AB40" s="636"/>
      <c r="AC40" s="636"/>
      <c r="AD40" s="632"/>
      <c r="AE40" s="636"/>
      <c r="AF40" s="636"/>
      <c r="AG40" s="636"/>
    </row>
    <row r="41" spans="1:37" s="631" customFormat="1" ht="12.75">
      <c r="A41" s="1717"/>
      <c r="B41" s="757" t="s">
        <v>1104</v>
      </c>
      <c r="C41" s="758" t="s">
        <v>1053</v>
      </c>
      <c r="D41" s="759">
        <v>4600</v>
      </c>
      <c r="E41" s="759">
        <v>3000</v>
      </c>
      <c r="F41" s="759">
        <v>2200</v>
      </c>
      <c r="G41" s="759">
        <v>1800</v>
      </c>
      <c r="H41" s="759">
        <v>1400</v>
      </c>
      <c r="I41" s="759">
        <v>1000</v>
      </c>
      <c r="J41" s="759">
        <v>500</v>
      </c>
      <c r="K41" s="759">
        <v>300</v>
      </c>
      <c r="L41" s="759">
        <v>70</v>
      </c>
      <c r="M41" s="759">
        <v>40</v>
      </c>
      <c r="N41" s="634"/>
      <c r="O41" s="634"/>
      <c r="P41" s="634"/>
      <c r="Q41" s="634"/>
      <c r="R41" s="634"/>
      <c r="S41" s="634"/>
      <c r="T41" s="634"/>
      <c r="U41" s="634"/>
      <c r="V41" s="634"/>
      <c r="W41" s="632"/>
      <c r="X41" s="636"/>
      <c r="Y41" s="636"/>
      <c r="Z41" s="636"/>
      <c r="AA41" s="636"/>
      <c r="AB41" s="636"/>
      <c r="AC41" s="636"/>
      <c r="AD41" s="632"/>
      <c r="AE41" s="636"/>
      <c r="AF41" s="636"/>
      <c r="AG41" s="636"/>
    </row>
    <row r="42" spans="1:37" s="631" customFormat="1" ht="12.75">
      <c r="A42" s="1717"/>
      <c r="B42" s="757" t="s">
        <v>1105</v>
      </c>
      <c r="C42" s="758" t="s">
        <v>1053</v>
      </c>
      <c r="D42" s="759">
        <v>2700</v>
      </c>
      <c r="E42" s="759">
        <v>2000</v>
      </c>
      <c r="F42" s="759">
        <v>1500</v>
      </c>
      <c r="G42" s="759">
        <v>1000</v>
      </c>
      <c r="H42" s="759">
        <v>800</v>
      </c>
      <c r="I42" s="759">
        <v>600</v>
      </c>
      <c r="J42" s="759">
        <v>400</v>
      </c>
      <c r="K42" s="759">
        <v>150</v>
      </c>
      <c r="L42" s="759">
        <v>50</v>
      </c>
      <c r="M42" s="759">
        <v>30</v>
      </c>
      <c r="N42" s="634"/>
      <c r="O42" s="634"/>
      <c r="P42" s="634"/>
      <c r="Q42" s="634"/>
      <c r="R42" s="634"/>
      <c r="S42" s="634"/>
      <c r="T42" s="634"/>
      <c r="U42" s="634"/>
      <c r="V42" s="634"/>
      <c r="W42" s="632"/>
      <c r="X42" s="636"/>
      <c r="Y42" s="636"/>
      <c r="Z42" s="636"/>
      <c r="AA42" s="636"/>
      <c r="AB42" s="636"/>
      <c r="AC42" s="636"/>
      <c r="AD42" s="632"/>
      <c r="AE42" s="636"/>
      <c r="AF42" s="636"/>
      <c r="AG42" s="636"/>
    </row>
    <row r="43" spans="1:37" s="631" customFormat="1" ht="12.75">
      <c r="A43" s="1717"/>
      <c r="B43" s="760" t="s">
        <v>1106</v>
      </c>
      <c r="C43" s="761" t="s">
        <v>1053</v>
      </c>
      <c r="D43" s="759">
        <v>540</v>
      </c>
      <c r="E43" s="759">
        <v>320</v>
      </c>
      <c r="F43" s="759">
        <v>240</v>
      </c>
      <c r="G43" s="759">
        <v>180</v>
      </c>
      <c r="H43" s="759">
        <v>140</v>
      </c>
      <c r="I43" s="759">
        <v>100</v>
      </c>
      <c r="J43" s="759">
        <v>70</v>
      </c>
      <c r="K43" s="759">
        <v>30</v>
      </c>
      <c r="L43" s="759">
        <v>25</v>
      </c>
      <c r="M43" s="781">
        <v>20</v>
      </c>
      <c r="N43" s="634"/>
      <c r="O43" s="634"/>
      <c r="P43" s="634"/>
      <c r="Q43" s="634"/>
      <c r="R43" s="634"/>
      <c r="S43" s="634"/>
      <c r="T43" s="634"/>
      <c r="U43" s="634"/>
      <c r="V43" s="634"/>
      <c r="W43" s="632"/>
      <c r="X43" s="636"/>
      <c r="Y43" s="636"/>
      <c r="Z43" s="636"/>
      <c r="AA43" s="636"/>
      <c r="AB43" s="636"/>
      <c r="AC43" s="636"/>
      <c r="AD43" s="632"/>
      <c r="AE43" s="636"/>
      <c r="AF43" s="636"/>
      <c r="AG43" s="636"/>
    </row>
    <row r="44" spans="1:37" s="631" customFormat="1" ht="12.75">
      <c r="A44" s="1718" t="s">
        <v>1079</v>
      </c>
      <c r="B44" s="763" t="s">
        <v>1080</v>
      </c>
      <c r="C44" s="755" t="s">
        <v>1052</v>
      </c>
      <c r="D44" s="756">
        <v>460</v>
      </c>
      <c r="E44" s="756">
        <v>460</v>
      </c>
      <c r="F44" s="756">
        <v>460</v>
      </c>
      <c r="G44" s="756">
        <v>460</v>
      </c>
      <c r="H44" s="756">
        <v>460</v>
      </c>
      <c r="I44" s="756">
        <v>460</v>
      </c>
      <c r="J44" s="756">
        <v>460</v>
      </c>
      <c r="K44" s="756">
        <v>460</v>
      </c>
      <c r="L44" s="756">
        <v>460</v>
      </c>
      <c r="M44" s="780">
        <v>460</v>
      </c>
      <c r="N44" s="634"/>
      <c r="O44" s="634"/>
      <c r="P44" s="634"/>
      <c r="Q44" s="634"/>
      <c r="R44" s="634"/>
      <c r="S44" s="634"/>
      <c r="T44" s="634"/>
      <c r="U44" s="634"/>
      <c r="V44" s="634"/>
      <c r="W44" s="632"/>
      <c r="X44" s="636"/>
      <c r="Y44" s="636"/>
      <c r="Z44" s="636"/>
      <c r="AA44" s="636"/>
      <c r="AB44" s="636"/>
      <c r="AC44" s="636"/>
      <c r="AD44" s="632"/>
      <c r="AE44" s="636"/>
      <c r="AF44" s="636"/>
      <c r="AG44" s="636"/>
    </row>
    <row r="45" spans="1:37" s="631" customFormat="1" ht="12.75">
      <c r="A45" s="1719"/>
      <c r="B45" s="764" t="s">
        <v>1081</v>
      </c>
      <c r="C45" s="758" t="s">
        <v>1052</v>
      </c>
      <c r="D45" s="759">
        <v>150</v>
      </c>
      <c r="E45" s="759">
        <v>150</v>
      </c>
      <c r="F45" s="759">
        <v>150</v>
      </c>
      <c r="G45" s="759">
        <v>150</v>
      </c>
      <c r="H45" s="759">
        <v>150</v>
      </c>
      <c r="I45" s="759">
        <v>150</v>
      </c>
      <c r="J45" s="759">
        <v>150</v>
      </c>
      <c r="K45" s="759">
        <v>150</v>
      </c>
      <c r="L45" s="759">
        <v>150</v>
      </c>
      <c r="M45" s="781">
        <v>150</v>
      </c>
      <c r="N45" s="634"/>
      <c r="O45" s="634"/>
      <c r="P45" s="634"/>
      <c r="Q45" s="634"/>
      <c r="R45" s="634"/>
      <c r="S45" s="634"/>
      <c r="T45" s="634"/>
      <c r="U45" s="634"/>
      <c r="V45" s="634"/>
      <c r="W45" s="632"/>
      <c r="X45" s="636"/>
      <c r="Y45" s="636"/>
      <c r="Z45" s="636"/>
      <c r="AA45" s="636"/>
      <c r="AB45" s="636"/>
      <c r="AC45" s="636"/>
      <c r="AD45" s="632"/>
      <c r="AE45" s="636"/>
      <c r="AF45" s="636"/>
      <c r="AG45" s="636"/>
    </row>
    <row r="46" spans="1:37" s="631" customFormat="1" ht="12.75">
      <c r="A46" s="1719"/>
      <c r="B46" s="765" t="s">
        <v>1084</v>
      </c>
      <c r="C46" s="761" t="s">
        <v>1052</v>
      </c>
      <c r="D46" s="762">
        <v>5900</v>
      </c>
      <c r="E46" s="762">
        <v>5900</v>
      </c>
      <c r="F46" s="762">
        <v>5900</v>
      </c>
      <c r="G46" s="762">
        <v>5900</v>
      </c>
      <c r="H46" s="762">
        <v>5900</v>
      </c>
      <c r="I46" s="762">
        <v>5900</v>
      </c>
      <c r="J46" s="762">
        <v>5900</v>
      </c>
      <c r="K46" s="762"/>
      <c r="L46" s="762"/>
      <c r="M46" s="782"/>
      <c r="N46" s="634"/>
      <c r="O46" s="634"/>
      <c r="P46" s="634"/>
      <c r="Q46" s="634"/>
      <c r="R46" s="634"/>
      <c r="S46" s="634"/>
      <c r="T46" s="634"/>
      <c r="U46" s="634"/>
      <c r="V46" s="634"/>
      <c r="W46" s="632"/>
      <c r="X46" s="636"/>
      <c r="Y46" s="636"/>
      <c r="Z46" s="636"/>
      <c r="AA46" s="636"/>
      <c r="AB46" s="636"/>
      <c r="AC46" s="636"/>
      <c r="AD46" s="632"/>
      <c r="AE46" s="636"/>
      <c r="AF46" s="636"/>
      <c r="AG46" s="636"/>
    </row>
    <row r="47" spans="1:37" s="631" customFormat="1" ht="12.75">
      <c r="A47" s="1719"/>
      <c r="B47" s="763" t="s">
        <v>1080</v>
      </c>
      <c r="C47" s="755" t="s">
        <v>1053</v>
      </c>
      <c r="D47" s="756">
        <v>800</v>
      </c>
      <c r="E47" s="756">
        <v>800</v>
      </c>
      <c r="F47" s="756">
        <v>800</v>
      </c>
      <c r="G47" s="756">
        <v>800</v>
      </c>
      <c r="H47" s="756">
        <v>800</v>
      </c>
      <c r="I47" s="756">
        <v>800</v>
      </c>
      <c r="J47" s="756">
        <v>800</v>
      </c>
      <c r="K47" s="756">
        <v>800</v>
      </c>
      <c r="L47" s="756">
        <v>800</v>
      </c>
      <c r="M47" s="780">
        <v>800</v>
      </c>
      <c r="N47" s="634"/>
      <c r="O47" s="634"/>
      <c r="P47" s="634"/>
      <c r="Q47" s="634"/>
      <c r="R47" s="634"/>
      <c r="S47" s="634"/>
      <c r="T47" s="634"/>
      <c r="U47" s="634"/>
      <c r="V47" s="634"/>
      <c r="W47" s="632"/>
      <c r="X47" s="636"/>
      <c r="Y47" s="636"/>
      <c r="Z47" s="636"/>
      <c r="AA47" s="636"/>
      <c r="AB47" s="636"/>
      <c r="AC47" s="636"/>
      <c r="AD47" s="632"/>
      <c r="AE47" s="636"/>
      <c r="AF47" s="636"/>
      <c r="AG47" s="636"/>
    </row>
    <row r="48" spans="1:37" s="631" customFormat="1" ht="12.75">
      <c r="A48" s="1719"/>
      <c r="B48" s="764" t="s">
        <v>1081</v>
      </c>
      <c r="C48" s="758" t="s">
        <v>1053</v>
      </c>
      <c r="D48" s="759">
        <v>400</v>
      </c>
      <c r="E48" s="759">
        <v>400</v>
      </c>
      <c r="F48" s="759">
        <v>400</v>
      </c>
      <c r="G48" s="759">
        <v>400</v>
      </c>
      <c r="H48" s="759">
        <v>400</v>
      </c>
      <c r="I48" s="759">
        <v>400</v>
      </c>
      <c r="J48" s="759">
        <v>400</v>
      </c>
      <c r="K48" s="759">
        <v>400</v>
      </c>
      <c r="L48" s="759">
        <v>400</v>
      </c>
      <c r="M48" s="781">
        <v>400</v>
      </c>
      <c r="N48" s="634"/>
      <c r="O48" s="634"/>
      <c r="P48" s="634"/>
      <c r="Q48" s="634"/>
      <c r="R48" s="634"/>
      <c r="S48" s="634"/>
      <c r="T48" s="634"/>
      <c r="U48" s="634"/>
      <c r="V48" s="634"/>
      <c r="W48" s="632"/>
      <c r="X48" s="636"/>
      <c r="Y48" s="636"/>
      <c r="Z48" s="636"/>
      <c r="AA48" s="636"/>
      <c r="AB48" s="636"/>
      <c r="AC48" s="636"/>
      <c r="AD48" s="632"/>
      <c r="AE48" s="636"/>
      <c r="AF48" s="636"/>
      <c r="AG48" s="636"/>
    </row>
    <row r="49" spans="1:36" s="631" customFormat="1" ht="12.75">
      <c r="A49" s="1720"/>
      <c r="B49" s="765" t="s">
        <v>1084</v>
      </c>
      <c r="C49" s="761" t="s">
        <v>1053</v>
      </c>
      <c r="D49" s="762">
        <v>7800</v>
      </c>
      <c r="E49" s="762">
        <v>7800</v>
      </c>
      <c r="F49" s="762">
        <v>7800</v>
      </c>
      <c r="G49" s="762">
        <v>7800</v>
      </c>
      <c r="H49" s="762">
        <v>7800</v>
      </c>
      <c r="I49" s="762">
        <v>7800</v>
      </c>
      <c r="J49" s="762">
        <v>7800</v>
      </c>
      <c r="K49" s="762"/>
      <c r="L49" s="762"/>
      <c r="M49" s="782"/>
      <c r="N49" s="634"/>
      <c r="O49" s="634"/>
      <c r="P49" s="634"/>
      <c r="Q49" s="634"/>
      <c r="R49" s="634"/>
      <c r="S49" s="634"/>
      <c r="T49" s="634"/>
      <c r="U49" s="634"/>
      <c r="V49" s="634"/>
      <c r="W49" s="632"/>
      <c r="X49" s="636"/>
      <c r="Y49" s="636"/>
      <c r="Z49" s="636"/>
      <c r="AA49" s="636"/>
      <c r="AB49" s="636"/>
      <c r="AC49" s="636"/>
      <c r="AD49" s="632"/>
      <c r="AE49" s="636"/>
      <c r="AF49" s="636"/>
      <c r="AG49" s="636"/>
    </row>
    <row r="50" spans="1:36" s="631" customFormat="1" ht="12.75">
      <c r="A50" s="1719" t="s">
        <v>1083</v>
      </c>
      <c r="B50" s="763" t="s">
        <v>1087</v>
      </c>
      <c r="C50" s="755" t="s">
        <v>1052</v>
      </c>
      <c r="D50" s="756">
        <v>150</v>
      </c>
      <c r="E50" s="756">
        <v>150</v>
      </c>
      <c r="F50" s="756">
        <v>150</v>
      </c>
      <c r="G50" s="756">
        <v>150</v>
      </c>
      <c r="H50" s="756">
        <v>150</v>
      </c>
      <c r="I50" s="756">
        <v>150</v>
      </c>
      <c r="J50" s="756">
        <v>150</v>
      </c>
      <c r="K50" s="756"/>
      <c r="L50" s="756"/>
      <c r="M50" s="780"/>
      <c r="N50" s="634"/>
      <c r="O50" s="634"/>
      <c r="P50" s="634"/>
      <c r="Q50" s="634"/>
      <c r="R50" s="634"/>
      <c r="S50" s="634"/>
      <c r="T50" s="634"/>
      <c r="U50" s="634"/>
      <c r="V50" s="634"/>
      <c r="W50" s="632"/>
      <c r="X50" s="636"/>
      <c r="Y50" s="636"/>
      <c r="Z50" s="636"/>
      <c r="AA50" s="636"/>
      <c r="AB50" s="636"/>
      <c r="AC50" s="636"/>
      <c r="AD50" s="632"/>
      <c r="AE50" s="636"/>
      <c r="AF50" s="636"/>
      <c r="AG50" s="636"/>
    </row>
    <row r="51" spans="1:36" s="631" customFormat="1" ht="12.75">
      <c r="A51" s="1719"/>
      <c r="B51" s="765" t="s">
        <v>1107</v>
      </c>
      <c r="C51" s="761" t="s">
        <v>1052</v>
      </c>
      <c r="D51" s="762"/>
      <c r="E51" s="762"/>
      <c r="F51" s="762"/>
      <c r="G51" s="762"/>
      <c r="H51" s="762"/>
      <c r="I51" s="762">
        <v>75</v>
      </c>
      <c r="J51" s="762">
        <v>75</v>
      </c>
      <c r="K51" s="762">
        <v>75</v>
      </c>
      <c r="L51" s="762">
        <v>75</v>
      </c>
      <c r="M51" s="782">
        <v>75</v>
      </c>
      <c r="N51" s="634"/>
      <c r="O51" s="634"/>
      <c r="P51" s="634"/>
      <c r="Q51" s="634"/>
      <c r="R51" s="634"/>
      <c r="S51" s="634"/>
      <c r="T51" s="634"/>
      <c r="U51" s="634"/>
      <c r="V51" s="634"/>
      <c r="W51" s="632"/>
      <c r="X51" s="636"/>
      <c r="Y51" s="636"/>
      <c r="Z51" s="636"/>
      <c r="AA51" s="636"/>
      <c r="AB51" s="636"/>
      <c r="AC51" s="636"/>
      <c r="AD51" s="632"/>
      <c r="AE51" s="636"/>
      <c r="AF51" s="636"/>
      <c r="AG51" s="636"/>
    </row>
    <row r="52" spans="1:36" s="631" customFormat="1" ht="12.75">
      <c r="A52" s="1719"/>
      <c r="B52" s="763" t="s">
        <v>1087</v>
      </c>
      <c r="C52" s="755" t="s">
        <v>1053</v>
      </c>
      <c r="D52" s="756">
        <v>450</v>
      </c>
      <c r="E52" s="756">
        <v>450</v>
      </c>
      <c r="F52" s="756">
        <v>450</v>
      </c>
      <c r="G52" s="756">
        <v>450</v>
      </c>
      <c r="H52" s="756">
        <v>450</v>
      </c>
      <c r="I52" s="756">
        <v>450</v>
      </c>
      <c r="J52" s="756">
        <v>450</v>
      </c>
      <c r="K52" s="756"/>
      <c r="L52" s="756"/>
      <c r="M52" s="780"/>
      <c r="N52" s="634"/>
      <c r="O52" s="634"/>
      <c r="P52" s="634"/>
      <c r="Q52" s="634"/>
      <c r="R52" s="634"/>
      <c r="S52" s="634"/>
      <c r="T52" s="634"/>
      <c r="U52" s="634"/>
      <c r="V52" s="634"/>
      <c r="W52" s="632"/>
      <c r="X52" s="636"/>
      <c r="Y52" s="636"/>
      <c r="Z52" s="636"/>
      <c r="AA52" s="636"/>
      <c r="AB52" s="636"/>
      <c r="AC52" s="636"/>
      <c r="AD52" s="632"/>
      <c r="AE52" s="636"/>
      <c r="AF52" s="636"/>
      <c r="AG52" s="636"/>
    </row>
    <row r="53" spans="1:36" s="631" customFormat="1" ht="12.75">
      <c r="A53" s="1720"/>
      <c r="B53" s="765" t="s">
        <v>1107</v>
      </c>
      <c r="C53" s="761" t="s">
        <v>1053</v>
      </c>
      <c r="D53" s="762"/>
      <c r="E53" s="762"/>
      <c r="F53" s="762"/>
      <c r="G53" s="762"/>
      <c r="H53" s="762"/>
      <c r="I53" s="762">
        <v>180</v>
      </c>
      <c r="J53" s="762">
        <v>180</v>
      </c>
      <c r="K53" s="762">
        <v>180</v>
      </c>
      <c r="L53" s="762">
        <v>180</v>
      </c>
      <c r="M53" s="782">
        <v>180</v>
      </c>
      <c r="N53" s="634"/>
      <c r="O53" s="634"/>
      <c r="P53" s="634"/>
      <c r="Q53" s="634"/>
      <c r="R53" s="634"/>
      <c r="S53" s="634"/>
      <c r="T53" s="634"/>
      <c r="U53" s="634"/>
      <c r="V53" s="634"/>
      <c r="W53" s="632"/>
      <c r="X53" s="636"/>
      <c r="Y53" s="636"/>
      <c r="Z53" s="636"/>
      <c r="AA53" s="636"/>
      <c r="AB53" s="636"/>
      <c r="AC53" s="636"/>
      <c r="AD53" s="632"/>
      <c r="AE53" s="636"/>
      <c r="AF53" s="636"/>
      <c r="AG53" s="636"/>
    </row>
    <row r="54" spans="1:36" s="631" customFormat="1" ht="12.75">
      <c r="A54" s="632"/>
      <c r="B54" s="766"/>
      <c r="C54" s="766"/>
      <c r="D54" s="766"/>
      <c r="E54" s="766"/>
      <c r="F54" s="766"/>
      <c r="G54" s="766"/>
      <c r="H54" s="766"/>
      <c r="I54" s="766"/>
      <c r="J54" s="766"/>
      <c r="K54" s="635"/>
      <c r="L54" s="634"/>
      <c r="M54" s="634"/>
      <c r="N54" s="634"/>
      <c r="O54" s="634"/>
      <c r="P54" s="634"/>
      <c r="Q54" s="634"/>
      <c r="R54" s="634"/>
      <c r="S54" s="634"/>
      <c r="T54" s="634"/>
      <c r="U54" s="634"/>
      <c r="V54" s="634"/>
      <c r="W54" s="632"/>
      <c r="X54" s="636"/>
      <c r="Y54" s="636"/>
      <c r="Z54" s="636"/>
      <c r="AA54" s="636"/>
      <c r="AB54" s="636"/>
      <c r="AC54" s="636"/>
      <c r="AD54" s="632"/>
      <c r="AE54" s="636"/>
      <c r="AF54" s="636"/>
      <c r="AG54" s="636"/>
    </row>
    <row r="55" spans="1:36" s="631" customFormat="1" ht="12.75">
      <c r="A55" s="767" t="s">
        <v>254</v>
      </c>
      <c r="B55" s="17">
        <v>1</v>
      </c>
      <c r="C55" s="17">
        <v>2</v>
      </c>
      <c r="D55" s="17">
        <v>3</v>
      </c>
      <c r="E55" s="17">
        <v>4</v>
      </c>
      <c r="F55" s="17">
        <v>5</v>
      </c>
      <c r="G55" s="17">
        <v>6</v>
      </c>
      <c r="H55" s="17">
        <v>7</v>
      </c>
      <c r="I55" s="17">
        <v>8</v>
      </c>
      <c r="J55" s="783">
        <v>9</v>
      </c>
      <c r="K55" s="17">
        <v>10</v>
      </c>
      <c r="L55" s="634"/>
      <c r="M55" s="634"/>
      <c r="N55" s="634"/>
      <c r="O55" s="634"/>
      <c r="P55" s="634"/>
      <c r="Q55" s="634"/>
      <c r="R55" s="634"/>
      <c r="S55" s="634"/>
      <c r="T55" s="634"/>
      <c r="U55" s="634"/>
      <c r="V55" s="634"/>
      <c r="W55" s="634"/>
      <c r="X55" s="634"/>
      <c r="Y55" s="634"/>
      <c r="Z55" s="632"/>
      <c r="AA55" s="636"/>
      <c r="AB55" s="636"/>
      <c r="AC55" s="636"/>
      <c r="AD55" s="636"/>
      <c r="AE55" s="636"/>
      <c r="AF55" s="636"/>
      <c r="AG55" s="636"/>
    </row>
    <row r="56" spans="1:36" s="631" customFormat="1" ht="12.75">
      <c r="A56" s="17" t="s">
        <v>1108</v>
      </c>
      <c r="B56" s="17">
        <v>1</v>
      </c>
      <c r="C56" s="17">
        <v>1.91</v>
      </c>
      <c r="D56" s="17">
        <v>2.74</v>
      </c>
      <c r="E56" s="17">
        <v>3.5</v>
      </c>
      <c r="F56" s="17">
        <v>4.2</v>
      </c>
      <c r="G56" s="17">
        <v>4.9000000000000004</v>
      </c>
      <c r="H56" s="17">
        <v>5.6</v>
      </c>
      <c r="I56" s="17">
        <v>6.3</v>
      </c>
      <c r="J56" s="17">
        <v>7</v>
      </c>
      <c r="K56" s="783">
        <v>7.7</v>
      </c>
      <c r="L56" s="634"/>
      <c r="M56" s="634"/>
      <c r="N56" s="634"/>
      <c r="O56" s="634"/>
      <c r="P56" s="634"/>
      <c r="Q56" s="634"/>
      <c r="R56" s="634"/>
      <c r="S56" s="634"/>
      <c r="T56" s="634"/>
      <c r="U56" s="634"/>
      <c r="V56" s="634"/>
      <c r="W56" s="634"/>
      <c r="X56" s="634"/>
      <c r="Y56" s="634"/>
      <c r="Z56" s="632"/>
      <c r="AA56" s="636"/>
      <c r="AB56" s="636"/>
      <c r="AC56" s="636"/>
      <c r="AD56" s="636"/>
      <c r="AE56" s="636"/>
      <c r="AF56" s="636"/>
      <c r="AG56" s="636"/>
    </row>
    <row r="57" spans="1:36">
      <c r="K57" s="634"/>
      <c r="AE57" s="632"/>
      <c r="AF57" s="632"/>
      <c r="AH57" s="634"/>
      <c r="AI57" s="634"/>
      <c r="AJ57" s="634"/>
    </row>
    <row r="58" spans="1:36">
      <c r="K58" s="634"/>
      <c r="AE58" s="632"/>
      <c r="AF58" s="632"/>
      <c r="AH58" s="634"/>
      <c r="AI58" s="634"/>
      <c r="AJ58" s="634"/>
    </row>
  </sheetData>
  <sheetProtection password="CEE9" sheet="1" objects="1" scenarios="1" formatCells="0" formatColumns="0" formatRows="0"/>
  <mergeCells count="11">
    <mergeCell ref="D2:D5"/>
    <mergeCell ref="D6:D8"/>
    <mergeCell ref="D10:D11"/>
    <mergeCell ref="E2:E5"/>
    <mergeCell ref="E6:E8"/>
    <mergeCell ref="E10:E11"/>
    <mergeCell ref="A27:A28"/>
    <mergeCell ref="A29:A30"/>
    <mergeCell ref="A36:A43"/>
    <mergeCell ref="A44:A49"/>
    <mergeCell ref="A50:A53"/>
  </mergeCells>
  <phoneticPr fontId="142" type="noConversion"/>
  <dataValidations count="7">
    <dataValidation type="list" allowBlank="1" showInputMessage="1" showErrorMessage="1" sqref="B8" xr:uid="{00000000-0002-0000-0F00-000000000000}">
      <formula1>"城镇拆迁,郊区县征地"</formula1>
    </dataValidation>
    <dataValidation type="list" allowBlank="1" showInputMessage="1" showErrorMessage="1" sqref="C1" xr:uid="{00000000-0002-0000-0F00-000001000000}">
      <formula1>"求取前期开发成本,求取熟地价"</formula1>
    </dataValidation>
    <dataValidation type="list" allowBlank="1" showInputMessage="1" showErrorMessage="1" sqref="B6" xr:uid="{00000000-0002-0000-0F00-000002000000}">
      <formula1>"商业,公寓,住宅,工业"</formula1>
    </dataValidation>
    <dataValidation type="list" allowBlank="1" showInputMessage="1" showErrorMessage="1" sqref="F20" xr:uid="{00000000-0002-0000-0F00-000003000000}">
      <formula1>"近郊区县征地费,远郊区县征地费"</formula1>
    </dataValidation>
    <dataValidation type="list" allowBlank="1" showInputMessage="1" showErrorMessage="1" sqref="A11" xr:uid="{00000000-0002-0000-0F00-000004000000}">
      <formula1>"容积率,设定容积率"</formula1>
    </dataValidation>
    <dataValidation type="list" allowBlank="1" showInputMessage="1" showErrorMessage="1" sqref="F19" xr:uid="{00000000-0002-0000-0F00-000005000000}">
      <formula1>"居民住宅,企业事业单位,商业和特殊用房"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55" customWidth="1"/>
    <col min="2" max="2" width="15.75" style="255" customWidth="1"/>
    <col min="3" max="3" width="14.375" style="255" customWidth="1"/>
    <col min="4" max="4" width="12.25" style="255" customWidth="1"/>
    <col min="5" max="5" width="14.375" style="255" customWidth="1"/>
    <col min="6" max="6" width="12.25" style="255" customWidth="1"/>
    <col min="7" max="7" width="14.5" style="255" customWidth="1"/>
    <col min="8" max="8" width="12.25" style="255" customWidth="1"/>
    <col min="9" max="9" width="14.5" style="255" customWidth="1"/>
    <col min="10" max="10" width="12.25" style="255" customWidth="1"/>
    <col min="11" max="11" width="12.25" style="256" customWidth="1"/>
    <col min="12" max="12" width="12.25" style="257" customWidth="1"/>
    <col min="13" max="15" width="12.25" style="255" customWidth="1"/>
    <col min="16" max="16" width="4.75" style="255" customWidth="1"/>
    <col min="17" max="17" width="19.5" style="255" customWidth="1"/>
    <col min="18" max="22" width="6.125" style="255" customWidth="1"/>
    <col min="23" max="23" width="5.75" style="255" customWidth="1"/>
    <col min="24" max="24" width="4.25" style="255" customWidth="1"/>
    <col min="25" max="25" width="3.5" style="255" customWidth="1"/>
    <col min="26" max="26" width="19.75" style="255" customWidth="1"/>
    <col min="27" max="28" width="9.375" style="255" customWidth="1"/>
    <col min="29" max="16384" width="9" style="255"/>
  </cols>
  <sheetData>
    <row r="1" spans="1:29" s="246" customFormat="1" ht="28.5" customHeight="1">
      <c r="A1" s="258" t="s">
        <v>1109</v>
      </c>
      <c r="B1" s="259"/>
      <c r="C1" s="260" t="s">
        <v>1110</v>
      </c>
      <c r="D1" s="261"/>
      <c r="E1" s="261"/>
      <c r="F1" s="262" t="s">
        <v>1111</v>
      </c>
      <c r="G1" s="261"/>
      <c r="H1" s="261"/>
      <c r="I1" s="261"/>
      <c r="J1" s="261"/>
      <c r="K1" s="432"/>
      <c r="L1" s="433"/>
      <c r="M1" s="434"/>
      <c r="N1" s="434"/>
      <c r="O1" s="434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507"/>
    </row>
    <row r="2" spans="1:29" s="246" customFormat="1" ht="28.5" hidden="1" customHeight="1">
      <c r="A2" s="263" t="s">
        <v>1112</v>
      </c>
      <c r="B2" s="264" t="e">
        <f>#REF!</f>
        <v>#REF!</v>
      </c>
      <c r="C2" s="265" t="s">
        <v>332</v>
      </c>
      <c r="D2" s="266"/>
      <c r="E2" s="267"/>
      <c r="F2" s="268"/>
      <c r="G2" s="267"/>
      <c r="H2" s="267"/>
      <c r="I2" s="267"/>
      <c r="J2" s="267"/>
      <c r="K2" s="435"/>
      <c r="L2" s="436"/>
      <c r="M2" s="437"/>
      <c r="N2" s="437"/>
      <c r="O2" s="437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507"/>
    </row>
    <row r="3" spans="1:29" s="246" customFormat="1" ht="28.5" customHeight="1">
      <c r="A3" s="269" t="s">
        <v>1113</v>
      </c>
      <c r="B3" s="270" t="e">
        <f>C48</f>
        <v>#DIV/0!</v>
      </c>
      <c r="C3" s="271" t="s">
        <v>1114</v>
      </c>
      <c r="D3" s="267"/>
      <c r="E3" s="267"/>
      <c r="F3" s="268"/>
      <c r="G3" s="267"/>
      <c r="H3" s="267"/>
      <c r="I3" s="267"/>
      <c r="J3" s="267"/>
      <c r="K3" s="435"/>
      <c r="L3" s="436"/>
      <c r="M3" s="437"/>
      <c r="N3" s="437"/>
      <c r="O3" s="437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508"/>
      <c r="AC3" s="507"/>
    </row>
    <row r="4" spans="1:29" ht="15">
      <c r="A4" s="272" t="s">
        <v>1115</v>
      </c>
      <c r="B4" s="273"/>
      <c r="C4" s="1729" t="s">
        <v>1116</v>
      </c>
      <c r="D4" s="1730"/>
      <c r="E4" s="1731" t="s">
        <v>1117</v>
      </c>
      <c r="F4" s="1732"/>
      <c r="G4" s="1729" t="s">
        <v>1118</v>
      </c>
      <c r="H4" s="1730"/>
      <c r="I4" s="1729" t="s">
        <v>1119</v>
      </c>
      <c r="J4" s="1730"/>
      <c r="K4" s="438" t="s">
        <v>1120</v>
      </c>
      <c r="L4" s="439"/>
      <c r="M4" s="396"/>
      <c r="N4" s="396"/>
      <c r="O4" s="396"/>
      <c r="P4" s="1764" t="s">
        <v>1121</v>
      </c>
      <c r="Q4" s="1765"/>
      <c r="R4" s="1758" t="s">
        <v>1117</v>
      </c>
      <c r="S4" s="1759"/>
      <c r="T4" s="1758" t="s">
        <v>1118</v>
      </c>
      <c r="U4" s="1759"/>
      <c r="V4" s="1745" t="s">
        <v>1119</v>
      </c>
      <c r="W4" s="1745"/>
      <c r="X4" s="496"/>
      <c r="Y4" s="1758" t="s">
        <v>1121</v>
      </c>
      <c r="Z4" s="1759"/>
      <c r="AA4" s="1755" t="s">
        <v>1117</v>
      </c>
      <c r="AB4" s="1756" t="s">
        <v>1118</v>
      </c>
      <c r="AC4" s="1755" t="s">
        <v>1119</v>
      </c>
    </row>
    <row r="5" spans="1:29" ht="15">
      <c r="A5" s="275"/>
      <c r="B5" s="276"/>
      <c r="C5" s="1733" t="s">
        <v>1122</v>
      </c>
      <c r="D5" s="1734"/>
      <c r="E5" s="1735" t="s">
        <v>1123</v>
      </c>
      <c r="F5" s="1736"/>
      <c r="G5" s="1733" t="s">
        <v>1124</v>
      </c>
      <c r="H5" s="1734"/>
      <c r="I5" s="1733" t="s">
        <v>1125</v>
      </c>
      <c r="J5" s="1734"/>
      <c r="K5" s="438"/>
      <c r="L5" s="439"/>
      <c r="M5" s="396"/>
      <c r="N5" s="396"/>
      <c r="O5" s="396"/>
      <c r="P5" s="1766"/>
      <c r="Q5" s="1767"/>
      <c r="R5" s="1760"/>
      <c r="S5" s="1761"/>
      <c r="T5" s="1760"/>
      <c r="U5" s="1761"/>
      <c r="V5" s="1745"/>
      <c r="W5" s="1745"/>
      <c r="X5" s="496"/>
      <c r="Y5" s="1760"/>
      <c r="Z5" s="1761"/>
      <c r="AA5" s="1756"/>
      <c r="AB5" s="1756"/>
      <c r="AC5" s="1756"/>
    </row>
    <row r="6" spans="1:29" ht="15">
      <c r="A6" s="278"/>
      <c r="B6" s="279"/>
      <c r="C6" s="1737" t="s">
        <v>1126</v>
      </c>
      <c r="D6" s="1738"/>
      <c r="E6" s="1739" t="s">
        <v>1126</v>
      </c>
      <c r="F6" s="1740"/>
      <c r="G6" s="1737" t="s">
        <v>1126</v>
      </c>
      <c r="H6" s="1738"/>
      <c r="I6" s="1737" t="s">
        <v>1126</v>
      </c>
      <c r="J6" s="1738"/>
      <c r="K6" s="438" t="s">
        <v>1127</v>
      </c>
      <c r="L6" s="439"/>
      <c r="M6" s="396"/>
      <c r="N6" s="396"/>
      <c r="O6" s="396"/>
      <c r="P6" s="1768"/>
      <c r="Q6" s="1769"/>
      <c r="R6" s="1760"/>
      <c r="S6" s="1761"/>
      <c r="T6" s="1762"/>
      <c r="U6" s="1763"/>
      <c r="V6" s="1745"/>
      <c r="W6" s="1745"/>
      <c r="X6" s="496"/>
      <c r="Y6" s="1762"/>
      <c r="Z6" s="1763"/>
      <c r="AA6" s="1757"/>
      <c r="AB6" s="1757"/>
      <c r="AC6" s="1757"/>
    </row>
    <row r="7" spans="1:29" s="247" customFormat="1" ht="15">
      <c r="A7" s="280" t="s">
        <v>1128</v>
      </c>
      <c r="B7" s="281"/>
      <c r="C7" s="282">
        <f>主表!B4</f>
        <v>37924</v>
      </c>
      <c r="D7" s="283">
        <v>100</v>
      </c>
      <c r="E7" s="284"/>
      <c r="F7" s="285">
        <f>IF(E7&lt;C7,100-K7*DATEDIF(E7,C7,"m"),100+K7*DATEDIF(C7,E7,"m"))</f>
        <v>100</v>
      </c>
      <c r="G7" s="286"/>
      <c r="H7" s="287">
        <f>IF(G7&lt;C7,100-K7*DATEDIF(G7,C7,"m"),100+K7*DATEDIF(C7,G7,"m"))</f>
        <v>100</v>
      </c>
      <c r="I7" s="286"/>
      <c r="J7" s="283">
        <f>IF(I7&lt;C7,100-K7*DATEDIF(I7,C7,"m"),100+K7*DATEDIF(C7,I7,"m"))</f>
        <v>100</v>
      </c>
      <c r="K7" s="440"/>
      <c r="L7" s="439"/>
      <c r="M7" s="441"/>
      <c r="N7" s="441"/>
      <c r="O7" s="441"/>
      <c r="P7" s="1741" t="s">
        <v>1129</v>
      </c>
      <c r="Q7" s="1742"/>
      <c r="R7" s="497" t="s">
        <v>1130</v>
      </c>
      <c r="S7" s="498">
        <f t="shared" ref="S7:S15" si="0">F7</f>
        <v>100</v>
      </c>
      <c r="T7" s="497" t="s">
        <v>1130</v>
      </c>
      <c r="U7" s="498">
        <f t="shared" ref="U7:U15" si="1">H7</f>
        <v>100</v>
      </c>
      <c r="V7" s="497" t="s">
        <v>1130</v>
      </c>
      <c r="W7" s="498">
        <f t="shared" ref="W7:W15" si="2">J7</f>
        <v>100</v>
      </c>
      <c r="X7" s="499"/>
      <c r="Y7" s="1741" t="s">
        <v>1129</v>
      </c>
      <c r="Z7" s="1743"/>
      <c r="AA7" s="509">
        <f>D7/F7</f>
        <v>1</v>
      </c>
      <c r="AB7" s="509">
        <f>D7/H7</f>
        <v>1</v>
      </c>
      <c r="AC7" s="509">
        <f>D7/J7</f>
        <v>1</v>
      </c>
    </row>
    <row r="8" spans="1:29" s="247" customFormat="1" ht="15">
      <c r="A8" s="280" t="s">
        <v>1131</v>
      </c>
      <c r="B8" s="281"/>
      <c r="C8" s="288" t="s">
        <v>1132</v>
      </c>
      <c r="D8" s="289">
        <v>100</v>
      </c>
      <c r="E8" s="290"/>
      <c r="F8" s="291">
        <f>SUMIF(61:61,E8,62:62)-SUMIF(61:61,C8,62:62)+100</f>
        <v>0</v>
      </c>
      <c r="G8" s="290"/>
      <c r="H8" s="283">
        <f>SUMIF(61:61,G8,62:62)-SUMIF(61:61,C8,62:62)+100</f>
        <v>0</v>
      </c>
      <c r="I8" s="290"/>
      <c r="J8" s="283">
        <f>SUMIF(61:61,I8,62:62)-SUMIF(61:61,C8,62:62)+100</f>
        <v>0</v>
      </c>
      <c r="K8" s="442"/>
      <c r="L8" s="439"/>
      <c r="M8" s="441"/>
      <c r="N8" s="441"/>
      <c r="O8" s="441"/>
      <c r="P8" s="1741" t="s">
        <v>1133</v>
      </c>
      <c r="Q8" s="1743"/>
      <c r="R8" s="497" t="s">
        <v>1130</v>
      </c>
      <c r="S8" s="498">
        <f t="shared" si="0"/>
        <v>0</v>
      </c>
      <c r="T8" s="497" t="s">
        <v>1130</v>
      </c>
      <c r="U8" s="498">
        <f t="shared" si="1"/>
        <v>0</v>
      </c>
      <c r="V8" s="497" t="s">
        <v>1130</v>
      </c>
      <c r="W8" s="498">
        <f t="shared" si="2"/>
        <v>0</v>
      </c>
      <c r="X8" s="499"/>
      <c r="Y8" s="1741" t="s">
        <v>1133</v>
      </c>
      <c r="Z8" s="1743"/>
      <c r="AA8" s="509" t="e">
        <f t="shared" ref="AA8:AA45" si="3">D8/F8</f>
        <v>#DIV/0!</v>
      </c>
      <c r="AB8" s="509" t="e">
        <f t="shared" ref="AB8:AB45" si="4">D8/H8</f>
        <v>#DIV/0!</v>
      </c>
      <c r="AC8" s="509" t="e">
        <f t="shared" ref="AC8:AC45" si="5">D8/J8</f>
        <v>#DIV/0!</v>
      </c>
    </row>
    <row r="9" spans="1:29" s="247" customFormat="1" ht="15">
      <c r="A9" s="292" t="s">
        <v>1134</v>
      </c>
      <c r="B9" s="293" t="s">
        <v>1135</v>
      </c>
      <c r="C9" s="294" t="str">
        <f>主表!B12</f>
        <v>住宅/居住</v>
      </c>
      <c r="D9" s="295">
        <v>100</v>
      </c>
      <c r="E9" s="296"/>
      <c r="F9" s="295">
        <f>SUMIF(63:63,E9,64:64)-SUMIF(63:63,C9,64:64)+100</f>
        <v>0</v>
      </c>
      <c r="G9" s="296"/>
      <c r="H9" s="295">
        <f>SUMIF(63:63,G9,64:64)-SUMIF(63:63,C9,64:64)+100</f>
        <v>0</v>
      </c>
      <c r="I9" s="296"/>
      <c r="J9" s="295">
        <f>SUMIF(63:63,I9,64:64)-SUMIF(63:63,C9,64:64)+100</f>
        <v>0</v>
      </c>
      <c r="K9" s="442"/>
      <c r="L9" s="443"/>
      <c r="M9" s="441"/>
      <c r="N9" s="441"/>
      <c r="O9" s="444"/>
      <c r="P9" s="1744" t="s">
        <v>1136</v>
      </c>
      <c r="Q9" s="500" t="str">
        <f t="shared" ref="Q9:Q15" si="6">B9</f>
        <v>用途</v>
      </c>
      <c r="R9" s="497" t="s">
        <v>1130</v>
      </c>
      <c r="S9" s="498">
        <f t="shared" si="0"/>
        <v>0</v>
      </c>
      <c r="T9" s="497" t="s">
        <v>1130</v>
      </c>
      <c r="U9" s="498">
        <f t="shared" si="1"/>
        <v>0</v>
      </c>
      <c r="V9" s="497" t="s">
        <v>1130</v>
      </c>
      <c r="W9" s="498">
        <f t="shared" si="2"/>
        <v>0</v>
      </c>
      <c r="X9" s="499"/>
      <c r="Y9" s="1750" t="s">
        <v>1137</v>
      </c>
      <c r="Z9" s="509" t="str">
        <f t="shared" ref="Z9:Z15" si="7">Q9</f>
        <v>用途</v>
      </c>
      <c r="AA9" s="509" t="e">
        <f t="shared" si="3"/>
        <v>#DIV/0!</v>
      </c>
      <c r="AB9" s="509" t="e">
        <f t="shared" si="4"/>
        <v>#DIV/0!</v>
      </c>
      <c r="AC9" s="509" t="e">
        <f t="shared" si="5"/>
        <v>#DIV/0!</v>
      </c>
    </row>
    <row r="10" spans="1:29" s="248" customFormat="1" ht="27" hidden="1">
      <c r="A10" s="297"/>
      <c r="B10" s="298" t="s">
        <v>1138</v>
      </c>
      <c r="C10" s="299">
        <v>0</v>
      </c>
      <c r="D10" s="300">
        <v>100</v>
      </c>
      <c r="E10" s="301"/>
      <c r="F10" s="300">
        <v>100</v>
      </c>
      <c r="G10" s="302"/>
      <c r="H10" s="300">
        <v>100</v>
      </c>
      <c r="I10" s="302"/>
      <c r="J10" s="300">
        <v>100</v>
      </c>
      <c r="K10" s="446"/>
      <c r="L10" s="447"/>
      <c r="M10" s="448"/>
      <c r="N10" s="448"/>
      <c r="O10" s="449"/>
      <c r="P10" s="1744"/>
      <c r="Q10" s="500" t="str">
        <f t="shared" si="6"/>
        <v>土地使用年限（年）</v>
      </c>
      <c r="R10" s="497" t="s">
        <v>1130</v>
      </c>
      <c r="S10" s="498">
        <f t="shared" si="0"/>
        <v>100</v>
      </c>
      <c r="T10" s="497" t="s">
        <v>1130</v>
      </c>
      <c r="U10" s="498">
        <f t="shared" si="1"/>
        <v>100</v>
      </c>
      <c r="V10" s="497" t="s">
        <v>1130</v>
      </c>
      <c r="W10" s="498">
        <f t="shared" si="2"/>
        <v>100</v>
      </c>
      <c r="X10" s="499"/>
      <c r="Y10" s="1750"/>
      <c r="Z10" s="509" t="str">
        <f t="shared" si="7"/>
        <v>土地使用年限（年）</v>
      </c>
      <c r="AA10" s="509">
        <f t="shared" si="3"/>
        <v>1</v>
      </c>
      <c r="AB10" s="509">
        <f t="shared" si="4"/>
        <v>1</v>
      </c>
      <c r="AC10" s="509">
        <f t="shared" si="5"/>
        <v>1</v>
      </c>
    </row>
    <row r="11" spans="1:29" ht="15">
      <c r="A11" s="303"/>
      <c r="B11" s="304" t="s">
        <v>254</v>
      </c>
      <c r="C11" s="305" t="e">
        <f>IF(B11="容积率",主表!B8,主表!B9)</f>
        <v>#DIV/0!</v>
      </c>
      <c r="D11" s="300">
        <v>100</v>
      </c>
      <c r="E11" s="306"/>
      <c r="F11" s="300" t="e">
        <f>LOOKUP(E11,68:68,69:69)-LOOKUP(C11,68:68,69:69)+100</f>
        <v>#N/A</v>
      </c>
      <c r="G11" s="307"/>
      <c r="H11" s="300" t="e">
        <f>LOOKUP(G11,68:68,69:69)-LOOKUP(C11,68:68,69:69)+100</f>
        <v>#N/A</v>
      </c>
      <c r="I11" s="306"/>
      <c r="J11" s="300" t="e">
        <f>LOOKUP(I11,68:68,69:69)-LOOKUP(C11,68:68,69:69)+100</f>
        <v>#N/A</v>
      </c>
      <c r="K11" s="440"/>
      <c r="L11" s="450"/>
      <c r="M11" s="396"/>
      <c r="N11" s="396"/>
      <c r="O11" s="451"/>
      <c r="P11" s="1744"/>
      <c r="Q11" s="500" t="str">
        <f t="shared" si="6"/>
        <v>容积率</v>
      </c>
      <c r="R11" s="497" t="s">
        <v>1130</v>
      </c>
      <c r="S11" s="498" t="e">
        <f t="shared" si="0"/>
        <v>#N/A</v>
      </c>
      <c r="T11" s="497" t="s">
        <v>1130</v>
      </c>
      <c r="U11" s="498" t="e">
        <f t="shared" si="1"/>
        <v>#N/A</v>
      </c>
      <c r="V11" s="497" t="s">
        <v>1130</v>
      </c>
      <c r="W11" s="498" t="e">
        <f t="shared" si="2"/>
        <v>#N/A</v>
      </c>
      <c r="X11" s="499"/>
      <c r="Y11" s="1750"/>
      <c r="Z11" s="509" t="str">
        <f t="shared" si="7"/>
        <v>容积率</v>
      </c>
      <c r="AA11" s="509" t="e">
        <f t="shared" si="3"/>
        <v>#N/A</v>
      </c>
      <c r="AB11" s="509" t="e">
        <f t="shared" si="4"/>
        <v>#N/A</v>
      </c>
      <c r="AC11" s="509" t="e">
        <f t="shared" si="5"/>
        <v>#N/A</v>
      </c>
    </row>
    <row r="12" spans="1:29" s="247" customFormat="1" ht="15">
      <c r="A12" s="308"/>
      <c r="B12" s="309" t="s">
        <v>25</v>
      </c>
      <c r="C12" s="310" t="str">
        <f>主表!B10</f>
        <v>五级</v>
      </c>
      <c r="D12" s="311">
        <v>100</v>
      </c>
      <c r="E12" s="312"/>
      <c r="F12" s="313">
        <f>SUMIF(70:70,E12,71:71)-SUMIF(70:70,C12,71:71)+100</f>
        <v>0</v>
      </c>
      <c r="G12" s="312"/>
      <c r="H12" s="313">
        <f>SUMIF(70:70,G12,71:71)-SUMIF(70:70,C12,71:71)+100</f>
        <v>0</v>
      </c>
      <c r="I12" s="312"/>
      <c r="J12" s="313">
        <f>SUMIF(70:70,I12,71:71)-SUMIF(70:70,C12,71:71)+100</f>
        <v>0</v>
      </c>
      <c r="K12" s="440"/>
      <c r="L12" s="443"/>
      <c r="M12" s="441"/>
      <c r="N12" s="441"/>
      <c r="O12" s="444"/>
      <c r="P12" s="1744"/>
      <c r="Q12" s="500" t="str">
        <f t="shared" si="6"/>
        <v>土地级别</v>
      </c>
      <c r="R12" s="497" t="s">
        <v>1130</v>
      </c>
      <c r="S12" s="498">
        <f t="shared" si="0"/>
        <v>0</v>
      </c>
      <c r="T12" s="497" t="s">
        <v>1130</v>
      </c>
      <c r="U12" s="498">
        <f t="shared" si="1"/>
        <v>0</v>
      </c>
      <c r="V12" s="497" t="s">
        <v>1130</v>
      </c>
      <c r="W12" s="498">
        <f t="shared" si="2"/>
        <v>0</v>
      </c>
      <c r="X12" s="499"/>
      <c r="Y12" s="1750"/>
      <c r="Z12" s="509" t="str">
        <f t="shared" si="7"/>
        <v>土地级别</v>
      </c>
      <c r="AA12" s="509" t="e">
        <f t="shared" si="3"/>
        <v>#DIV/0!</v>
      </c>
      <c r="AB12" s="509" t="e">
        <f t="shared" si="4"/>
        <v>#DIV/0!</v>
      </c>
      <c r="AC12" s="509" t="e">
        <f t="shared" si="5"/>
        <v>#DIV/0!</v>
      </c>
    </row>
    <row r="13" spans="1:29" ht="15" hidden="1">
      <c r="A13" s="303"/>
      <c r="B13" s="314">
        <v>111</v>
      </c>
      <c r="C13" s="315">
        <v>111</v>
      </c>
      <c r="D13" s="316">
        <v>100</v>
      </c>
      <c r="E13" s="317"/>
      <c r="F13" s="318">
        <f>SUMIF(72:72,E13,73:73)-SUMIF(72:72,C13,73:73)+100</f>
        <v>0</v>
      </c>
      <c r="G13" s="319"/>
      <c r="H13" s="316">
        <f>SUMIF(72:72,G13,73:73)-SUMIF(72:72,C13,73:73)+100</f>
        <v>0</v>
      </c>
      <c r="I13" s="319"/>
      <c r="J13" s="316">
        <f>SUMIF(72:72,I13,73:73)-SUMIF(72:72,C13,73:73)+100</f>
        <v>0</v>
      </c>
      <c r="K13" s="452"/>
      <c r="L13" s="453"/>
      <c r="M13" s="396"/>
      <c r="N13" s="396"/>
      <c r="O13" s="451"/>
      <c r="P13" s="1744"/>
      <c r="Q13" s="500">
        <f t="shared" si="6"/>
        <v>111</v>
      </c>
      <c r="R13" s="497" t="s">
        <v>1130</v>
      </c>
      <c r="S13" s="498">
        <f t="shared" si="0"/>
        <v>0</v>
      </c>
      <c r="T13" s="497" t="s">
        <v>1130</v>
      </c>
      <c r="U13" s="498">
        <f t="shared" si="1"/>
        <v>0</v>
      </c>
      <c r="V13" s="497" t="s">
        <v>1130</v>
      </c>
      <c r="W13" s="498">
        <f t="shared" si="2"/>
        <v>0</v>
      </c>
      <c r="X13" s="499"/>
      <c r="Y13" s="1750"/>
      <c r="Z13" s="509">
        <f t="shared" si="7"/>
        <v>111</v>
      </c>
      <c r="AA13" s="509" t="e">
        <f t="shared" si="3"/>
        <v>#DIV/0!</v>
      </c>
      <c r="AB13" s="509" t="e">
        <f t="shared" si="4"/>
        <v>#DIV/0!</v>
      </c>
      <c r="AC13" s="509" t="e">
        <f t="shared" si="5"/>
        <v>#DIV/0!</v>
      </c>
    </row>
    <row r="14" spans="1:29" ht="15" hidden="1">
      <c r="A14" s="320"/>
      <c r="B14" s="321">
        <v>111</v>
      </c>
      <c r="C14" s="322">
        <v>111</v>
      </c>
      <c r="D14" s="323">
        <v>100</v>
      </c>
      <c r="E14" s="324"/>
      <c r="F14" s="323">
        <f>SUMIF(74:74,E14,75:75)-SUMIF(74:74,C14,75:75)+100</f>
        <v>0</v>
      </c>
      <c r="G14" s="325"/>
      <c r="H14" s="323">
        <f>SUMIF(74:74,G14,75:75)-SUMIF(74:74,C14,75:75)+100</f>
        <v>0</v>
      </c>
      <c r="I14" s="325"/>
      <c r="J14" s="323">
        <f>SUMIF(74:74,I14,75:75)-SUMIF(74:74,C14,75:75)+100</f>
        <v>0</v>
      </c>
      <c r="K14" s="452"/>
      <c r="L14" s="453"/>
      <c r="M14" s="396"/>
      <c r="N14" s="396"/>
      <c r="O14" s="451"/>
      <c r="P14" s="1744"/>
      <c r="Q14" s="500">
        <f t="shared" si="6"/>
        <v>111</v>
      </c>
      <c r="R14" s="497" t="s">
        <v>1130</v>
      </c>
      <c r="S14" s="498">
        <f t="shared" si="0"/>
        <v>0</v>
      </c>
      <c r="T14" s="497" t="s">
        <v>1130</v>
      </c>
      <c r="U14" s="498">
        <f t="shared" si="1"/>
        <v>0</v>
      </c>
      <c r="V14" s="497" t="s">
        <v>1130</v>
      </c>
      <c r="W14" s="498">
        <f t="shared" si="2"/>
        <v>0</v>
      </c>
      <c r="X14" s="499"/>
      <c r="Y14" s="1750"/>
      <c r="Z14" s="509">
        <f t="shared" si="7"/>
        <v>111</v>
      </c>
      <c r="AA14" s="509" t="e">
        <f t="shared" si="3"/>
        <v>#DIV/0!</v>
      </c>
      <c r="AB14" s="509" t="e">
        <f t="shared" si="4"/>
        <v>#DIV/0!</v>
      </c>
      <c r="AC14" s="509" t="e">
        <f t="shared" si="5"/>
        <v>#DIV/0!</v>
      </c>
    </row>
    <row r="15" spans="1:29" ht="94.5" hidden="1">
      <c r="A15" s="326" t="s">
        <v>1139</v>
      </c>
      <c r="B15" s="327" t="s">
        <v>33</v>
      </c>
      <c r="C15" s="328" t="str">
        <f>估价对象房地状况!C3</f>
        <v>估价对象周边居住用地比例、居住小区规模和社区发展完善程度，综合评价居住社区成熟度一般</v>
      </c>
      <c r="D15" s="329">
        <v>100</v>
      </c>
      <c r="E15" s="330"/>
      <c r="F15" s="329">
        <f>SUMIF(76:76,E16,77:77)-SUMIF(76:76,C16,77:77)+100</f>
        <v>0</v>
      </c>
      <c r="G15" s="330"/>
      <c r="H15" s="329">
        <f>SUMIF(76:76,G16,77:77)-SUMIF(76:76,C16,77:77)+100</f>
        <v>0</v>
      </c>
      <c r="I15" s="454"/>
      <c r="J15" s="329">
        <f>SUMIF(76:76,I16,77:77)-SUMIF(76:76,C16,77:77)+100</f>
        <v>0</v>
      </c>
      <c r="K15" s="440"/>
      <c r="L15" s="453"/>
      <c r="M15" s="396"/>
      <c r="N15" s="396"/>
      <c r="O15" s="451"/>
      <c r="P15" s="1746" t="s">
        <v>1140</v>
      </c>
      <c r="Q15" s="445" t="str">
        <f t="shared" si="6"/>
        <v>居住社区成熟度</v>
      </c>
      <c r="R15" s="501" t="s">
        <v>1130</v>
      </c>
      <c r="S15" s="502">
        <f t="shared" si="0"/>
        <v>0</v>
      </c>
      <c r="T15" s="501" t="s">
        <v>1130</v>
      </c>
      <c r="U15" s="502">
        <f t="shared" si="1"/>
        <v>0</v>
      </c>
      <c r="V15" s="501" t="s">
        <v>1130</v>
      </c>
      <c r="W15" s="502">
        <f t="shared" si="2"/>
        <v>0</v>
      </c>
      <c r="X15" s="496"/>
      <c r="Y15" s="1746" t="s">
        <v>1140</v>
      </c>
      <c r="Z15" s="495" t="str">
        <f t="shared" si="7"/>
        <v>居住社区成熟度</v>
      </c>
      <c r="AA15" s="495" t="e">
        <f t="shared" si="3"/>
        <v>#DIV/0!</v>
      </c>
      <c r="AB15" s="495" t="e">
        <f t="shared" si="4"/>
        <v>#DIV/0!</v>
      </c>
      <c r="AC15" s="495" t="e">
        <f t="shared" si="5"/>
        <v>#DIV/0!</v>
      </c>
    </row>
    <row r="16" spans="1:29" ht="15" hidden="1">
      <c r="A16" s="303"/>
      <c r="B16" s="331"/>
      <c r="C16" s="332" t="s">
        <v>435</v>
      </c>
      <c r="D16" s="316"/>
      <c r="E16" s="333"/>
      <c r="F16" s="316"/>
      <c r="G16" s="334"/>
      <c r="H16" s="335"/>
      <c r="I16" s="334"/>
      <c r="J16" s="316"/>
      <c r="K16" s="452"/>
      <c r="L16" s="453"/>
      <c r="M16" s="396"/>
      <c r="N16" s="396"/>
      <c r="O16" s="451"/>
      <c r="P16" s="1747"/>
      <c r="Q16" s="445"/>
      <c r="R16" s="501"/>
      <c r="S16" s="502"/>
      <c r="T16" s="501"/>
      <c r="U16" s="502"/>
      <c r="V16" s="501"/>
      <c r="W16" s="502"/>
      <c r="X16" s="496"/>
      <c r="Y16" s="1747"/>
      <c r="Z16" s="495"/>
      <c r="AA16" s="495">
        <v>1</v>
      </c>
      <c r="AB16" s="495">
        <v>1</v>
      </c>
      <c r="AC16" s="495">
        <v>1</v>
      </c>
    </row>
    <row r="17" spans="1:29" ht="81" hidden="1">
      <c r="A17" s="303"/>
      <c r="B17" s="336" t="s">
        <v>34</v>
      </c>
      <c r="C17" s="337" t="str">
        <f>估价对象房地状况!C4</f>
        <v>估价对象位于XX商圈，周边商业氛围成熟，人流量大，商业繁华度好</v>
      </c>
      <c r="D17" s="335">
        <v>100</v>
      </c>
      <c r="E17" s="338"/>
      <c r="F17" s="335">
        <f>SUMIF(78:78,E18,79:79)-SUMIF(78:78,C18,79:79)+100</f>
        <v>0</v>
      </c>
      <c r="G17" s="338"/>
      <c r="H17" s="339">
        <f>SUMIF(78:78,G18,79:79)-SUMIF(78:78,C18,79:79)+100</f>
        <v>0</v>
      </c>
      <c r="I17" s="347"/>
      <c r="J17" s="339">
        <f>SUMIF(78:78,I18,79:79)-SUMIF(78:78,C18,79:79)+100</f>
        <v>0</v>
      </c>
      <c r="K17" s="440"/>
      <c r="L17" s="453"/>
      <c r="M17" s="396"/>
      <c r="N17" s="396"/>
      <c r="O17" s="451"/>
      <c r="P17" s="1747"/>
      <c r="Q17" s="445" t="str">
        <f>B17</f>
        <v>商业繁华度</v>
      </c>
      <c r="R17" s="501" t="s">
        <v>1130</v>
      </c>
      <c r="S17" s="502">
        <f>F17</f>
        <v>0</v>
      </c>
      <c r="T17" s="501" t="s">
        <v>1130</v>
      </c>
      <c r="U17" s="502">
        <f>H17</f>
        <v>0</v>
      </c>
      <c r="V17" s="501" t="s">
        <v>1130</v>
      </c>
      <c r="W17" s="502">
        <f>J17</f>
        <v>0</v>
      </c>
      <c r="X17" s="496"/>
      <c r="Y17" s="1747"/>
      <c r="Z17" s="495" t="str">
        <f>Q17</f>
        <v>商业繁华度</v>
      </c>
      <c r="AA17" s="495" t="e">
        <f t="shared" si="3"/>
        <v>#DIV/0!</v>
      </c>
      <c r="AB17" s="495" t="e">
        <f t="shared" si="4"/>
        <v>#DIV/0!</v>
      </c>
      <c r="AC17" s="495" t="e">
        <f t="shared" si="5"/>
        <v>#DIV/0!</v>
      </c>
    </row>
    <row r="18" spans="1:29" ht="15" hidden="1">
      <c r="A18" s="303"/>
      <c r="B18" s="340"/>
      <c r="C18" s="341" t="s">
        <v>435</v>
      </c>
      <c r="D18" s="335"/>
      <c r="E18" s="342"/>
      <c r="F18" s="335"/>
      <c r="G18" s="342"/>
      <c r="H18" s="316"/>
      <c r="I18" s="342"/>
      <c r="J18" s="316"/>
      <c r="K18" s="452"/>
      <c r="L18" s="453"/>
      <c r="M18" s="396"/>
      <c r="N18" s="396"/>
      <c r="O18" s="451"/>
      <c r="P18" s="1747"/>
      <c r="Q18" s="445"/>
      <c r="R18" s="501"/>
      <c r="S18" s="502"/>
      <c r="T18" s="501"/>
      <c r="U18" s="502"/>
      <c r="V18" s="501"/>
      <c r="W18" s="502"/>
      <c r="X18" s="496"/>
      <c r="Y18" s="1747"/>
      <c r="Z18" s="495"/>
      <c r="AA18" s="495">
        <v>1</v>
      </c>
      <c r="AB18" s="495">
        <v>1</v>
      </c>
      <c r="AC18" s="495">
        <v>1</v>
      </c>
    </row>
    <row r="19" spans="1:29" ht="81" hidden="1">
      <c r="A19" s="303"/>
      <c r="B19" s="336" t="s">
        <v>35</v>
      </c>
      <c r="C19" s="337" t="str">
        <f>估价对象房地状况!C5</f>
        <v>估价对象位于XX商圈，周边办公楼项目较多，入驻率高，办公集聚程度较好</v>
      </c>
      <c r="D19" s="339">
        <v>100</v>
      </c>
      <c r="E19" s="343"/>
      <c r="F19" s="339">
        <f>SUMIF(80:80,E20,81:81)-SUMIF(80:80,C20,81:81)+100</f>
        <v>0</v>
      </c>
      <c r="G19" s="343"/>
      <c r="H19" s="335">
        <f>SUMIF(80:80,G20,81:81)-SUMIF(80:80,C20,81:81)+100</f>
        <v>0</v>
      </c>
      <c r="I19" s="456"/>
      <c r="J19" s="335">
        <f>SUMIF(80:80,I20,81:81)-SUMIF(80:80,C20,81:81)+100</f>
        <v>0</v>
      </c>
      <c r="K19" s="440"/>
      <c r="L19" s="453"/>
      <c r="M19" s="396"/>
      <c r="N19" s="396"/>
      <c r="O19" s="451"/>
      <c r="P19" s="1747"/>
      <c r="Q19" s="445" t="str">
        <f>B19</f>
        <v>办公集聚程度</v>
      </c>
      <c r="R19" s="501" t="s">
        <v>1130</v>
      </c>
      <c r="S19" s="502">
        <f>F19</f>
        <v>0</v>
      </c>
      <c r="T19" s="501" t="s">
        <v>1130</v>
      </c>
      <c r="U19" s="502">
        <f>H19</f>
        <v>0</v>
      </c>
      <c r="V19" s="501" t="s">
        <v>1130</v>
      </c>
      <c r="W19" s="502">
        <f>J19</f>
        <v>0</v>
      </c>
      <c r="X19" s="496"/>
      <c r="Y19" s="1747"/>
      <c r="Z19" s="495" t="str">
        <f>Q19</f>
        <v>办公集聚程度</v>
      </c>
      <c r="AA19" s="495" t="e">
        <f t="shared" si="3"/>
        <v>#DIV/0!</v>
      </c>
      <c r="AB19" s="495" t="e">
        <f t="shared" si="4"/>
        <v>#DIV/0!</v>
      </c>
      <c r="AC19" s="495" t="e">
        <f t="shared" si="5"/>
        <v>#DIV/0!</v>
      </c>
    </row>
    <row r="20" spans="1:29" ht="15" hidden="1">
      <c r="A20" s="303"/>
      <c r="B20" s="340"/>
      <c r="C20" s="332" t="s">
        <v>435</v>
      </c>
      <c r="D20" s="316"/>
      <c r="E20" s="334"/>
      <c r="F20" s="316"/>
      <c r="G20" s="334"/>
      <c r="H20" s="316"/>
      <c r="I20" s="334"/>
      <c r="J20" s="316"/>
      <c r="K20" s="452"/>
      <c r="L20" s="453"/>
      <c r="M20" s="396"/>
      <c r="N20" s="396"/>
      <c r="O20" s="451"/>
      <c r="P20" s="1747"/>
      <c r="Q20" s="445"/>
      <c r="R20" s="501"/>
      <c r="S20" s="502"/>
      <c r="T20" s="501"/>
      <c r="U20" s="502"/>
      <c r="V20" s="501"/>
      <c r="W20" s="502"/>
      <c r="X20" s="496"/>
      <c r="Y20" s="1747"/>
      <c r="Z20" s="495"/>
      <c r="AA20" s="495">
        <v>1</v>
      </c>
      <c r="AB20" s="495">
        <v>1</v>
      </c>
      <c r="AC20" s="495">
        <v>1</v>
      </c>
    </row>
    <row r="21" spans="1:29" ht="94.5" hidden="1">
      <c r="A21" s="303"/>
      <c r="B21" s="336" t="s">
        <v>37</v>
      </c>
      <c r="C21" s="344" t="str">
        <f>估价对象房地状况!C6</f>
        <v>估价对象周边道路状况、公共交通通达情况、停车便捷程度，综合评价交通便捷度较好</v>
      </c>
      <c r="D21" s="335">
        <v>100</v>
      </c>
      <c r="E21" s="338"/>
      <c r="F21" s="339">
        <f>SUMIF(82:82,E22,83:83)-SUMIF(82:82,C22,83:83)+100</f>
        <v>0</v>
      </c>
      <c r="G21" s="338"/>
      <c r="H21" s="335">
        <f>SUMIF(82:82,G22,83:83)-SUMIF(82:82,C22,83:83)+100</f>
        <v>0</v>
      </c>
      <c r="I21" s="347"/>
      <c r="J21" s="335">
        <f>SUMIF(82:82,I22,83:83)-SUMIF(82:82,C22,83:83)+100</f>
        <v>0</v>
      </c>
      <c r="K21" s="440"/>
      <c r="L21" s="453"/>
      <c r="M21" s="396"/>
      <c r="N21" s="396"/>
      <c r="O21" s="451"/>
      <c r="P21" s="1747"/>
      <c r="Q21" s="445" t="str">
        <f>B21</f>
        <v>交通便捷度</v>
      </c>
      <c r="R21" s="501" t="s">
        <v>1130</v>
      </c>
      <c r="S21" s="502">
        <f>F21</f>
        <v>0</v>
      </c>
      <c r="T21" s="501" t="s">
        <v>1130</v>
      </c>
      <c r="U21" s="502">
        <f>H21</f>
        <v>0</v>
      </c>
      <c r="V21" s="501" t="s">
        <v>1130</v>
      </c>
      <c r="W21" s="502">
        <f>J21</f>
        <v>0</v>
      </c>
      <c r="X21" s="496"/>
      <c r="Y21" s="1747"/>
      <c r="Z21" s="495" t="str">
        <f>Q21</f>
        <v>交通便捷度</v>
      </c>
      <c r="AA21" s="495" t="e">
        <f t="shared" si="3"/>
        <v>#DIV/0!</v>
      </c>
      <c r="AB21" s="495" t="e">
        <f t="shared" si="4"/>
        <v>#DIV/0!</v>
      </c>
      <c r="AC21" s="495" t="e">
        <f t="shared" si="5"/>
        <v>#DIV/0!</v>
      </c>
    </row>
    <row r="22" spans="1:29" ht="15" hidden="1">
      <c r="A22" s="303"/>
      <c r="B22" s="345"/>
      <c r="C22" s="332" t="s">
        <v>435</v>
      </c>
      <c r="D22" s="335"/>
      <c r="E22" s="334"/>
      <c r="F22" s="316"/>
      <c r="G22" s="334"/>
      <c r="H22" s="316"/>
      <c r="I22" s="334"/>
      <c r="J22" s="316"/>
      <c r="K22" s="452"/>
      <c r="L22" s="453"/>
      <c r="M22" s="396"/>
      <c r="N22" s="396"/>
      <c r="O22" s="451"/>
      <c r="P22" s="1747"/>
      <c r="Q22" s="445"/>
      <c r="R22" s="501"/>
      <c r="S22" s="502"/>
      <c r="T22" s="501"/>
      <c r="U22" s="502"/>
      <c r="V22" s="501"/>
      <c r="W22" s="502"/>
      <c r="X22" s="496"/>
      <c r="Y22" s="1747"/>
      <c r="Z22" s="495"/>
      <c r="AA22" s="495">
        <v>1</v>
      </c>
      <c r="AB22" s="495">
        <v>1</v>
      </c>
      <c r="AC22" s="495">
        <v>1</v>
      </c>
    </row>
    <row r="23" spans="1:29" ht="40.5" hidden="1">
      <c r="A23" s="275"/>
      <c r="B23" s="336" t="s">
        <v>1141</v>
      </c>
      <c r="C23" s="346" t="str">
        <f>估价对象房地状况!C7</f>
        <v>零星有其他用地，基本不影响本宗地</v>
      </c>
      <c r="D23" s="339">
        <v>100</v>
      </c>
      <c r="E23" s="338"/>
      <c r="F23" s="339">
        <f>SUMIF(84:84,E24,85:85)-SUMIF(84:84,C24,85:85)+100</f>
        <v>0</v>
      </c>
      <c r="G23" s="347"/>
      <c r="H23" s="339">
        <f>SUMIF(84:84,G24,85:85)-SUMIF(84:84,C24,85:85)+100</f>
        <v>0</v>
      </c>
      <c r="I23" s="347"/>
      <c r="J23" s="339">
        <f>SUMIF(84:84,I24,85:85)-SUMIF(84:84,C24,85:85)+100</f>
        <v>0</v>
      </c>
      <c r="K23" s="440"/>
      <c r="L23" s="453"/>
      <c r="M23" s="396"/>
      <c r="N23" s="396"/>
      <c r="O23" s="451"/>
      <c r="P23" s="1747"/>
      <c r="Q23" s="445" t="str">
        <f t="shared" ref="Q23:Q38" si="8">B23</f>
        <v>区域土地利用方向</v>
      </c>
      <c r="R23" s="501" t="s">
        <v>1130</v>
      </c>
      <c r="S23" s="502">
        <f>F23</f>
        <v>0</v>
      </c>
      <c r="T23" s="501" t="s">
        <v>1130</v>
      </c>
      <c r="U23" s="502">
        <f>H23</f>
        <v>0</v>
      </c>
      <c r="V23" s="501" t="s">
        <v>1130</v>
      </c>
      <c r="W23" s="502">
        <f>J23</f>
        <v>0</v>
      </c>
      <c r="X23" s="496"/>
      <c r="Y23" s="1747"/>
      <c r="Z23" s="495" t="str">
        <f>Q23</f>
        <v>区域土地利用方向</v>
      </c>
      <c r="AA23" s="495" t="e">
        <f t="shared" si="3"/>
        <v>#DIV/0!</v>
      </c>
      <c r="AB23" s="495" t="e">
        <f t="shared" si="4"/>
        <v>#DIV/0!</v>
      </c>
      <c r="AC23" s="495" t="e">
        <f t="shared" si="5"/>
        <v>#DIV/0!</v>
      </c>
    </row>
    <row r="24" spans="1:29" ht="15" hidden="1">
      <c r="A24" s="275"/>
      <c r="B24" s="340"/>
      <c r="C24" s="332" t="s">
        <v>435</v>
      </c>
      <c r="D24" s="348"/>
      <c r="E24" s="349"/>
      <c r="F24" s="316"/>
      <c r="G24" s="349"/>
      <c r="H24" s="316"/>
      <c r="I24" s="349"/>
      <c r="J24" s="316"/>
      <c r="K24" s="452"/>
      <c r="L24" s="453"/>
      <c r="M24" s="396"/>
      <c r="N24" s="396"/>
      <c r="O24" s="451"/>
      <c r="P24" s="1747"/>
      <c r="Q24" s="445"/>
      <c r="R24" s="501"/>
      <c r="S24" s="502"/>
      <c r="T24" s="501"/>
      <c r="U24" s="502"/>
      <c r="V24" s="501"/>
      <c r="W24" s="502"/>
      <c r="X24" s="496"/>
      <c r="Y24" s="1747"/>
      <c r="Z24" s="495"/>
      <c r="AA24" s="495"/>
      <c r="AB24" s="495"/>
      <c r="AC24" s="495"/>
    </row>
    <row r="25" spans="1:29" ht="54" hidden="1">
      <c r="A25" s="275"/>
      <c r="B25" s="345" t="s">
        <v>1142</v>
      </c>
      <c r="C25" s="350" t="str">
        <f>估价对象房地状况!C8</f>
        <v>区域自然环境：；人文环境；综合评价环境状况一般</v>
      </c>
      <c r="D25" s="335">
        <v>100</v>
      </c>
      <c r="E25" s="338"/>
      <c r="F25" s="335">
        <f>SUMIF(86:86,E26,87:87)-SUMIF(86:86,C26,87:87)+100</f>
        <v>0</v>
      </c>
      <c r="G25" s="338"/>
      <c r="H25" s="335">
        <f>SUMIF(86:86,G26,87:87)-SUMIF(86:86,C26,87:87)+100</f>
        <v>0</v>
      </c>
      <c r="I25" s="347"/>
      <c r="J25" s="335">
        <f>SUMIF(86:86,I26,87:87)-SUMIF(86:86,C26,87:87)+100</f>
        <v>0</v>
      </c>
      <c r="K25" s="440"/>
      <c r="L25" s="453"/>
      <c r="M25" s="396"/>
      <c r="N25" s="396"/>
      <c r="O25" s="451"/>
      <c r="P25" s="1747"/>
      <c r="Q25" s="445" t="str">
        <f t="shared" si="8"/>
        <v>自然及人文环境状况</v>
      </c>
      <c r="R25" s="501" t="s">
        <v>1130</v>
      </c>
      <c r="S25" s="502">
        <f>F25</f>
        <v>0</v>
      </c>
      <c r="T25" s="501" t="s">
        <v>1130</v>
      </c>
      <c r="U25" s="502">
        <f>H25</f>
        <v>0</v>
      </c>
      <c r="V25" s="501" t="s">
        <v>1130</v>
      </c>
      <c r="W25" s="502">
        <f>J25</f>
        <v>0</v>
      </c>
      <c r="X25" s="496"/>
      <c r="Y25" s="1747"/>
      <c r="Z25" s="495" t="str">
        <f>Q25</f>
        <v>自然及人文环境状况</v>
      </c>
      <c r="AA25" s="495" t="e">
        <f t="shared" si="3"/>
        <v>#DIV/0!</v>
      </c>
      <c r="AB25" s="495" t="e">
        <f t="shared" si="4"/>
        <v>#DIV/0!</v>
      </c>
      <c r="AC25" s="495" t="e">
        <f t="shared" si="5"/>
        <v>#DIV/0!</v>
      </c>
    </row>
    <row r="26" spans="1:29" ht="15" hidden="1">
      <c r="A26" s="275"/>
      <c r="B26" s="340"/>
      <c r="C26" s="332" t="s">
        <v>435</v>
      </c>
      <c r="D26" s="316"/>
      <c r="E26" s="349"/>
      <c r="F26" s="316"/>
      <c r="G26" s="349"/>
      <c r="H26" s="316"/>
      <c r="I26" s="349"/>
      <c r="J26" s="316"/>
      <c r="K26" s="452"/>
      <c r="L26" s="453"/>
      <c r="M26" s="396"/>
      <c r="N26" s="396"/>
      <c r="O26" s="451"/>
      <c r="P26" s="1747"/>
      <c r="Q26" s="445"/>
      <c r="R26" s="501"/>
      <c r="S26" s="502"/>
      <c r="T26" s="501"/>
      <c r="U26" s="502"/>
      <c r="V26" s="501"/>
      <c r="W26" s="502"/>
      <c r="X26" s="496"/>
      <c r="Y26" s="1747"/>
      <c r="Z26" s="495"/>
      <c r="AA26" s="495">
        <v>1</v>
      </c>
      <c r="AB26" s="495">
        <v>1</v>
      </c>
      <c r="AC26" s="495">
        <v>1</v>
      </c>
    </row>
    <row r="27" spans="1:29" s="247" customFormat="1" ht="40.5" hidden="1">
      <c r="A27" s="351"/>
      <c r="B27" s="314" t="s">
        <v>39</v>
      </c>
      <c r="C27" s="344" t="str">
        <f>估价对象房地状况!C9</f>
        <v>估价对象所在区域公共配套设施齐备情况</v>
      </c>
      <c r="D27" s="335">
        <v>100</v>
      </c>
      <c r="E27" s="338"/>
      <c r="F27" s="335">
        <f>SUMIF(88:88,E28,89:89)-SUMIF(88:88,C28,89:89)+100</f>
        <v>0</v>
      </c>
      <c r="G27" s="338"/>
      <c r="H27" s="335">
        <f>SUMIF(88:88,G28,89:89)-SUMIF(88:88,C28,89:89)+100</f>
        <v>0</v>
      </c>
      <c r="I27" s="347"/>
      <c r="J27" s="335">
        <f>SUMIF(88:88,I28,89:89)-SUMIF(88:88,C28,89:89)+100</f>
        <v>0</v>
      </c>
      <c r="K27" s="440"/>
      <c r="L27" s="443"/>
      <c r="M27" s="441"/>
      <c r="N27" s="441"/>
      <c r="O27" s="444"/>
      <c r="P27" s="1747"/>
      <c r="Q27" s="500" t="str">
        <f t="shared" si="8"/>
        <v>公共配套设施</v>
      </c>
      <c r="R27" s="497" t="s">
        <v>1130</v>
      </c>
      <c r="S27" s="498">
        <f>F27</f>
        <v>0</v>
      </c>
      <c r="T27" s="497" t="s">
        <v>1130</v>
      </c>
      <c r="U27" s="498">
        <f>H27</f>
        <v>0</v>
      </c>
      <c r="V27" s="497" t="s">
        <v>1130</v>
      </c>
      <c r="W27" s="498">
        <f>J27</f>
        <v>0</v>
      </c>
      <c r="X27" s="499"/>
      <c r="Y27" s="1747"/>
      <c r="Z27" s="509" t="str">
        <f>Q27</f>
        <v>公共配套设施</v>
      </c>
      <c r="AA27" s="495" t="e">
        <f>D27/F27</f>
        <v>#DIV/0!</v>
      </c>
      <c r="AB27" s="495" t="e">
        <f>D27/H27</f>
        <v>#DIV/0!</v>
      </c>
      <c r="AC27" s="495" t="e">
        <f>D27/J27</f>
        <v>#DIV/0!</v>
      </c>
    </row>
    <row r="28" spans="1:29" s="247" customFormat="1" ht="15" hidden="1">
      <c r="A28" s="351"/>
      <c r="B28" s="340"/>
      <c r="C28" s="352" t="s">
        <v>435</v>
      </c>
      <c r="D28" s="316"/>
      <c r="E28" s="353"/>
      <c r="F28" s="316"/>
      <c r="G28" s="353"/>
      <c r="H28" s="316"/>
      <c r="I28" s="353"/>
      <c r="J28" s="316"/>
      <c r="K28" s="452"/>
      <c r="L28" s="443"/>
      <c r="M28" s="441"/>
      <c r="N28" s="441"/>
      <c r="O28" s="444"/>
      <c r="P28" s="1747"/>
      <c r="Q28" s="500"/>
      <c r="R28" s="497"/>
      <c r="S28" s="498"/>
      <c r="T28" s="497"/>
      <c r="U28" s="498"/>
      <c r="V28" s="497"/>
      <c r="W28" s="498"/>
      <c r="X28" s="499"/>
      <c r="Y28" s="1747"/>
      <c r="Z28" s="509"/>
      <c r="AA28" s="495">
        <v>1</v>
      </c>
      <c r="AB28" s="495">
        <v>1</v>
      </c>
      <c r="AC28" s="495">
        <v>1</v>
      </c>
    </row>
    <row r="29" spans="1:29" s="247" customFormat="1" ht="40.5" hidden="1">
      <c r="A29" s="351"/>
      <c r="B29" s="314" t="s">
        <v>40</v>
      </c>
      <c r="C29" s="344" t="str">
        <f>估价对象房地状况!C10</f>
        <v>估价对象所在区域基础设施水平</v>
      </c>
      <c r="D29" s="335">
        <v>100</v>
      </c>
      <c r="E29" s="338"/>
      <c r="F29" s="335">
        <f>SUMIF(90:90,E30,91:91)-SUMIF(90:90,C30,91:91)+100</f>
        <v>0</v>
      </c>
      <c r="G29" s="338"/>
      <c r="H29" s="335">
        <f>SUMIF(90:90,G30,91:91)-SUMIF(90:90,C30,91:91)+100</f>
        <v>0</v>
      </c>
      <c r="I29" s="347"/>
      <c r="J29" s="335">
        <f>SUMIF(90:90,I30,91:91)-SUMIF(90:90,C30,91:91)+100</f>
        <v>0</v>
      </c>
      <c r="K29" s="440"/>
      <c r="L29" s="443"/>
      <c r="M29" s="441"/>
      <c r="N29" s="441"/>
      <c r="O29" s="444"/>
      <c r="P29" s="1747"/>
      <c r="Q29" s="500" t="str">
        <f t="shared" ref="Q29" si="9">B29</f>
        <v>基础设施水平</v>
      </c>
      <c r="R29" s="497" t="s">
        <v>1130</v>
      </c>
      <c r="S29" s="498">
        <f>F29</f>
        <v>0</v>
      </c>
      <c r="T29" s="497" t="s">
        <v>1130</v>
      </c>
      <c r="U29" s="498">
        <f>H29</f>
        <v>0</v>
      </c>
      <c r="V29" s="497" t="s">
        <v>1130</v>
      </c>
      <c r="W29" s="498">
        <f>J29</f>
        <v>0</v>
      </c>
      <c r="X29" s="499"/>
      <c r="Y29" s="1747"/>
      <c r="Z29" s="509" t="str">
        <f>Q29</f>
        <v>基础设施水平</v>
      </c>
      <c r="AA29" s="495" t="e">
        <f>D29/F29</f>
        <v>#DIV/0!</v>
      </c>
      <c r="AB29" s="495" t="e">
        <f>D29/H29</f>
        <v>#DIV/0!</v>
      </c>
      <c r="AC29" s="495" t="e">
        <f>D29/J29</f>
        <v>#DIV/0!</v>
      </c>
    </row>
    <row r="30" spans="1:29" s="247" customFormat="1" ht="15" hidden="1">
      <c r="A30" s="351"/>
      <c r="B30" s="340"/>
      <c r="C30" s="352" t="s">
        <v>57</v>
      </c>
      <c r="D30" s="316"/>
      <c r="E30" s="353"/>
      <c r="F30" s="316"/>
      <c r="G30" s="353"/>
      <c r="H30" s="316"/>
      <c r="I30" s="353"/>
      <c r="J30" s="316"/>
      <c r="K30" s="452"/>
      <c r="L30" s="443"/>
      <c r="M30" s="441"/>
      <c r="N30" s="441"/>
      <c r="O30" s="444"/>
      <c r="P30" s="1747"/>
      <c r="Q30" s="500"/>
      <c r="R30" s="497"/>
      <c r="S30" s="498"/>
      <c r="T30" s="497"/>
      <c r="U30" s="498"/>
      <c r="V30" s="497"/>
      <c r="W30" s="498"/>
      <c r="X30" s="499"/>
      <c r="Y30" s="1747"/>
      <c r="Z30" s="509"/>
      <c r="AA30" s="495">
        <v>1</v>
      </c>
      <c r="AB30" s="495">
        <v>1</v>
      </c>
      <c r="AC30" s="495">
        <v>1</v>
      </c>
    </row>
    <row r="31" spans="1:29" ht="15" hidden="1">
      <c r="A31" s="303"/>
      <c r="B31" s="340" t="s">
        <v>42</v>
      </c>
      <c r="C31" s="354" t="s">
        <v>1143</v>
      </c>
      <c r="D31" s="355">
        <v>100</v>
      </c>
      <c r="E31" s="356"/>
      <c r="F31" s="355">
        <f>SUMIF(92:92,E31,93:93)-SUMIF(92:92,C31,93:93)+100</f>
        <v>0</v>
      </c>
      <c r="G31" s="356"/>
      <c r="H31" s="355">
        <f>SUMIF(92:92,G31,93:93)-SUMIF(92:92,C31,93:93)+100</f>
        <v>0</v>
      </c>
      <c r="I31" s="356"/>
      <c r="J31" s="355">
        <f>SUMIF(92:92,I31,93:93)-SUMIF(92:92,C31,93:93)+100</f>
        <v>0</v>
      </c>
      <c r="K31" s="440"/>
      <c r="L31" s="453"/>
      <c r="M31" s="396"/>
      <c r="N31" s="396"/>
      <c r="O31" s="451"/>
      <c r="P31" s="1747"/>
      <c r="Q31" s="445" t="str">
        <f t="shared" si="8"/>
        <v>临街状况</v>
      </c>
      <c r="R31" s="501" t="s">
        <v>1130</v>
      </c>
      <c r="S31" s="502">
        <f t="shared" ref="S31:S45" si="10">F31</f>
        <v>0</v>
      </c>
      <c r="T31" s="501" t="s">
        <v>1130</v>
      </c>
      <c r="U31" s="502">
        <f t="shared" ref="U31:U45" si="11">H31</f>
        <v>0</v>
      </c>
      <c r="V31" s="501" t="s">
        <v>1130</v>
      </c>
      <c r="W31" s="502">
        <f t="shared" ref="W31:W45" si="12">J31</f>
        <v>0</v>
      </c>
      <c r="X31" s="496"/>
      <c r="Y31" s="1747"/>
      <c r="Z31" s="495" t="str">
        <f t="shared" ref="Z31:Z45" si="13">Q31</f>
        <v>临街状况</v>
      </c>
      <c r="AA31" s="495" t="e">
        <f t="shared" si="3"/>
        <v>#DIV/0!</v>
      </c>
      <c r="AB31" s="495" t="e">
        <f t="shared" si="4"/>
        <v>#DIV/0!</v>
      </c>
      <c r="AC31" s="495" t="e">
        <f t="shared" si="5"/>
        <v>#DIV/0!</v>
      </c>
    </row>
    <row r="32" spans="1:29" ht="28.5" hidden="1">
      <c r="A32" s="303"/>
      <c r="B32" s="345" t="s">
        <v>1144</v>
      </c>
      <c r="C32" s="357" t="s">
        <v>1145</v>
      </c>
      <c r="D32" s="335">
        <v>100</v>
      </c>
      <c r="E32" s="338"/>
      <c r="F32" s="335">
        <f>SUMIF(94:94,E33,95:95)-SUMIF(94:94,C33,95:95)+100</f>
        <v>0</v>
      </c>
      <c r="G32" s="338"/>
      <c r="H32" s="335">
        <f>SUMIF(94:94,G33,95:95)-SUMIF(94:94,C33,95:95)+100</f>
        <v>0</v>
      </c>
      <c r="I32" s="347"/>
      <c r="J32" s="335">
        <f>SUMIF(94:94,I33,95:95)-SUMIF(94:94,C33,95:95)+100</f>
        <v>0</v>
      </c>
      <c r="K32" s="440"/>
      <c r="L32" s="453"/>
      <c r="M32" s="396"/>
      <c r="N32" s="396"/>
      <c r="O32" s="451"/>
      <c r="P32" s="1747"/>
      <c r="Q32" s="445" t="str">
        <f t="shared" si="8"/>
        <v>毗邻道路的类型与等级</v>
      </c>
      <c r="R32" s="501" t="s">
        <v>1130</v>
      </c>
      <c r="S32" s="502">
        <f t="shared" si="10"/>
        <v>0</v>
      </c>
      <c r="T32" s="501" t="s">
        <v>1130</v>
      </c>
      <c r="U32" s="502">
        <f t="shared" si="11"/>
        <v>0</v>
      </c>
      <c r="V32" s="501" t="s">
        <v>1130</v>
      </c>
      <c r="W32" s="502">
        <f t="shared" si="12"/>
        <v>0</v>
      </c>
      <c r="X32" s="496"/>
      <c r="Y32" s="1747"/>
      <c r="Z32" s="495" t="str">
        <f t="shared" si="13"/>
        <v>毗邻道路的类型与等级</v>
      </c>
      <c r="AA32" s="495" t="e">
        <f t="shared" si="3"/>
        <v>#DIV/0!</v>
      </c>
      <c r="AB32" s="495" t="e">
        <f t="shared" si="4"/>
        <v>#DIV/0!</v>
      </c>
      <c r="AC32" s="495" t="e">
        <f t="shared" si="5"/>
        <v>#DIV/0!</v>
      </c>
    </row>
    <row r="33" spans="1:29" ht="15" hidden="1">
      <c r="A33" s="303"/>
      <c r="B33" s="340"/>
      <c r="C33" s="332" t="s">
        <v>1146</v>
      </c>
      <c r="D33" s="316"/>
      <c r="E33" s="349"/>
      <c r="F33" s="316"/>
      <c r="G33" s="349"/>
      <c r="H33" s="316"/>
      <c r="I33" s="349"/>
      <c r="J33" s="316"/>
      <c r="K33" s="457"/>
      <c r="L33" s="453"/>
      <c r="M33" s="396"/>
      <c r="N33" s="396"/>
      <c r="O33" s="451"/>
      <c r="P33" s="1747"/>
      <c r="Q33" s="445"/>
      <c r="R33" s="501"/>
      <c r="S33" s="502"/>
      <c r="T33" s="501"/>
      <c r="U33" s="502"/>
      <c r="V33" s="501"/>
      <c r="W33" s="502"/>
      <c r="X33" s="496"/>
      <c r="Y33" s="1747"/>
      <c r="Z33" s="495"/>
      <c r="AA33" s="495">
        <v>1</v>
      </c>
      <c r="AB33" s="495">
        <v>1</v>
      </c>
      <c r="AC33" s="495">
        <v>1</v>
      </c>
    </row>
    <row r="34" spans="1:29" ht="15" hidden="1">
      <c r="A34" s="303"/>
      <c r="B34" s="298" t="s">
        <v>1147</v>
      </c>
      <c r="C34" s="354"/>
      <c r="D34" s="355">
        <v>100</v>
      </c>
      <c r="E34" s="358"/>
      <c r="F34" s="355">
        <f>SUMIF(96:96,E34,97:97)-SUMIF(96:96,C34,97:97)+100</f>
        <v>100</v>
      </c>
      <c r="G34" s="358"/>
      <c r="H34" s="355">
        <f>SUMIF(96:96,G34,97:97)-SUMIF(96:96,C34,97:97)+100</f>
        <v>100</v>
      </c>
      <c r="I34" s="356"/>
      <c r="J34" s="355">
        <f>SUMIF(96:96,I34,97:97)-SUMIF(96:96,C34,97:97)+100</f>
        <v>100</v>
      </c>
      <c r="K34" s="458"/>
      <c r="L34" s="453"/>
      <c r="M34" s="396"/>
      <c r="N34" s="396"/>
      <c r="O34" s="451"/>
      <c r="P34" s="1747"/>
      <c r="Q34" s="445" t="str">
        <f t="shared" si="8"/>
        <v>土地级别</v>
      </c>
      <c r="R34" s="501" t="s">
        <v>1130</v>
      </c>
      <c r="S34" s="502">
        <f t="shared" si="10"/>
        <v>100</v>
      </c>
      <c r="T34" s="501" t="s">
        <v>1130</v>
      </c>
      <c r="U34" s="502">
        <f t="shared" si="11"/>
        <v>100</v>
      </c>
      <c r="V34" s="501" t="s">
        <v>1130</v>
      </c>
      <c r="W34" s="502">
        <f t="shared" si="12"/>
        <v>100</v>
      </c>
      <c r="X34" s="496"/>
      <c r="Y34" s="1747"/>
      <c r="Z34" s="495" t="str">
        <f t="shared" si="13"/>
        <v>土地级别</v>
      </c>
      <c r="AA34" s="495">
        <f t="shared" si="3"/>
        <v>1</v>
      </c>
      <c r="AB34" s="495">
        <f t="shared" si="4"/>
        <v>1</v>
      </c>
      <c r="AC34" s="495">
        <f t="shared" si="5"/>
        <v>1</v>
      </c>
    </row>
    <row r="35" spans="1:29" ht="15" hidden="1">
      <c r="A35" s="275"/>
      <c r="B35" s="359">
        <v>111</v>
      </c>
      <c r="C35" s="360">
        <v>111</v>
      </c>
      <c r="D35" s="355">
        <v>100</v>
      </c>
      <c r="E35" s="361"/>
      <c r="F35" s="355">
        <f>SUMIF(98:98,E35,99:99)-SUMIF(98:98,C35,99:99)+100</f>
        <v>0</v>
      </c>
      <c r="G35" s="361"/>
      <c r="H35" s="355">
        <f>SUMIF(98:98,G35,99:99)-SUMIF(98:98,C35,99:99)+100</f>
        <v>0</v>
      </c>
      <c r="I35" s="459"/>
      <c r="J35" s="355">
        <f>SUMIF(98:98,I35,99:99)-SUMIF(98:98,C35,99:99)+100</f>
        <v>0</v>
      </c>
      <c r="K35" s="457"/>
      <c r="L35" s="453"/>
      <c r="M35" s="396"/>
      <c r="N35" s="396"/>
      <c r="O35" s="451"/>
      <c r="P35" s="1747"/>
      <c r="Q35" s="445">
        <f t="shared" si="8"/>
        <v>111</v>
      </c>
      <c r="R35" s="501" t="s">
        <v>1130</v>
      </c>
      <c r="S35" s="502">
        <f t="shared" si="10"/>
        <v>0</v>
      </c>
      <c r="T35" s="501" t="s">
        <v>1130</v>
      </c>
      <c r="U35" s="502">
        <f t="shared" si="11"/>
        <v>0</v>
      </c>
      <c r="V35" s="501" t="s">
        <v>1130</v>
      </c>
      <c r="W35" s="502">
        <f t="shared" si="12"/>
        <v>0</v>
      </c>
      <c r="X35" s="496"/>
      <c r="Y35" s="1747"/>
      <c r="Z35" s="495">
        <f t="shared" si="13"/>
        <v>111</v>
      </c>
      <c r="AA35" s="495" t="e">
        <f t="shared" si="3"/>
        <v>#DIV/0!</v>
      </c>
      <c r="AB35" s="495" t="e">
        <f t="shared" si="4"/>
        <v>#DIV/0!</v>
      </c>
      <c r="AC35" s="495" t="e">
        <f t="shared" si="5"/>
        <v>#DIV/0!</v>
      </c>
    </row>
    <row r="36" spans="1:29" ht="15" hidden="1">
      <c r="A36" s="362"/>
      <c r="B36" s="363">
        <v>111</v>
      </c>
      <c r="C36" s="364">
        <v>111</v>
      </c>
      <c r="D36" s="339">
        <v>100</v>
      </c>
      <c r="E36" s="365"/>
      <c r="F36" s="339">
        <f>SUMIF(100:100,E37,101:101)-SUMIF(100:100,C37,101:101)+100</f>
        <v>100</v>
      </c>
      <c r="G36" s="365"/>
      <c r="H36" s="339">
        <f>SUMIF(100:100,G36,101:101)-SUMIF(100:100,C36,101:101)+100</f>
        <v>0</v>
      </c>
      <c r="I36" s="460"/>
      <c r="J36" s="339">
        <f>SUMIF(100:100,I36,101:101)-SUMIF(100:100,C36,101:101)+100</f>
        <v>0</v>
      </c>
      <c r="K36" s="457"/>
      <c r="L36" s="453"/>
      <c r="M36" s="396"/>
      <c r="N36" s="396"/>
      <c r="O36" s="451"/>
      <c r="P36" s="1748" t="s">
        <v>1148</v>
      </c>
      <c r="Q36" s="445">
        <f t="shared" si="8"/>
        <v>111</v>
      </c>
      <c r="R36" s="501" t="s">
        <v>1130</v>
      </c>
      <c r="S36" s="502">
        <f t="shared" si="10"/>
        <v>100</v>
      </c>
      <c r="T36" s="501" t="s">
        <v>1130</v>
      </c>
      <c r="U36" s="502">
        <f t="shared" si="11"/>
        <v>0</v>
      </c>
      <c r="V36" s="501" t="s">
        <v>1130</v>
      </c>
      <c r="W36" s="502">
        <f t="shared" si="12"/>
        <v>0</v>
      </c>
      <c r="X36" s="496"/>
      <c r="Y36" s="1749" t="s">
        <v>1148</v>
      </c>
      <c r="Z36" s="495">
        <f t="shared" si="13"/>
        <v>111</v>
      </c>
      <c r="AA36" s="495">
        <f t="shared" si="3"/>
        <v>1</v>
      </c>
      <c r="AB36" s="495" t="e">
        <f t="shared" si="4"/>
        <v>#DIV/0!</v>
      </c>
      <c r="AC36" s="495" t="e">
        <f t="shared" si="5"/>
        <v>#DIV/0!</v>
      </c>
    </row>
    <row r="37" spans="1:29" s="249" customFormat="1" ht="15">
      <c r="A37" s="366" t="s">
        <v>138</v>
      </c>
      <c r="B37" s="367"/>
      <c r="C37" s="368"/>
      <c r="D37" s="283">
        <v>100</v>
      </c>
      <c r="E37" s="368"/>
      <c r="F37" s="369">
        <f>SUMIF(102:102,E37,103:103)-SUMIF(102:102,C37,103:103)+100</f>
        <v>100</v>
      </c>
      <c r="G37" s="368"/>
      <c r="H37" s="369">
        <f>SUMIF(102:102,G37,103:103)-SUMIF(102:102,C37,103:103)+100</f>
        <v>100</v>
      </c>
      <c r="I37" s="368"/>
      <c r="J37" s="369">
        <f>SUMIF(102:102,I37,103:103)-SUMIF(102:102,C37,103:103)+100</f>
        <v>100</v>
      </c>
      <c r="K37" s="440"/>
      <c r="L37" s="450"/>
      <c r="M37" s="461"/>
      <c r="N37" s="461"/>
      <c r="O37" s="462"/>
      <c r="P37" s="1749"/>
      <c r="Q37" s="445">
        <f t="shared" si="8"/>
        <v>0</v>
      </c>
      <c r="R37" s="503" t="s">
        <v>1130</v>
      </c>
      <c r="S37" s="504">
        <f t="shared" si="10"/>
        <v>100</v>
      </c>
      <c r="T37" s="503" t="s">
        <v>1130</v>
      </c>
      <c r="U37" s="504">
        <f t="shared" si="11"/>
        <v>100</v>
      </c>
      <c r="V37" s="503" t="s">
        <v>1130</v>
      </c>
      <c r="W37" s="504">
        <f t="shared" si="12"/>
        <v>100</v>
      </c>
      <c r="X37" s="505"/>
      <c r="Y37" s="1749"/>
      <c r="Z37" s="510">
        <f t="shared" si="13"/>
        <v>0</v>
      </c>
      <c r="AA37" s="495">
        <f t="shared" si="3"/>
        <v>1</v>
      </c>
      <c r="AB37" s="495">
        <f t="shared" si="4"/>
        <v>1</v>
      </c>
      <c r="AC37" s="495">
        <f t="shared" si="5"/>
        <v>1</v>
      </c>
    </row>
    <row r="38" spans="1:29" ht="15" hidden="1">
      <c r="A38" s="370" t="s">
        <v>1149</v>
      </c>
      <c r="B38" s="318" t="s">
        <v>1150</v>
      </c>
      <c r="C38" s="371"/>
      <c r="D38" s="316">
        <v>100</v>
      </c>
      <c r="E38" s="330"/>
      <c r="F38" s="316">
        <f>LOOKUP(E38,105:105,106:106)-LOOKUP(C38,105:105,106:106)+100</f>
        <v>100</v>
      </c>
      <c r="G38" s="330"/>
      <c r="H38" s="316">
        <f>LOOKUP(G38,105:105,106:106)-LOOKUP(C38,105:105,106:106)+100</f>
        <v>100</v>
      </c>
      <c r="I38" s="330"/>
      <c r="J38" s="316">
        <f>LOOKUP(I38,105:105,106:106)-LOOKUP(C38,105:105,106:106)+100</f>
        <v>100</v>
      </c>
      <c r="K38" s="440"/>
      <c r="L38" s="453"/>
      <c r="M38" s="396"/>
      <c r="N38" s="396"/>
      <c r="O38" s="451"/>
      <c r="P38" s="1749"/>
      <c r="Q38" s="445" t="str">
        <f t="shared" si="8"/>
        <v>宗地面积</v>
      </c>
      <c r="R38" s="501" t="s">
        <v>1130</v>
      </c>
      <c r="S38" s="502">
        <f t="shared" si="10"/>
        <v>100</v>
      </c>
      <c r="T38" s="501" t="s">
        <v>1130</v>
      </c>
      <c r="U38" s="502">
        <f t="shared" si="11"/>
        <v>100</v>
      </c>
      <c r="V38" s="501" t="s">
        <v>1130</v>
      </c>
      <c r="W38" s="502">
        <f t="shared" si="12"/>
        <v>100</v>
      </c>
      <c r="X38" s="496"/>
      <c r="Y38" s="1749"/>
      <c r="Z38" s="495" t="str">
        <f t="shared" si="13"/>
        <v>宗地面积</v>
      </c>
      <c r="AA38" s="495">
        <f t="shared" si="3"/>
        <v>1</v>
      </c>
      <c r="AB38" s="495">
        <f t="shared" si="4"/>
        <v>1</v>
      </c>
      <c r="AC38" s="495">
        <f t="shared" si="5"/>
        <v>1</v>
      </c>
    </row>
    <row r="39" spans="1:29" ht="15" hidden="1">
      <c r="A39" s="372"/>
      <c r="B39" s="300" t="s">
        <v>1151</v>
      </c>
      <c r="C39" s="373"/>
      <c r="D39" s="355">
        <v>100</v>
      </c>
      <c r="E39" s="373"/>
      <c r="F39" s="355">
        <f>SUMIF(107:107,E39,108:108)-SUMIF(107:107,C39,108:108)+100</f>
        <v>100</v>
      </c>
      <c r="G39" s="373"/>
      <c r="H39" s="355">
        <f>SUMIF(107:107,G39,108:108)-SUMIF(107:107,C39,108:108)+100</f>
        <v>100</v>
      </c>
      <c r="I39" s="373"/>
      <c r="J39" s="355">
        <f>SUMIF(107:107,I39,108:108)-SUMIF(107:107,C39,108:108)+100</f>
        <v>100</v>
      </c>
      <c r="K39" s="440"/>
      <c r="L39" s="453"/>
      <c r="M39" s="396"/>
      <c r="N39" s="396"/>
      <c r="O39" s="451"/>
      <c r="P39" s="1749"/>
      <c r="Q39" s="445" t="str">
        <f t="shared" ref="Q39:Q45" si="14">B39</f>
        <v>宗地形状</v>
      </c>
      <c r="R39" s="501" t="s">
        <v>1130</v>
      </c>
      <c r="S39" s="502">
        <f t="shared" si="10"/>
        <v>100</v>
      </c>
      <c r="T39" s="501" t="s">
        <v>1130</v>
      </c>
      <c r="U39" s="502">
        <f t="shared" si="11"/>
        <v>100</v>
      </c>
      <c r="V39" s="501" t="s">
        <v>1130</v>
      </c>
      <c r="W39" s="502">
        <f t="shared" si="12"/>
        <v>100</v>
      </c>
      <c r="X39" s="496"/>
      <c r="Y39" s="1749"/>
      <c r="Z39" s="495" t="str">
        <f t="shared" si="13"/>
        <v>宗地形状</v>
      </c>
      <c r="AA39" s="495">
        <f t="shared" si="3"/>
        <v>1</v>
      </c>
      <c r="AB39" s="495">
        <f t="shared" si="4"/>
        <v>1</v>
      </c>
      <c r="AC39" s="495">
        <f t="shared" si="5"/>
        <v>1</v>
      </c>
    </row>
    <row r="40" spans="1:29" ht="15" hidden="1">
      <c r="A40" s="372"/>
      <c r="B40" s="300" t="s">
        <v>1152</v>
      </c>
      <c r="C40" s="373"/>
      <c r="D40" s="355">
        <v>100</v>
      </c>
      <c r="E40" s="373"/>
      <c r="F40" s="355">
        <f>SUMIF(109:109,E40,110:110)-SUMIF(109:109,C40,110:110)+100</f>
        <v>100</v>
      </c>
      <c r="G40" s="373"/>
      <c r="H40" s="355">
        <f>SUMIF(109:109,G40,110:110)-SUMIF(109:109,C40,110:110)+100</f>
        <v>100</v>
      </c>
      <c r="I40" s="373"/>
      <c r="J40" s="355">
        <f>SUMIF(109:109,I40,110:110)-SUMIF(109:109,C40,110:110)+100</f>
        <v>100</v>
      </c>
      <c r="K40" s="440"/>
      <c r="L40" s="453"/>
      <c r="M40" s="396"/>
      <c r="N40" s="396"/>
      <c r="O40" s="451"/>
      <c r="P40" s="1749"/>
      <c r="Q40" s="445" t="str">
        <f t="shared" si="14"/>
        <v>临街宽度及深度</v>
      </c>
      <c r="R40" s="501" t="s">
        <v>1130</v>
      </c>
      <c r="S40" s="502">
        <f t="shared" si="10"/>
        <v>100</v>
      </c>
      <c r="T40" s="501" t="s">
        <v>1130</v>
      </c>
      <c r="U40" s="502">
        <f t="shared" si="11"/>
        <v>100</v>
      </c>
      <c r="V40" s="501" t="s">
        <v>1130</v>
      </c>
      <c r="W40" s="502">
        <f t="shared" si="12"/>
        <v>100</v>
      </c>
      <c r="X40" s="496"/>
      <c r="Y40" s="1749"/>
      <c r="Z40" s="495" t="str">
        <f t="shared" si="13"/>
        <v>临街宽度及深度</v>
      </c>
      <c r="AA40" s="495">
        <f t="shared" si="3"/>
        <v>1</v>
      </c>
      <c r="AB40" s="495">
        <f t="shared" si="4"/>
        <v>1</v>
      </c>
      <c r="AC40" s="495">
        <f t="shared" si="5"/>
        <v>1</v>
      </c>
    </row>
    <row r="41" spans="1:29" s="247" customFormat="1" ht="15" hidden="1">
      <c r="A41" s="372"/>
      <c r="B41" s="300" t="s">
        <v>1153</v>
      </c>
      <c r="C41" s="374"/>
      <c r="D41" s="300">
        <v>100</v>
      </c>
      <c r="E41" s="374"/>
      <c r="F41" s="355">
        <f>SUMIF(111:111,E41,112:112)-SUMIF(111:111,C41,112:112)+100</f>
        <v>100</v>
      </c>
      <c r="G41" s="374"/>
      <c r="H41" s="355">
        <f>SUMIF(111:111,G41,112:112)-SUMIF(111:111,C41,112:112)+100</f>
        <v>100</v>
      </c>
      <c r="I41" s="374"/>
      <c r="J41" s="355">
        <f>SUMIF(111:111,I41,112:112)-SUMIF(111:111,C41,112:112)+100</f>
        <v>100</v>
      </c>
      <c r="K41" s="440"/>
      <c r="L41" s="443"/>
      <c r="M41" s="441"/>
      <c r="N41" s="441"/>
      <c r="O41" s="444"/>
      <c r="P41" s="1749"/>
      <c r="Q41" s="445" t="str">
        <f t="shared" si="14"/>
        <v>宗地内开发程度</v>
      </c>
      <c r="R41" s="497" t="s">
        <v>1130</v>
      </c>
      <c r="S41" s="498">
        <f t="shared" si="10"/>
        <v>100</v>
      </c>
      <c r="T41" s="497" t="s">
        <v>1130</v>
      </c>
      <c r="U41" s="498">
        <f t="shared" si="11"/>
        <v>100</v>
      </c>
      <c r="V41" s="497" t="s">
        <v>1130</v>
      </c>
      <c r="W41" s="498">
        <f t="shared" si="12"/>
        <v>100</v>
      </c>
      <c r="X41" s="499"/>
      <c r="Y41" s="1749"/>
      <c r="Z41" s="509" t="str">
        <f t="shared" si="13"/>
        <v>宗地内开发程度</v>
      </c>
      <c r="AA41" s="509">
        <f t="shared" si="3"/>
        <v>1</v>
      </c>
      <c r="AB41" s="509">
        <f t="shared" si="4"/>
        <v>1</v>
      </c>
      <c r="AC41" s="509">
        <f t="shared" si="5"/>
        <v>1</v>
      </c>
    </row>
    <row r="42" spans="1:29" ht="15" hidden="1">
      <c r="A42" s="372"/>
      <c r="B42" s="300" t="s">
        <v>1154</v>
      </c>
      <c r="C42" s="373"/>
      <c r="D42" s="355">
        <v>100</v>
      </c>
      <c r="E42" s="373"/>
      <c r="F42" s="355">
        <f>SUMIF(113:113,E42,114:114)-SUMIF(113:113,C42,114:114)+100</f>
        <v>100</v>
      </c>
      <c r="G42" s="373"/>
      <c r="H42" s="355">
        <f>SUMIF(113:113,G42,114:114)-SUMIF(113:113,C42,114:114)+100</f>
        <v>100</v>
      </c>
      <c r="I42" s="373"/>
      <c r="J42" s="355">
        <f>SUMIF(113:113,I42,114:114)-SUMIF(113:113,C42,114:114)+100</f>
        <v>100</v>
      </c>
      <c r="K42" s="440"/>
      <c r="L42" s="453"/>
      <c r="M42" s="396"/>
      <c r="N42" s="396"/>
      <c r="O42" s="451"/>
      <c r="P42" s="1749" t="s">
        <v>1148</v>
      </c>
      <c r="Q42" s="445" t="str">
        <f t="shared" si="14"/>
        <v>工程地质条件</v>
      </c>
      <c r="R42" s="501" t="s">
        <v>1130</v>
      </c>
      <c r="S42" s="502">
        <f t="shared" si="10"/>
        <v>100</v>
      </c>
      <c r="T42" s="501" t="s">
        <v>1130</v>
      </c>
      <c r="U42" s="502">
        <f t="shared" si="11"/>
        <v>100</v>
      </c>
      <c r="V42" s="501" t="s">
        <v>1130</v>
      </c>
      <c r="W42" s="502">
        <f t="shared" si="12"/>
        <v>100</v>
      </c>
      <c r="X42" s="496"/>
      <c r="Y42" s="1749" t="s">
        <v>1148</v>
      </c>
      <c r="Z42" s="495" t="str">
        <f t="shared" si="13"/>
        <v>工程地质条件</v>
      </c>
      <c r="AA42" s="495">
        <f t="shared" si="3"/>
        <v>1</v>
      </c>
      <c r="AB42" s="495">
        <f t="shared" si="4"/>
        <v>1</v>
      </c>
      <c r="AC42" s="495">
        <f t="shared" si="5"/>
        <v>1</v>
      </c>
    </row>
    <row r="43" spans="1:29" ht="15" hidden="1">
      <c r="A43" s="372"/>
      <c r="B43" s="375">
        <v>111</v>
      </c>
      <c r="C43" s="277"/>
      <c r="D43" s="355">
        <v>100</v>
      </c>
      <c r="E43" s="277"/>
      <c r="F43" s="355">
        <f>SUMIF(115:115,E43,116:116)-SUMIF(115:115,C43,116:116)+100</f>
        <v>100</v>
      </c>
      <c r="G43" s="277"/>
      <c r="H43" s="355">
        <f>SUMIF(115:115,G43,116:116)-SUMIF(115:115,C43,116:116)+100</f>
        <v>100</v>
      </c>
      <c r="I43" s="277"/>
      <c r="J43" s="355">
        <f>SUMIF(115:115,I43,116:116)-SUMIF(115:115,C43,116:116)+100</f>
        <v>100</v>
      </c>
      <c r="K43" s="440"/>
      <c r="L43" s="453"/>
      <c r="M43" s="396"/>
      <c r="N43" s="396"/>
      <c r="O43" s="451"/>
      <c r="P43" s="1749"/>
      <c r="Q43" s="445">
        <f t="shared" si="14"/>
        <v>111</v>
      </c>
      <c r="R43" s="501" t="s">
        <v>1130</v>
      </c>
      <c r="S43" s="502">
        <f t="shared" si="10"/>
        <v>100</v>
      </c>
      <c r="T43" s="501" t="s">
        <v>1130</v>
      </c>
      <c r="U43" s="502">
        <f t="shared" si="11"/>
        <v>100</v>
      </c>
      <c r="V43" s="501" t="s">
        <v>1130</v>
      </c>
      <c r="W43" s="502">
        <f t="shared" si="12"/>
        <v>100</v>
      </c>
      <c r="X43" s="496"/>
      <c r="Y43" s="1749"/>
      <c r="Z43" s="495">
        <f t="shared" si="13"/>
        <v>111</v>
      </c>
      <c r="AA43" s="495">
        <f t="shared" si="3"/>
        <v>1</v>
      </c>
      <c r="AB43" s="495">
        <f t="shared" si="4"/>
        <v>1</v>
      </c>
      <c r="AC43" s="495">
        <f t="shared" si="5"/>
        <v>1</v>
      </c>
    </row>
    <row r="44" spans="1:29" ht="15" hidden="1">
      <c r="A44" s="372"/>
      <c r="B44" s="375">
        <v>111</v>
      </c>
      <c r="C44" s="277"/>
      <c r="D44" s="355">
        <v>100</v>
      </c>
      <c r="E44" s="277"/>
      <c r="F44" s="355">
        <f>SUMIF(117:117,E44,118:118)-SUMIF(117:117,C44,118:118)+100</f>
        <v>100</v>
      </c>
      <c r="G44" s="277"/>
      <c r="H44" s="355">
        <f>SUMIF(117:117,G44,118:118)-SUMIF(117:117,C44,118:118)+100</f>
        <v>100</v>
      </c>
      <c r="I44" s="277"/>
      <c r="J44" s="355">
        <f>SUMIF(117:117,I44,118:118)-SUMIF(117:117,C44,118:118)+100</f>
        <v>100</v>
      </c>
      <c r="K44" s="440"/>
      <c r="L44" s="453"/>
      <c r="M44" s="396"/>
      <c r="N44" s="396"/>
      <c r="O44" s="451"/>
      <c r="P44" s="1749"/>
      <c r="Q44" s="445">
        <f t="shared" si="14"/>
        <v>111</v>
      </c>
      <c r="R44" s="501" t="s">
        <v>1130</v>
      </c>
      <c r="S44" s="502">
        <f t="shared" si="10"/>
        <v>100</v>
      </c>
      <c r="T44" s="501" t="s">
        <v>1130</v>
      </c>
      <c r="U44" s="502">
        <f t="shared" si="11"/>
        <v>100</v>
      </c>
      <c r="V44" s="501" t="s">
        <v>1130</v>
      </c>
      <c r="W44" s="502">
        <f t="shared" si="12"/>
        <v>100</v>
      </c>
      <c r="X44" s="496"/>
      <c r="Y44" s="1749"/>
      <c r="Z44" s="495">
        <f t="shared" si="13"/>
        <v>111</v>
      </c>
      <c r="AA44" s="495">
        <f t="shared" si="3"/>
        <v>1</v>
      </c>
      <c r="AB44" s="495">
        <f t="shared" si="4"/>
        <v>1</v>
      </c>
      <c r="AC44" s="495">
        <f t="shared" si="5"/>
        <v>1</v>
      </c>
    </row>
    <row r="45" spans="1:29" s="249" customFormat="1" ht="15">
      <c r="A45" s="376" t="s">
        <v>1155</v>
      </c>
      <c r="B45" s="377"/>
      <c r="C45" s="368"/>
      <c r="D45" s="378">
        <v>100</v>
      </c>
      <c r="E45" s="368"/>
      <c r="F45" s="323">
        <f>SUMIF(119:119,E45,120:120)-SUMIF(119:119,C45,120:120)+100</f>
        <v>100</v>
      </c>
      <c r="G45" s="368"/>
      <c r="H45" s="323">
        <f>SUMIF(119:119,G45,120:120)-SUMIF(119:119,C45,120:120)+100</f>
        <v>100</v>
      </c>
      <c r="I45" s="368"/>
      <c r="J45" s="323">
        <f>SUMIF(119:119,I45,120:120)-SUMIF(119:119,C45,120:120)+100</f>
        <v>100</v>
      </c>
      <c r="K45" s="440"/>
      <c r="L45" s="450"/>
      <c r="M45" s="461"/>
      <c r="N45" s="461"/>
      <c r="O45" s="462"/>
      <c r="P45" s="1749"/>
      <c r="Q45" s="445">
        <f t="shared" si="14"/>
        <v>0</v>
      </c>
      <c r="R45" s="503" t="s">
        <v>1130</v>
      </c>
      <c r="S45" s="504">
        <f t="shared" si="10"/>
        <v>100</v>
      </c>
      <c r="T45" s="503" t="s">
        <v>1130</v>
      </c>
      <c r="U45" s="504">
        <f t="shared" si="11"/>
        <v>100</v>
      </c>
      <c r="V45" s="503" t="s">
        <v>1130</v>
      </c>
      <c r="W45" s="504">
        <f t="shared" si="12"/>
        <v>100</v>
      </c>
      <c r="X45" s="505"/>
      <c r="Y45" s="1749"/>
      <c r="Z45" s="510">
        <f t="shared" si="13"/>
        <v>0</v>
      </c>
      <c r="AA45" s="495">
        <f t="shared" si="3"/>
        <v>1</v>
      </c>
      <c r="AB45" s="495">
        <f t="shared" si="4"/>
        <v>1</v>
      </c>
      <c r="AC45" s="495">
        <f t="shared" si="5"/>
        <v>1</v>
      </c>
    </row>
    <row r="46" spans="1:29" ht="15">
      <c r="A46" s="379" t="s">
        <v>1156</v>
      </c>
      <c r="B46" s="380" t="s">
        <v>1157</v>
      </c>
      <c r="C46" s="381" t="s">
        <v>48</v>
      </c>
      <c r="D46" s="382"/>
      <c r="E46" s="383"/>
      <c r="F46" s="384"/>
      <c r="G46" s="385"/>
      <c r="H46" s="386"/>
      <c r="I46" s="383"/>
      <c r="J46" s="386"/>
      <c r="K46" s="463"/>
      <c r="L46" s="464"/>
      <c r="M46" s="396"/>
      <c r="N46" s="396"/>
      <c r="O46" s="396"/>
      <c r="P46" s="1744" t="str">
        <f>A46</f>
        <v>成交单价</v>
      </c>
      <c r="Q46" s="1744"/>
      <c r="R46" s="1745">
        <f>E46</f>
        <v>0</v>
      </c>
      <c r="S46" s="1745"/>
      <c r="T46" s="1745">
        <f>G46</f>
        <v>0</v>
      </c>
      <c r="U46" s="1745"/>
      <c r="V46" s="1745">
        <f>I46</f>
        <v>0</v>
      </c>
      <c r="W46" s="1745"/>
      <c r="X46" s="331"/>
      <c r="Y46" s="511"/>
      <c r="Z46" s="331"/>
      <c r="AA46" s="331"/>
      <c r="AB46" s="331"/>
      <c r="AC46" s="331"/>
    </row>
    <row r="47" spans="1:29" ht="15">
      <c r="A47" s="387" t="s">
        <v>1158</v>
      </c>
      <c r="B47" s="388"/>
      <c r="C47" s="389" t="e">
        <f>R48</f>
        <v>#DIV/0!</v>
      </c>
      <c r="D47" s="390"/>
      <c r="E47" s="389" t="e">
        <f>R47</f>
        <v>#DIV/0!</v>
      </c>
      <c r="F47" s="391"/>
      <c r="G47" s="392" t="e">
        <f>T47</f>
        <v>#DIV/0!</v>
      </c>
      <c r="H47" s="390"/>
      <c r="I47" s="389" t="e">
        <f>V47</f>
        <v>#DIV/0!</v>
      </c>
      <c r="J47" s="390"/>
      <c r="K47" s="465"/>
      <c r="L47" s="464"/>
      <c r="M47" s="396"/>
      <c r="N47" s="396"/>
      <c r="O47" s="396"/>
      <c r="P47" s="1744" t="str">
        <f>A47</f>
        <v>比较价值（元/平方米）</v>
      </c>
      <c r="Q47" s="1744"/>
      <c r="R47" s="1751" t="e">
        <f>ROUND(PRODUCT(R46,AA7:AA45),0)</f>
        <v>#DIV/0!</v>
      </c>
      <c r="S47" s="1751"/>
      <c r="T47" s="1751" t="e">
        <f>ROUND(PRODUCT(T46,AB7:AB45),0)</f>
        <v>#DIV/0!</v>
      </c>
      <c r="U47" s="1751"/>
      <c r="V47" s="1751" t="e">
        <f>ROUND(PRODUCT(V46,AC7:AC45),0)</f>
        <v>#DIV/0!</v>
      </c>
      <c r="W47" s="1751"/>
      <c r="X47" s="331"/>
      <c r="Y47" s="331"/>
      <c r="Z47" s="331"/>
      <c r="AA47" s="331"/>
      <c r="AB47" s="331"/>
      <c r="AC47" s="331"/>
    </row>
    <row r="48" spans="1:29" ht="15">
      <c r="A48" s="393" t="str">
        <f>"估价对象比较价值（"&amp;B46&amp;"，元/平方米）"</f>
        <v>估价对象比较价值（单价内涵，元/平方米）</v>
      </c>
      <c r="B48" s="394"/>
      <c r="C48" s="395" t="e">
        <f>R48</f>
        <v>#DIV/0!</v>
      </c>
      <c r="D48" s="395"/>
      <c r="E48" s="395"/>
      <c r="F48" s="395"/>
      <c r="G48" s="395"/>
      <c r="H48" s="395"/>
      <c r="I48" s="395"/>
      <c r="J48" s="395"/>
      <c r="K48" s="466"/>
      <c r="L48" s="464"/>
      <c r="M48" s="396"/>
      <c r="N48" s="396"/>
      <c r="O48" s="396"/>
      <c r="P48" s="1752" t="str">
        <f>A48</f>
        <v>估价对象比较价值（单价内涵，元/平方米）</v>
      </c>
      <c r="Q48" s="1753"/>
      <c r="R48" s="1754" t="e">
        <f>ROUND(AVERAGE(R47:V47),0)</f>
        <v>#DIV/0!</v>
      </c>
      <c r="S48" s="1754"/>
      <c r="T48" s="1754"/>
      <c r="U48" s="1754"/>
      <c r="V48" s="1754"/>
      <c r="W48" s="1754"/>
      <c r="X48" s="331"/>
      <c r="Y48" s="331"/>
      <c r="Z48" s="331"/>
      <c r="AA48" s="331"/>
      <c r="AB48" s="331"/>
      <c r="AC48" s="331"/>
    </row>
    <row r="49" spans="1:17">
      <c r="A49" s="396"/>
      <c r="B49" s="396"/>
      <c r="C49" s="396"/>
      <c r="D49" s="396"/>
      <c r="E49" s="396"/>
      <c r="F49" s="396"/>
      <c r="G49" s="397"/>
      <c r="H49" s="396"/>
      <c r="I49" s="396"/>
      <c r="J49" s="396"/>
      <c r="K49" s="468"/>
      <c r="L49" s="469"/>
      <c r="M49" s="396"/>
      <c r="N49" s="396"/>
      <c r="O49" s="396"/>
    </row>
    <row r="50" spans="1:17">
      <c r="A50" s="396"/>
      <c r="B50" s="396"/>
      <c r="C50" s="396"/>
      <c r="D50" s="396"/>
      <c r="E50" s="396"/>
      <c r="F50" s="396"/>
      <c r="G50" s="396"/>
      <c r="H50" s="396"/>
      <c r="I50" s="396"/>
      <c r="J50" s="396"/>
      <c r="K50" s="468"/>
      <c r="L50" s="469"/>
      <c r="M50" s="396"/>
      <c r="N50" s="396"/>
      <c r="O50" s="396"/>
    </row>
    <row r="51" spans="1:17" ht="13.5" customHeight="1">
      <c r="A51" s="396"/>
      <c r="B51" s="396"/>
      <c r="C51" s="398" t="s">
        <v>1159</v>
      </c>
      <c r="D51" s="399"/>
      <c r="E51" s="400" t="e">
        <f>IF(E46&lt;E47,E47/E46-1,E46/E47-1)</f>
        <v>#DIV/0!</v>
      </c>
      <c r="F51" s="401" t="e">
        <f>IF(OR(E51&gt;=0.3,E51&lt;=-0.3),"超过30%","")</f>
        <v>#DIV/0!</v>
      </c>
      <c r="G51" s="400" t="e">
        <f>IF(G46&lt;G47,G47/G46-1,G46/G47-1)</f>
        <v>#DIV/0!</v>
      </c>
      <c r="H51" s="401" t="e">
        <f>IF(OR(G51&gt;=0.3,G51&lt;=-0.3),"超过30%","")</f>
        <v>#DIV/0!</v>
      </c>
      <c r="I51" s="400" t="e">
        <f>IF(I46&lt;I47,I47/I46-1,I46/I47-1)</f>
        <v>#DIV/0!</v>
      </c>
      <c r="J51" s="401" t="e">
        <f>IF(OR(I51&gt;=0.3,I51&lt;=-0.3),"超过30%","")</f>
        <v>#DIV/0!</v>
      </c>
      <c r="K51" s="468"/>
      <c r="L51" s="469"/>
      <c r="M51" s="396"/>
      <c r="N51" s="396"/>
      <c r="O51" s="396"/>
    </row>
    <row r="52" spans="1:17" ht="13.5" customHeight="1">
      <c r="A52" s="396"/>
      <c r="B52" s="396"/>
      <c r="C52" s="398" t="s">
        <v>1160</v>
      </c>
      <c r="D52" s="402"/>
      <c r="E52" s="400" t="e">
        <f>IF(E47&lt;G47,G47/E47-1,E47/G47-1)</f>
        <v>#DIV/0!</v>
      </c>
      <c r="F52" s="401" t="e">
        <f>IF(OR(E52&gt;=0.2,E52&lt;=-0.2),"超过20%","")</f>
        <v>#DIV/0!</v>
      </c>
      <c r="G52" s="400" t="e">
        <f>IF(G47&lt;I47,I47/G47-1,G47/I47-1)</f>
        <v>#DIV/0!</v>
      </c>
      <c r="H52" s="401" t="e">
        <f>IF(OR(G52&gt;=0.2,G52&lt;=-0.2),"超过20%","")</f>
        <v>#DIV/0!</v>
      </c>
      <c r="I52" s="400" t="e">
        <f>IF(I47&lt;E47,E47/I47-1,I47/E47-1)</f>
        <v>#DIV/0!</v>
      </c>
      <c r="J52" s="401" t="e">
        <f>IF(OR(I52&gt;=0.2,I52&lt;=-0.2),"超过20%","")</f>
        <v>#DIV/0!</v>
      </c>
      <c r="K52" s="468"/>
      <c r="L52" s="469"/>
      <c r="M52" s="396"/>
      <c r="N52" s="396"/>
      <c r="O52" s="396"/>
    </row>
    <row r="53" spans="1:17" s="250" customFormat="1" ht="13.5" customHeight="1">
      <c r="A53" s="403"/>
      <c r="B53" s="403"/>
      <c r="C53" s="398" t="s">
        <v>1161</v>
      </c>
      <c r="D53" s="402"/>
      <c r="E53" s="400" t="e">
        <f>IF(E46&lt;G46,G46/E46-1,E46/G46-1)</f>
        <v>#DIV/0!</v>
      </c>
      <c r="F53" s="401" t="e">
        <f>IF(OR(E53&gt;=0.3,E53&lt;=-0.3),"超过30%","")</f>
        <v>#DIV/0!</v>
      </c>
      <c r="G53" s="400" t="e">
        <f>IF(G46&lt;I46,I46/G46-1,G46/I46-1)</f>
        <v>#DIV/0!</v>
      </c>
      <c r="H53" s="401" t="e">
        <f>IF(OR(G53&gt;=0.3,G53&lt;=-0.3),"超过30%","")</f>
        <v>#DIV/0!</v>
      </c>
      <c r="I53" s="400" t="e">
        <f>IF(I46&lt;E46,E46/I46-1,I46/E46-1)</f>
        <v>#DIV/0!</v>
      </c>
      <c r="J53" s="401" t="e">
        <f>IF(OR(I53&gt;=0.3,I53&lt;=-0.3),"超过30%","")</f>
        <v>#DIV/0!</v>
      </c>
      <c r="K53" s="470"/>
      <c r="L53" s="471"/>
      <c r="M53" s="403"/>
      <c r="N53" s="403"/>
      <c r="O53" s="403"/>
    </row>
    <row r="54" spans="1:17" s="250" customFormat="1">
      <c r="A54" s="403"/>
      <c r="B54" s="404"/>
      <c r="C54" s="405"/>
      <c r="D54" s="406"/>
      <c r="E54" s="406"/>
      <c r="F54" s="406"/>
      <c r="G54" s="406"/>
      <c r="H54" s="406"/>
      <c r="I54" s="406"/>
      <c r="J54" s="406"/>
      <c r="K54" s="470"/>
      <c r="L54" s="471"/>
      <c r="M54" s="403"/>
      <c r="N54" s="403"/>
      <c r="O54" s="403"/>
    </row>
    <row r="55" spans="1:17">
      <c r="A55" s="396"/>
      <c r="B55" s="404"/>
      <c r="C55" s="407"/>
      <c r="D55" s="396"/>
      <c r="E55" s="396"/>
      <c r="F55" s="396"/>
      <c r="G55" s="396"/>
      <c r="H55" s="396"/>
      <c r="I55" s="396"/>
      <c r="J55" s="396"/>
      <c r="K55" s="468"/>
      <c r="L55" s="469"/>
      <c r="M55" s="396"/>
      <c r="N55" s="396"/>
      <c r="O55" s="396"/>
    </row>
    <row r="56" spans="1:17">
      <c r="A56" s="396"/>
      <c r="B56" s="404"/>
      <c r="C56" s="405" t="str">
        <f>YEAR(C7)&amp;"-"&amp;MONTH(C7)&amp;"-1"</f>
        <v>2003-10-1</v>
      </c>
      <c r="D56" s="408">
        <f>EDATE(C56,-3)</f>
        <v>37803</v>
      </c>
      <c r="E56" s="408">
        <f t="shared" ref="E56:O56" si="15">EDATE(D56,-3)</f>
        <v>37712</v>
      </c>
      <c r="F56" s="408">
        <f t="shared" si="15"/>
        <v>37622</v>
      </c>
      <c r="G56" s="408">
        <f t="shared" si="15"/>
        <v>37530</v>
      </c>
      <c r="H56" s="408">
        <f t="shared" si="15"/>
        <v>37438</v>
      </c>
      <c r="I56" s="408">
        <f t="shared" si="15"/>
        <v>37347</v>
      </c>
      <c r="J56" s="408">
        <f t="shared" si="15"/>
        <v>37257</v>
      </c>
      <c r="K56" s="408">
        <f t="shared" si="15"/>
        <v>37165</v>
      </c>
      <c r="L56" s="408">
        <f t="shared" si="15"/>
        <v>37073</v>
      </c>
      <c r="M56" s="408">
        <f t="shared" si="15"/>
        <v>36982</v>
      </c>
      <c r="N56" s="408">
        <f t="shared" si="15"/>
        <v>36892</v>
      </c>
      <c r="O56" s="408">
        <f t="shared" si="15"/>
        <v>36800</v>
      </c>
    </row>
    <row r="57" spans="1:17" ht="21">
      <c r="A57" s="409" t="s">
        <v>1162</v>
      </c>
      <c r="B57" s="410"/>
      <c r="C57" s="411"/>
      <c r="D57" s="411"/>
      <c r="E57" s="411"/>
      <c r="F57" s="412"/>
      <c r="G57" s="412"/>
      <c r="H57" s="411"/>
      <c r="I57" s="472"/>
      <c r="J57" s="472"/>
      <c r="K57" s="473"/>
      <c r="L57" s="474"/>
      <c r="M57" s="472"/>
      <c r="N57" s="475"/>
      <c r="O57" s="475"/>
      <c r="P57" s="476"/>
      <c r="Q57" s="487"/>
    </row>
    <row r="58" spans="1:17" s="251" customFormat="1" ht="15">
      <c r="A58" s="413" t="s">
        <v>1128</v>
      </c>
      <c r="B58" s="414"/>
      <c r="C58" s="415" t="str">
        <f>YEAR(C56)&amp;"-"&amp;ROUNDUP(MONTH(C56)/3,0)</f>
        <v>2003-4</v>
      </c>
      <c r="D58" s="415" t="str">
        <f t="shared" ref="D58:O58" si="16">YEAR(D56)&amp;"-"&amp;ROUNDUP(MONTH(D56)/3,0)</f>
        <v>2003-3</v>
      </c>
      <c r="E58" s="415" t="str">
        <f t="shared" si="16"/>
        <v>2003-2</v>
      </c>
      <c r="F58" s="415" t="str">
        <f t="shared" si="16"/>
        <v>2003-1</v>
      </c>
      <c r="G58" s="415" t="str">
        <f t="shared" si="16"/>
        <v>2002-4</v>
      </c>
      <c r="H58" s="415" t="str">
        <f t="shared" si="16"/>
        <v>2002-3</v>
      </c>
      <c r="I58" s="415" t="str">
        <f t="shared" si="16"/>
        <v>2002-2</v>
      </c>
      <c r="J58" s="415" t="str">
        <f t="shared" si="16"/>
        <v>2002-1</v>
      </c>
      <c r="K58" s="415" t="str">
        <f t="shared" si="16"/>
        <v>2001-4</v>
      </c>
      <c r="L58" s="415" t="str">
        <f t="shared" si="16"/>
        <v>2001-3</v>
      </c>
      <c r="M58" s="415" t="str">
        <f t="shared" si="16"/>
        <v>2001-2</v>
      </c>
      <c r="N58" s="415" t="str">
        <f t="shared" si="16"/>
        <v>2001-1</v>
      </c>
      <c r="O58" s="415" t="str">
        <f t="shared" si="16"/>
        <v>2000-4</v>
      </c>
    </row>
    <row r="59" spans="1:17" s="252" customFormat="1" ht="15">
      <c r="A59" s="351"/>
      <c r="B59" s="416"/>
      <c r="C59" s="417">
        <v>100</v>
      </c>
      <c r="D59" s="418"/>
      <c r="E59" s="418"/>
      <c r="F59" s="418"/>
      <c r="G59" s="418"/>
      <c r="H59" s="418"/>
      <c r="I59" s="418"/>
      <c r="J59" s="418"/>
      <c r="K59" s="418"/>
      <c r="L59" s="418"/>
      <c r="M59" s="477"/>
      <c r="N59" s="418"/>
      <c r="O59" s="478"/>
      <c r="P59" s="479"/>
    </row>
    <row r="60" spans="1:17" s="252" customFormat="1" ht="15">
      <c r="A60" s="419" t="s">
        <v>1163</v>
      </c>
      <c r="B60" s="420"/>
      <c r="C60" s="421"/>
      <c r="D60" s="422"/>
      <c r="E60" s="422"/>
      <c r="F60" s="422"/>
      <c r="G60" s="422"/>
      <c r="H60" s="422"/>
      <c r="I60" s="422"/>
      <c r="J60" s="422"/>
      <c r="K60" s="422"/>
      <c r="L60" s="422"/>
      <c r="M60" s="480"/>
      <c r="N60" s="422"/>
      <c r="O60" s="481"/>
      <c r="P60" s="479"/>
      <c r="Q60" s="479"/>
    </row>
    <row r="61" spans="1:17" s="247" customFormat="1" ht="15">
      <c r="A61" s="423" t="s">
        <v>1131</v>
      </c>
      <c r="B61" s="416"/>
      <c r="C61" s="424" t="s">
        <v>1164</v>
      </c>
      <c r="D61" s="425"/>
      <c r="E61" s="425"/>
      <c r="F61" s="425"/>
      <c r="G61" s="425"/>
      <c r="H61" s="425"/>
      <c r="I61" s="425"/>
      <c r="J61" s="425"/>
      <c r="K61" s="425"/>
      <c r="L61" s="482"/>
      <c r="M61" s="483"/>
      <c r="N61" s="484"/>
      <c r="O61" s="484"/>
      <c r="P61" s="485"/>
      <c r="Q61" s="487"/>
    </row>
    <row r="62" spans="1:17" s="247" customFormat="1" ht="15">
      <c r="A62" s="423"/>
      <c r="B62" s="416"/>
      <c r="C62" s="417">
        <v>100</v>
      </c>
      <c r="D62" s="418"/>
      <c r="E62" s="418"/>
      <c r="F62" s="418"/>
      <c r="G62" s="418"/>
      <c r="H62" s="418"/>
      <c r="I62" s="418"/>
      <c r="J62" s="418"/>
      <c r="K62" s="418"/>
      <c r="L62" s="418"/>
      <c r="M62" s="486"/>
      <c r="N62" s="484"/>
      <c r="O62" s="484"/>
      <c r="P62" s="487"/>
      <c r="Q62" s="487"/>
    </row>
    <row r="63" spans="1:17">
      <c r="A63" s="326" t="s">
        <v>1165</v>
      </c>
      <c r="B63" s="426" t="s">
        <v>1135</v>
      </c>
      <c r="C63" s="427" t="str">
        <f>主表!B12</f>
        <v>住宅/居住</v>
      </c>
      <c r="D63" s="428"/>
      <c r="E63" s="428"/>
      <c r="F63" s="428"/>
      <c r="G63" s="428"/>
      <c r="H63" s="428"/>
      <c r="I63" s="428"/>
      <c r="J63" s="428"/>
      <c r="K63" s="488"/>
      <c r="L63" s="489"/>
      <c r="M63" s="490"/>
      <c r="N63" s="491"/>
      <c r="O63" s="491"/>
      <c r="P63" s="492"/>
      <c r="Q63" s="487"/>
    </row>
    <row r="64" spans="1:17" ht="15">
      <c r="A64" s="303"/>
      <c r="B64" s="429"/>
      <c r="C64" s="430">
        <v>100</v>
      </c>
      <c r="D64" s="431"/>
      <c r="E64" s="431"/>
      <c r="F64" s="431"/>
      <c r="G64" s="431"/>
      <c r="H64" s="431"/>
      <c r="I64" s="431"/>
      <c r="J64" s="431"/>
      <c r="K64" s="431"/>
      <c r="L64" s="431"/>
      <c r="M64" s="493"/>
      <c r="N64" s="494"/>
      <c r="O64" s="494"/>
      <c r="P64" s="492"/>
      <c r="Q64" s="487"/>
    </row>
    <row r="65" spans="1:17" ht="27" hidden="1">
      <c r="A65" s="303"/>
      <c r="B65" s="512" t="s">
        <v>1138</v>
      </c>
      <c r="C65" s="513"/>
      <c r="D65" s="513"/>
      <c r="E65" s="513"/>
      <c r="F65" s="513"/>
      <c r="G65" s="513"/>
      <c r="H65" s="513"/>
      <c r="I65" s="513"/>
      <c r="J65" s="513"/>
      <c r="K65" s="572"/>
      <c r="L65" s="573"/>
      <c r="M65" s="574"/>
      <c r="N65" s="491"/>
      <c r="O65" s="491"/>
      <c r="P65" s="492"/>
      <c r="Q65" s="487"/>
    </row>
    <row r="66" spans="1:17" ht="15" hidden="1">
      <c r="A66" s="303"/>
      <c r="B66" s="51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75"/>
      <c r="N66" s="494"/>
      <c r="O66" s="494"/>
      <c r="P66" s="492"/>
      <c r="Q66" s="487"/>
    </row>
    <row r="67" spans="1:17" ht="15">
      <c r="A67" s="303"/>
      <c r="B67" s="516" t="s">
        <v>1166</v>
      </c>
      <c r="C67" s="517" t="str">
        <f>C68&amp;"（含）"&amp;"-"&amp;D68</f>
        <v>（含）-</v>
      </c>
      <c r="D67" s="517" t="str">
        <f t="shared" ref="D67:L67" si="17">D68&amp;"（含）"&amp;"-"&amp;E68</f>
        <v>（含）-</v>
      </c>
      <c r="E67" s="517" t="str">
        <f t="shared" si="17"/>
        <v>（含）-</v>
      </c>
      <c r="F67" s="517" t="str">
        <f t="shared" si="17"/>
        <v>（含）-</v>
      </c>
      <c r="G67" s="517" t="str">
        <f t="shared" si="17"/>
        <v>（含）-</v>
      </c>
      <c r="H67" s="517" t="str">
        <f t="shared" si="17"/>
        <v>（含）-</v>
      </c>
      <c r="I67" s="517" t="str">
        <f t="shared" si="17"/>
        <v>（含）-</v>
      </c>
      <c r="J67" s="517" t="str">
        <f t="shared" si="17"/>
        <v>（含）-</v>
      </c>
      <c r="K67" s="517" t="str">
        <f t="shared" si="17"/>
        <v>（含）-</v>
      </c>
      <c r="L67" s="517" t="str">
        <f t="shared" si="17"/>
        <v>（含）-</v>
      </c>
      <c r="M67" s="316" t="str">
        <f>M68&amp;"（含）"&amp;"-"&amp;P68</f>
        <v>（含）-</v>
      </c>
      <c r="N67" s="494"/>
      <c r="O67" s="494"/>
      <c r="P67" s="492"/>
      <c r="Q67" s="487"/>
    </row>
    <row r="68" spans="1:17" ht="15">
      <c r="A68" s="303"/>
      <c r="B68" s="518"/>
      <c r="C68" s="519"/>
      <c r="D68" s="519"/>
      <c r="E68" s="519"/>
      <c r="F68" s="519"/>
      <c r="G68" s="519"/>
      <c r="H68" s="519"/>
      <c r="I68" s="519"/>
      <c r="J68" s="519"/>
      <c r="K68" s="576"/>
      <c r="L68" s="577"/>
      <c r="M68" s="578"/>
      <c r="N68" s="491"/>
      <c r="O68" s="491"/>
      <c r="P68" s="492"/>
      <c r="Q68" s="487"/>
    </row>
    <row r="69" spans="1:17" ht="15">
      <c r="A69" s="303"/>
      <c r="B69" s="429"/>
      <c r="C69" s="515">
        <v>100</v>
      </c>
      <c r="D69" s="515">
        <f t="shared" ref="D69:M69" si="18">IF($B$46="单位面积地价",C69+$K11,C69-$K11)</f>
        <v>100</v>
      </c>
      <c r="E69" s="515">
        <f t="shared" si="18"/>
        <v>100</v>
      </c>
      <c r="F69" s="515">
        <f t="shared" si="18"/>
        <v>100</v>
      </c>
      <c r="G69" s="515">
        <f t="shared" si="18"/>
        <v>100</v>
      </c>
      <c r="H69" s="515">
        <f t="shared" si="18"/>
        <v>100</v>
      </c>
      <c r="I69" s="515">
        <f t="shared" si="18"/>
        <v>100</v>
      </c>
      <c r="J69" s="515">
        <f t="shared" si="18"/>
        <v>100</v>
      </c>
      <c r="K69" s="515">
        <f t="shared" si="18"/>
        <v>100</v>
      </c>
      <c r="L69" s="515">
        <f t="shared" si="18"/>
        <v>100</v>
      </c>
      <c r="M69" s="515">
        <f t="shared" si="18"/>
        <v>100</v>
      </c>
      <c r="N69" s="494"/>
      <c r="O69" s="494"/>
      <c r="P69" s="492"/>
      <c r="Q69" s="487"/>
    </row>
    <row r="70" spans="1:17" s="249" customFormat="1" ht="15">
      <c r="A70" s="520"/>
      <c r="B70" s="512" t="str">
        <f>B12</f>
        <v>土地级别</v>
      </c>
      <c r="C70" s="521" t="s">
        <v>49</v>
      </c>
      <c r="D70" s="521" t="s">
        <v>63</v>
      </c>
      <c r="E70" s="521" t="s">
        <v>75</v>
      </c>
      <c r="F70" s="521" t="s">
        <v>87</v>
      </c>
      <c r="G70" s="521" t="s">
        <v>96</v>
      </c>
      <c r="H70" s="521" t="s">
        <v>103</v>
      </c>
      <c r="I70" s="521" t="s">
        <v>108</v>
      </c>
      <c r="J70" s="521" t="s">
        <v>113</v>
      </c>
      <c r="K70" s="521" t="s">
        <v>116</v>
      </c>
      <c r="L70" s="521" t="s">
        <v>118</v>
      </c>
      <c r="M70" s="579" t="s">
        <v>120</v>
      </c>
      <c r="N70" s="579" t="s">
        <v>122</v>
      </c>
      <c r="O70" s="580"/>
      <c r="P70" s="581"/>
      <c r="Q70" s="627"/>
    </row>
    <row r="71" spans="1:17" s="249" customFormat="1" ht="15">
      <c r="A71" s="520"/>
      <c r="B71" s="514"/>
      <c r="C71" s="515">
        <v>100</v>
      </c>
      <c r="D71" s="515">
        <f t="shared" ref="D71:N71" si="19">C71-$K12</f>
        <v>100</v>
      </c>
      <c r="E71" s="515">
        <f t="shared" si="19"/>
        <v>100</v>
      </c>
      <c r="F71" s="515">
        <f t="shared" si="19"/>
        <v>100</v>
      </c>
      <c r="G71" s="515">
        <f t="shared" si="19"/>
        <v>100</v>
      </c>
      <c r="H71" s="515">
        <f t="shared" si="19"/>
        <v>100</v>
      </c>
      <c r="I71" s="515">
        <f t="shared" si="19"/>
        <v>100</v>
      </c>
      <c r="J71" s="515">
        <f t="shared" si="19"/>
        <v>100</v>
      </c>
      <c r="K71" s="515">
        <f t="shared" si="19"/>
        <v>100</v>
      </c>
      <c r="L71" s="515">
        <f t="shared" si="19"/>
        <v>100</v>
      </c>
      <c r="M71" s="515">
        <f t="shared" si="19"/>
        <v>100</v>
      </c>
      <c r="N71" s="515">
        <f t="shared" si="19"/>
        <v>100</v>
      </c>
      <c r="O71" s="494"/>
      <c r="P71" s="581"/>
      <c r="Q71" s="627"/>
    </row>
    <row r="72" spans="1:17" s="253" customFormat="1" ht="15" hidden="1">
      <c r="A72" s="520"/>
      <c r="B72" s="512">
        <f>B13</f>
        <v>111</v>
      </c>
      <c r="C72" s="522">
        <v>111</v>
      </c>
      <c r="D72" s="522">
        <v>222</v>
      </c>
      <c r="E72" s="522">
        <v>333</v>
      </c>
      <c r="F72" s="522">
        <v>444</v>
      </c>
      <c r="G72" s="522"/>
      <c r="H72" s="523"/>
      <c r="I72" s="523"/>
      <c r="J72" s="523"/>
      <c r="K72" s="523"/>
      <c r="L72" s="582"/>
      <c r="M72" s="583"/>
      <c r="N72" s="584"/>
      <c r="O72" s="584"/>
      <c r="Q72" s="628"/>
    </row>
    <row r="73" spans="1:17" s="253" customFormat="1" ht="15" hidden="1">
      <c r="A73" s="520"/>
      <c r="B73" s="514"/>
      <c r="C73" s="524">
        <v>100</v>
      </c>
      <c r="D73" s="524">
        <v>99</v>
      </c>
      <c r="E73" s="524">
        <v>98</v>
      </c>
      <c r="F73" s="524">
        <v>97</v>
      </c>
      <c r="G73" s="524"/>
      <c r="H73" s="525"/>
      <c r="I73" s="525"/>
      <c r="J73" s="525"/>
      <c r="K73" s="525"/>
      <c r="L73" s="525"/>
      <c r="M73" s="585"/>
      <c r="N73" s="584"/>
      <c r="O73" s="584"/>
      <c r="P73" s="586"/>
      <c r="Q73" s="629"/>
    </row>
    <row r="74" spans="1:17" s="253" customFormat="1" ht="15" hidden="1">
      <c r="A74" s="520"/>
      <c r="B74" s="516">
        <f>B14</f>
        <v>111</v>
      </c>
      <c r="C74" s="526">
        <v>111</v>
      </c>
      <c r="D74" s="526">
        <v>222</v>
      </c>
      <c r="E74" s="526">
        <v>333</v>
      </c>
      <c r="F74" s="526">
        <v>444</v>
      </c>
      <c r="G74" s="526"/>
      <c r="H74" s="527"/>
      <c r="I74" s="527"/>
      <c r="J74" s="527"/>
      <c r="K74" s="527"/>
      <c r="L74" s="587"/>
      <c r="M74" s="588"/>
      <c r="N74" s="584"/>
      <c r="O74" s="584"/>
      <c r="P74" s="589"/>
      <c r="Q74" s="629"/>
    </row>
    <row r="75" spans="1:17" s="253" customFormat="1" ht="15" hidden="1">
      <c r="A75" s="528"/>
      <c r="B75" s="529"/>
      <c r="C75" s="530">
        <v>100</v>
      </c>
      <c r="D75" s="530">
        <v>98</v>
      </c>
      <c r="E75" s="530">
        <v>96</v>
      </c>
      <c r="F75" s="530">
        <v>94</v>
      </c>
      <c r="G75" s="530"/>
      <c r="H75" s="531"/>
      <c r="I75" s="531"/>
      <c r="J75" s="531"/>
      <c r="K75" s="531"/>
      <c r="L75" s="531"/>
      <c r="M75" s="590"/>
      <c r="N75" s="584"/>
      <c r="O75" s="584"/>
      <c r="P75" s="586"/>
      <c r="Q75" s="629"/>
    </row>
    <row r="76" spans="1:17" s="254" customFormat="1" hidden="1">
      <c r="A76" s="326" t="s">
        <v>1139</v>
      </c>
      <c r="B76" s="426" t="s">
        <v>33</v>
      </c>
      <c r="C76" s="532" t="s">
        <v>56</v>
      </c>
      <c r="D76" s="532" t="s">
        <v>68</v>
      </c>
      <c r="E76" s="532" t="s">
        <v>80</v>
      </c>
      <c r="F76" s="532" t="s">
        <v>90</v>
      </c>
      <c r="G76" s="532" t="s">
        <v>99</v>
      </c>
      <c r="H76" s="533"/>
      <c r="I76" s="533"/>
      <c r="J76" s="533"/>
      <c r="K76" s="591"/>
      <c r="L76" s="592"/>
      <c r="M76" s="593"/>
      <c r="N76" s="594"/>
      <c r="O76" s="594"/>
      <c r="P76" s="595"/>
      <c r="Q76" s="479"/>
    </row>
    <row r="77" spans="1:17" s="254" customFormat="1" ht="15" hidden="1">
      <c r="A77" s="303"/>
      <c r="B77" s="514"/>
      <c r="C77" s="515">
        <v>100</v>
      </c>
      <c r="D77" s="515">
        <f>C77-$K15</f>
        <v>100</v>
      </c>
      <c r="E77" s="515">
        <f>D77-$K15</f>
        <v>100</v>
      </c>
      <c r="F77" s="515">
        <f>E77-$K15</f>
        <v>100</v>
      </c>
      <c r="G77" s="515">
        <f>F77-$K15</f>
        <v>100</v>
      </c>
      <c r="H77" s="515"/>
      <c r="I77" s="515"/>
      <c r="J77" s="515"/>
      <c r="K77" s="515"/>
      <c r="L77" s="515"/>
      <c r="M77" s="575"/>
      <c r="N77" s="596"/>
      <c r="O77" s="596"/>
      <c r="P77" s="597"/>
      <c r="Q77" s="479"/>
    </row>
    <row r="78" spans="1:17" s="254" customFormat="1" ht="15" hidden="1">
      <c r="A78" s="303"/>
      <c r="B78" s="512" t="s">
        <v>34</v>
      </c>
      <c r="C78" s="534" t="s">
        <v>56</v>
      </c>
      <c r="D78" s="534" t="s">
        <v>68</v>
      </c>
      <c r="E78" s="534" t="s">
        <v>80</v>
      </c>
      <c r="F78" s="534" t="s">
        <v>90</v>
      </c>
      <c r="G78" s="534" t="s">
        <v>99</v>
      </c>
      <c r="H78" s="513"/>
      <c r="I78" s="513"/>
      <c r="J78" s="513"/>
      <c r="K78" s="572"/>
      <c r="L78" s="573"/>
      <c r="M78" s="574"/>
      <c r="N78" s="594"/>
      <c r="O78" s="594"/>
      <c r="P78" s="597"/>
      <c r="Q78" s="479"/>
    </row>
    <row r="79" spans="1:17" s="254" customFormat="1" ht="15" hidden="1">
      <c r="A79" s="303"/>
      <c r="B79" s="514"/>
      <c r="C79" s="515">
        <v>100</v>
      </c>
      <c r="D79" s="515">
        <f>C79-$K17</f>
        <v>100</v>
      </c>
      <c r="E79" s="515">
        <f>D79-$K17</f>
        <v>100</v>
      </c>
      <c r="F79" s="515">
        <f>E79-$K17</f>
        <v>100</v>
      </c>
      <c r="G79" s="515">
        <f>F79-$K17</f>
        <v>100</v>
      </c>
      <c r="H79" s="515"/>
      <c r="I79" s="515"/>
      <c r="J79" s="515"/>
      <c r="K79" s="515"/>
      <c r="L79" s="515"/>
      <c r="M79" s="575"/>
      <c r="N79" s="596"/>
      <c r="O79" s="596"/>
      <c r="P79" s="597"/>
      <c r="Q79" s="479"/>
    </row>
    <row r="80" spans="1:17" s="254" customFormat="1" ht="15" hidden="1">
      <c r="A80" s="303"/>
      <c r="B80" s="512" t="s">
        <v>35</v>
      </c>
      <c r="C80" s="534" t="s">
        <v>56</v>
      </c>
      <c r="D80" s="534" t="s">
        <v>68</v>
      </c>
      <c r="E80" s="534" t="s">
        <v>80</v>
      </c>
      <c r="F80" s="534" t="s">
        <v>90</v>
      </c>
      <c r="G80" s="534" t="s">
        <v>99</v>
      </c>
      <c r="H80" s="513"/>
      <c r="I80" s="513"/>
      <c r="J80" s="513"/>
      <c r="K80" s="572"/>
      <c r="L80" s="573"/>
      <c r="M80" s="574"/>
      <c r="N80" s="594"/>
      <c r="O80" s="594"/>
      <c r="P80" s="597"/>
      <c r="Q80" s="479"/>
    </row>
    <row r="81" spans="1:17" s="254" customFormat="1" ht="15" hidden="1">
      <c r="A81" s="303"/>
      <c r="B81" s="514"/>
      <c r="C81" s="515">
        <v>100</v>
      </c>
      <c r="D81" s="515">
        <f>C81-$K19</f>
        <v>100</v>
      </c>
      <c r="E81" s="515">
        <f>D81-$K19</f>
        <v>100</v>
      </c>
      <c r="F81" s="515">
        <f>E81-$K19</f>
        <v>100</v>
      </c>
      <c r="G81" s="515">
        <f>F81-$K19</f>
        <v>100</v>
      </c>
      <c r="H81" s="515"/>
      <c r="I81" s="515"/>
      <c r="J81" s="515"/>
      <c r="K81" s="515"/>
      <c r="L81" s="515"/>
      <c r="M81" s="575"/>
      <c r="N81" s="596"/>
      <c r="O81" s="596"/>
      <c r="P81" s="597"/>
      <c r="Q81" s="479"/>
    </row>
    <row r="82" spans="1:17" s="254" customFormat="1" ht="15" hidden="1">
      <c r="A82" s="303"/>
      <c r="B82" s="512" t="s">
        <v>37</v>
      </c>
      <c r="C82" s="534" t="s">
        <v>56</v>
      </c>
      <c r="D82" s="534" t="s">
        <v>68</v>
      </c>
      <c r="E82" s="534" t="s">
        <v>80</v>
      </c>
      <c r="F82" s="534" t="s">
        <v>90</v>
      </c>
      <c r="G82" s="534" t="s">
        <v>99</v>
      </c>
      <c r="H82" s="513"/>
      <c r="I82" s="513"/>
      <c r="J82" s="513"/>
      <c r="K82" s="572"/>
      <c r="L82" s="573"/>
      <c r="M82" s="574"/>
      <c r="N82" s="594"/>
      <c r="O82" s="594"/>
      <c r="P82" s="597"/>
      <c r="Q82" s="479"/>
    </row>
    <row r="83" spans="1:17" s="254" customFormat="1" ht="15" hidden="1">
      <c r="A83" s="303"/>
      <c r="B83" s="514"/>
      <c r="C83" s="515">
        <v>100</v>
      </c>
      <c r="D83" s="515">
        <f>C83-$K21</f>
        <v>100</v>
      </c>
      <c r="E83" s="515">
        <f>D83-$K21</f>
        <v>100</v>
      </c>
      <c r="F83" s="515">
        <f>E83-$K21</f>
        <v>100</v>
      </c>
      <c r="G83" s="515">
        <f>F83-$K21</f>
        <v>100</v>
      </c>
      <c r="H83" s="515"/>
      <c r="I83" s="515"/>
      <c r="J83" s="515"/>
      <c r="K83" s="515"/>
      <c r="L83" s="515"/>
      <c r="M83" s="575"/>
      <c r="N83" s="596"/>
      <c r="O83" s="596"/>
      <c r="P83" s="597"/>
      <c r="Q83" s="479"/>
    </row>
    <row r="84" spans="1:17" s="252" customFormat="1" ht="27" hidden="1">
      <c r="A84" s="535"/>
      <c r="B84" s="512" t="s">
        <v>1141</v>
      </c>
      <c r="C84" s="534" t="s">
        <v>56</v>
      </c>
      <c r="D84" s="534" t="s">
        <v>68</v>
      </c>
      <c r="E84" s="534" t="s">
        <v>80</v>
      </c>
      <c r="F84" s="534" t="s">
        <v>90</v>
      </c>
      <c r="G84" s="534" t="s">
        <v>99</v>
      </c>
      <c r="H84" s="534"/>
      <c r="I84" s="534"/>
      <c r="J84" s="534"/>
      <c r="K84" s="534"/>
      <c r="L84" s="598"/>
      <c r="M84" s="599"/>
      <c r="N84" s="600"/>
      <c r="O84" s="600"/>
      <c r="P84" s="597"/>
      <c r="Q84" s="479"/>
    </row>
    <row r="85" spans="1:17" s="252" customFormat="1" ht="15" hidden="1">
      <c r="A85" s="535"/>
      <c r="B85" s="514"/>
      <c r="C85" s="536">
        <v>100</v>
      </c>
      <c r="D85" s="515">
        <f>C85-$K23</f>
        <v>100</v>
      </c>
      <c r="E85" s="515">
        <f>D85-$K23</f>
        <v>100</v>
      </c>
      <c r="F85" s="515">
        <f>E85-$K23</f>
        <v>100</v>
      </c>
      <c r="G85" s="515">
        <f>F85-$K23</f>
        <v>100</v>
      </c>
      <c r="H85" s="515"/>
      <c r="I85" s="515"/>
      <c r="J85" s="515"/>
      <c r="K85" s="515"/>
      <c r="L85" s="515"/>
      <c r="M85" s="575"/>
      <c r="N85" s="596"/>
      <c r="O85" s="596"/>
      <c r="P85" s="597"/>
      <c r="Q85" s="479"/>
    </row>
    <row r="86" spans="1:17" s="252" customFormat="1" ht="27" hidden="1">
      <c r="A86" s="535"/>
      <c r="B86" s="512" t="s">
        <v>1142</v>
      </c>
      <c r="C86" s="532" t="s">
        <v>56</v>
      </c>
      <c r="D86" s="532" t="s">
        <v>68</v>
      </c>
      <c r="E86" s="532" t="s">
        <v>80</v>
      </c>
      <c r="F86" s="532" t="s">
        <v>90</v>
      </c>
      <c r="G86" s="532" t="s">
        <v>99</v>
      </c>
      <c r="H86" s="534"/>
      <c r="I86" s="534"/>
      <c r="J86" s="534"/>
      <c r="K86" s="534"/>
      <c r="L86" s="534"/>
      <c r="M86" s="599"/>
      <c r="N86" s="600"/>
      <c r="O86" s="600"/>
      <c r="P86" s="597"/>
      <c r="Q86" s="479"/>
    </row>
    <row r="87" spans="1:17" s="252" customFormat="1" ht="15" hidden="1">
      <c r="A87" s="535"/>
      <c r="B87" s="514"/>
      <c r="C87" s="515">
        <v>100</v>
      </c>
      <c r="D87" s="515">
        <f>C87-$K25</f>
        <v>100</v>
      </c>
      <c r="E87" s="515">
        <f>D87-$K25</f>
        <v>100</v>
      </c>
      <c r="F87" s="515">
        <f>E87-$K25</f>
        <v>100</v>
      </c>
      <c r="G87" s="515">
        <f>F87-$K25</f>
        <v>100</v>
      </c>
      <c r="H87" s="515"/>
      <c r="I87" s="515"/>
      <c r="J87" s="515"/>
      <c r="K87" s="515"/>
      <c r="L87" s="515"/>
      <c r="M87" s="575"/>
      <c r="N87" s="596"/>
      <c r="O87" s="596"/>
      <c r="P87" s="597"/>
      <c r="Q87" s="479"/>
    </row>
    <row r="88" spans="1:17" s="253" customFormat="1" ht="15" hidden="1">
      <c r="A88" s="520"/>
      <c r="B88" s="537" t="s">
        <v>39</v>
      </c>
      <c r="C88" s="532" t="s">
        <v>56</v>
      </c>
      <c r="D88" s="532" t="s">
        <v>68</v>
      </c>
      <c r="E88" s="532" t="s">
        <v>80</v>
      </c>
      <c r="F88" s="532" t="s">
        <v>90</v>
      </c>
      <c r="G88" s="532" t="s">
        <v>99</v>
      </c>
      <c r="H88" s="538"/>
      <c r="I88" s="538"/>
      <c r="J88" s="538"/>
      <c r="K88" s="538"/>
      <c r="L88" s="601"/>
      <c r="M88" s="602"/>
      <c r="N88" s="584"/>
      <c r="O88" s="584"/>
      <c r="P88" s="586"/>
      <c r="Q88" s="629"/>
    </row>
    <row r="89" spans="1:17" s="253" customFormat="1" ht="15" hidden="1">
      <c r="A89" s="520"/>
      <c r="B89" s="539"/>
      <c r="C89" s="515">
        <v>100</v>
      </c>
      <c r="D89" s="515">
        <f>C89-$K27</f>
        <v>100</v>
      </c>
      <c r="E89" s="515">
        <f>D89-$K27</f>
        <v>100</v>
      </c>
      <c r="F89" s="515">
        <f>E89-$K27</f>
        <v>100</v>
      </c>
      <c r="G89" s="515">
        <f>F89-$K27</f>
        <v>100</v>
      </c>
      <c r="H89" s="540"/>
      <c r="I89" s="540"/>
      <c r="J89" s="540"/>
      <c r="K89" s="540"/>
      <c r="L89" s="540"/>
      <c r="M89" s="603"/>
      <c r="N89" s="584"/>
      <c r="O89" s="584"/>
      <c r="P89" s="586"/>
      <c r="Q89" s="629"/>
    </row>
    <row r="90" spans="1:17" s="253" customFormat="1" ht="15" hidden="1">
      <c r="A90" s="520"/>
      <c r="B90" s="541" t="s">
        <v>40</v>
      </c>
      <c r="C90" s="542" t="s">
        <v>57</v>
      </c>
      <c r="D90" s="542" t="s">
        <v>69</v>
      </c>
      <c r="E90" s="542" t="s">
        <v>81</v>
      </c>
      <c r="F90" s="542" t="s">
        <v>91</v>
      </c>
      <c r="G90" s="542" t="s">
        <v>100</v>
      </c>
      <c r="H90" s="538"/>
      <c r="I90" s="538"/>
      <c r="J90" s="538"/>
      <c r="K90" s="538"/>
      <c r="L90" s="538"/>
      <c r="M90" s="602"/>
      <c r="N90" s="584"/>
      <c r="O90" s="584"/>
      <c r="P90" s="586"/>
      <c r="Q90" s="629"/>
    </row>
    <row r="91" spans="1:17" s="253" customFormat="1" ht="15" hidden="1">
      <c r="A91" s="520"/>
      <c r="B91" s="516"/>
      <c r="C91" s="515">
        <v>100</v>
      </c>
      <c r="D91" s="515">
        <f>C91-$K29</f>
        <v>100</v>
      </c>
      <c r="E91" s="515">
        <f>D91-$K29</f>
        <v>100</v>
      </c>
      <c r="F91" s="515">
        <f>E91-$K29</f>
        <v>100</v>
      </c>
      <c r="G91" s="515">
        <f>F91-$K29</f>
        <v>100</v>
      </c>
      <c r="H91" s="518"/>
      <c r="I91" s="518"/>
      <c r="J91" s="518"/>
      <c r="K91" s="518"/>
      <c r="L91" s="518"/>
      <c r="M91" s="604"/>
      <c r="N91" s="584"/>
      <c r="O91" s="584"/>
      <c r="P91" s="586"/>
      <c r="Q91" s="629"/>
    </row>
    <row r="92" spans="1:17" s="254" customFormat="1" ht="15" hidden="1">
      <c r="A92" s="303"/>
      <c r="B92" s="512" t="str">
        <f>B31</f>
        <v>临街状况</v>
      </c>
      <c r="C92" s="513" t="s">
        <v>1167</v>
      </c>
      <c r="D92" s="513" t="s">
        <v>1168</v>
      </c>
      <c r="E92" s="513" t="s">
        <v>1169</v>
      </c>
      <c r="F92" s="513" t="s">
        <v>1170</v>
      </c>
      <c r="G92" s="513"/>
      <c r="H92" s="513"/>
      <c r="I92" s="513"/>
      <c r="J92" s="513"/>
      <c r="K92" s="572"/>
      <c r="L92" s="573"/>
      <c r="M92" s="574"/>
      <c r="N92" s="594"/>
      <c r="O92" s="594"/>
      <c r="P92" s="597"/>
      <c r="Q92" s="479"/>
    </row>
    <row r="93" spans="1:17" s="254" customFormat="1" ht="15" hidden="1">
      <c r="A93" s="303"/>
      <c r="B93" s="514"/>
      <c r="C93" s="515">
        <v>100</v>
      </c>
      <c r="D93" s="515">
        <f t="shared" ref="D93:M93" si="20">C93-$K31</f>
        <v>100</v>
      </c>
      <c r="E93" s="515">
        <f t="shared" si="20"/>
        <v>100</v>
      </c>
      <c r="F93" s="515">
        <f t="shared" si="20"/>
        <v>100</v>
      </c>
      <c r="G93" s="515">
        <f t="shared" si="20"/>
        <v>100</v>
      </c>
      <c r="H93" s="515">
        <f t="shared" si="20"/>
        <v>100</v>
      </c>
      <c r="I93" s="515">
        <f t="shared" si="20"/>
        <v>100</v>
      </c>
      <c r="J93" s="515">
        <f t="shared" si="20"/>
        <v>100</v>
      </c>
      <c r="K93" s="515">
        <f t="shared" si="20"/>
        <v>100</v>
      </c>
      <c r="L93" s="515">
        <f t="shared" si="20"/>
        <v>100</v>
      </c>
      <c r="M93" s="515">
        <f t="shared" si="20"/>
        <v>100</v>
      </c>
      <c r="N93" s="596"/>
      <c r="O93" s="596"/>
      <c r="P93" s="597"/>
      <c r="Q93" s="479"/>
    </row>
    <row r="94" spans="1:17" s="254" customFormat="1" ht="27" hidden="1">
      <c r="A94" s="303"/>
      <c r="B94" s="512" t="s">
        <v>1144</v>
      </c>
      <c r="C94" s="522" t="s">
        <v>1171</v>
      </c>
      <c r="D94" s="522" t="s">
        <v>1172</v>
      </c>
      <c r="E94" s="522" t="s">
        <v>1146</v>
      </c>
      <c r="F94" s="522" t="s">
        <v>1173</v>
      </c>
      <c r="G94" s="522" t="s">
        <v>1174</v>
      </c>
      <c r="H94" s="543"/>
      <c r="I94" s="543"/>
      <c r="J94" s="543"/>
      <c r="K94" s="605"/>
      <c r="L94" s="606"/>
      <c r="M94" s="607"/>
      <c r="N94" s="594"/>
      <c r="O94" s="594"/>
      <c r="P94" s="597"/>
      <c r="Q94" s="479"/>
    </row>
    <row r="95" spans="1:17" s="254" customFormat="1" ht="15" hidden="1">
      <c r="A95" s="303"/>
      <c r="B95" s="514"/>
      <c r="C95" s="515">
        <v>100</v>
      </c>
      <c r="D95" s="515">
        <f t="shared" ref="D95:M95" si="21">C95-$K32</f>
        <v>100</v>
      </c>
      <c r="E95" s="515">
        <f t="shared" si="21"/>
        <v>100</v>
      </c>
      <c r="F95" s="515">
        <f t="shared" si="21"/>
        <v>100</v>
      </c>
      <c r="G95" s="515">
        <f t="shared" si="21"/>
        <v>100</v>
      </c>
      <c r="H95" s="515">
        <f t="shared" si="21"/>
        <v>100</v>
      </c>
      <c r="I95" s="515">
        <f t="shared" si="21"/>
        <v>100</v>
      </c>
      <c r="J95" s="515">
        <f t="shared" si="21"/>
        <v>100</v>
      </c>
      <c r="K95" s="515">
        <f t="shared" si="21"/>
        <v>100</v>
      </c>
      <c r="L95" s="515">
        <f t="shared" si="21"/>
        <v>100</v>
      </c>
      <c r="M95" s="515">
        <f t="shared" si="21"/>
        <v>100</v>
      </c>
      <c r="N95" s="596"/>
      <c r="O95" s="596"/>
      <c r="P95" s="597"/>
      <c r="Q95" s="479"/>
    </row>
    <row r="96" spans="1:17" s="254" customFormat="1" ht="15" hidden="1">
      <c r="A96" s="303"/>
      <c r="B96" s="512">
        <v>111</v>
      </c>
      <c r="C96" s="543">
        <v>111</v>
      </c>
      <c r="D96" s="543">
        <v>222</v>
      </c>
      <c r="E96" s="543">
        <v>333</v>
      </c>
      <c r="F96" s="543"/>
      <c r="G96" s="543"/>
      <c r="H96" s="543"/>
      <c r="I96" s="543"/>
      <c r="J96" s="543"/>
      <c r="K96" s="605"/>
      <c r="L96" s="606"/>
      <c r="M96" s="607"/>
      <c r="N96" s="594"/>
      <c r="O96" s="594"/>
      <c r="P96" s="597"/>
      <c r="Q96" s="479"/>
    </row>
    <row r="97" spans="1:17" s="254" customFormat="1" ht="15" hidden="1">
      <c r="A97" s="303"/>
      <c r="B97" s="514"/>
      <c r="C97" s="515">
        <v>100</v>
      </c>
      <c r="D97" s="515">
        <f t="shared" ref="D97:M97" si="22">C97-$K34</f>
        <v>100</v>
      </c>
      <c r="E97" s="515">
        <f t="shared" si="22"/>
        <v>100</v>
      </c>
      <c r="F97" s="515">
        <f t="shared" si="22"/>
        <v>100</v>
      </c>
      <c r="G97" s="515">
        <f t="shared" si="22"/>
        <v>100</v>
      </c>
      <c r="H97" s="515">
        <f t="shared" si="22"/>
        <v>100</v>
      </c>
      <c r="I97" s="515">
        <f t="shared" si="22"/>
        <v>100</v>
      </c>
      <c r="J97" s="515">
        <f t="shared" si="22"/>
        <v>100</v>
      </c>
      <c r="K97" s="515">
        <f t="shared" si="22"/>
        <v>100</v>
      </c>
      <c r="L97" s="515">
        <f t="shared" si="22"/>
        <v>100</v>
      </c>
      <c r="M97" s="515">
        <f t="shared" si="22"/>
        <v>100</v>
      </c>
      <c r="N97" s="596"/>
      <c r="O97" s="596"/>
      <c r="P97" s="597"/>
      <c r="Q97" s="479"/>
    </row>
    <row r="98" spans="1:17" s="254" customFormat="1" ht="15" hidden="1">
      <c r="A98" s="303"/>
      <c r="B98" s="516">
        <f>B35</f>
        <v>111</v>
      </c>
      <c r="C98" s="522">
        <v>111</v>
      </c>
      <c r="D98" s="522">
        <v>222</v>
      </c>
      <c r="E98" s="522">
        <v>333</v>
      </c>
      <c r="F98" s="522">
        <v>444</v>
      </c>
      <c r="G98" s="544"/>
      <c r="H98" s="544"/>
      <c r="I98" s="544"/>
      <c r="J98" s="544"/>
      <c r="K98" s="608"/>
      <c r="L98" s="609"/>
      <c r="M98" s="610"/>
      <c r="N98" s="594"/>
      <c r="O98" s="594"/>
      <c r="P98" s="597"/>
      <c r="Q98" s="479"/>
    </row>
    <row r="99" spans="1:17" s="254" customFormat="1" ht="15" hidden="1">
      <c r="A99" s="303"/>
      <c r="B99" s="529"/>
      <c r="C99" s="524">
        <v>100</v>
      </c>
      <c r="D99" s="524">
        <v>99</v>
      </c>
      <c r="E99" s="524">
        <v>98</v>
      </c>
      <c r="F99" s="524">
        <v>97</v>
      </c>
      <c r="G99" s="545"/>
      <c r="H99" s="545"/>
      <c r="I99" s="545"/>
      <c r="J99" s="545"/>
      <c r="K99" s="545"/>
      <c r="L99" s="545"/>
      <c r="M99" s="611"/>
      <c r="N99" s="596"/>
      <c r="O99" s="596"/>
      <c r="P99" s="597"/>
      <c r="Q99" s="479"/>
    </row>
    <row r="100" spans="1:17" s="254" customFormat="1" hidden="1">
      <c r="A100" s="362"/>
      <c r="B100" s="512">
        <f>B36</f>
        <v>111</v>
      </c>
      <c r="C100" s="526">
        <v>111</v>
      </c>
      <c r="D100" s="526">
        <v>222</v>
      </c>
      <c r="E100" s="526">
        <v>333</v>
      </c>
      <c r="F100" s="526">
        <v>444</v>
      </c>
      <c r="G100" s="543"/>
      <c r="H100" s="543"/>
      <c r="I100" s="543"/>
      <c r="J100" s="543"/>
      <c r="K100" s="605"/>
      <c r="L100" s="606"/>
      <c r="M100" s="607"/>
      <c r="N100" s="594"/>
      <c r="O100" s="594"/>
      <c r="P100" s="597"/>
      <c r="Q100" s="479"/>
    </row>
    <row r="101" spans="1:17" s="254" customFormat="1" ht="15" hidden="1">
      <c r="A101" s="303"/>
      <c r="B101" s="516"/>
      <c r="C101" s="546">
        <v>100</v>
      </c>
      <c r="D101" s="546">
        <v>98</v>
      </c>
      <c r="E101" s="546">
        <v>96</v>
      </c>
      <c r="F101" s="546">
        <v>94</v>
      </c>
      <c r="G101" s="547"/>
      <c r="H101" s="547"/>
      <c r="I101" s="547"/>
      <c r="J101" s="547"/>
      <c r="K101" s="547"/>
      <c r="L101" s="547"/>
      <c r="M101" s="612"/>
      <c r="N101" s="596"/>
      <c r="O101" s="596"/>
      <c r="P101" s="597"/>
      <c r="Q101" s="479"/>
    </row>
    <row r="102" spans="1:17" s="249" customFormat="1">
      <c r="A102" s="548" t="str">
        <f>A37</f>
        <v>区位状况</v>
      </c>
      <c r="B102" s="549"/>
      <c r="C102" s="550" t="s">
        <v>433</v>
      </c>
      <c r="D102" s="550" t="s">
        <v>434</v>
      </c>
      <c r="E102" s="550" t="s">
        <v>435</v>
      </c>
      <c r="F102" s="550" t="s">
        <v>436</v>
      </c>
      <c r="G102" s="550" t="s">
        <v>437</v>
      </c>
      <c r="H102" s="551"/>
      <c r="I102" s="551"/>
      <c r="J102" s="570"/>
      <c r="K102" s="570"/>
      <c r="L102" s="613"/>
      <c r="M102" s="614"/>
      <c r="N102" s="580"/>
      <c r="O102" s="580"/>
      <c r="P102" s="581"/>
      <c r="Q102" s="627"/>
    </row>
    <row r="103" spans="1:17" s="249" customFormat="1">
      <c r="A103" s="552"/>
      <c r="B103" s="529"/>
      <c r="C103" s="553">
        <v>100</v>
      </c>
      <c r="D103" s="554">
        <f>C103-$K37</f>
        <v>100</v>
      </c>
      <c r="E103" s="554">
        <f>D103-$K37</f>
        <v>100</v>
      </c>
      <c r="F103" s="554">
        <f>E103-$K37</f>
        <v>100</v>
      </c>
      <c r="G103" s="554">
        <f>F103-$K37</f>
        <v>100</v>
      </c>
      <c r="H103" s="555"/>
      <c r="I103" s="555"/>
      <c r="J103" s="555"/>
      <c r="K103" s="555"/>
      <c r="L103" s="555"/>
      <c r="M103" s="615"/>
      <c r="N103" s="494"/>
      <c r="O103" s="494"/>
      <c r="P103" s="581"/>
      <c r="Q103" s="627"/>
    </row>
    <row r="104" spans="1:17" s="254" customFormat="1" ht="28.5" hidden="1">
      <c r="A104" s="556" t="s">
        <v>1155</v>
      </c>
      <c r="B104" s="516" t="s">
        <v>1150</v>
      </c>
      <c r="C104" s="517" t="str">
        <f t="shared" ref="C104:L104" si="23">C105&amp;"(含)"&amp;"-"&amp;D105</f>
        <v>0(含)-10000</v>
      </c>
      <c r="D104" s="517" t="str">
        <f t="shared" si="23"/>
        <v>10000(含)-20000</v>
      </c>
      <c r="E104" s="517" t="str">
        <f t="shared" si="23"/>
        <v>20000(含)-30000</v>
      </c>
      <c r="F104" s="517" t="str">
        <f t="shared" si="23"/>
        <v>30000(含)-50000</v>
      </c>
      <c r="G104" s="517" t="str">
        <f t="shared" si="23"/>
        <v>50000(含)-100000</v>
      </c>
      <c r="H104" s="557" t="str">
        <f t="shared" si="23"/>
        <v>100000(含)-150000</v>
      </c>
      <c r="I104" s="557" t="str">
        <f t="shared" si="23"/>
        <v>150000(含)-200000</v>
      </c>
      <c r="J104" s="557" t="str">
        <f t="shared" si="23"/>
        <v>200000(含)-300000</v>
      </c>
      <c r="K104" s="616" t="str">
        <f t="shared" si="23"/>
        <v>300000(含)-500000</v>
      </c>
      <c r="L104" s="617" t="str">
        <f t="shared" si="23"/>
        <v>500000(含)-</v>
      </c>
      <c r="M104" s="618" t="str">
        <f>M105&amp;"(含)"&amp;"-"&amp;P105</f>
        <v>(含)-</v>
      </c>
      <c r="N104" s="594"/>
      <c r="O104" s="594"/>
      <c r="P104" s="597"/>
      <c r="Q104" s="479"/>
    </row>
    <row r="105" spans="1:17" s="254" customFormat="1" hidden="1">
      <c r="A105" s="556"/>
      <c r="B105" s="516"/>
      <c r="C105" s="500">
        <v>0</v>
      </c>
      <c r="D105" s="500">
        <v>10000</v>
      </c>
      <c r="E105" s="500">
        <v>20000</v>
      </c>
      <c r="F105" s="500">
        <v>30000</v>
      </c>
      <c r="G105" s="500">
        <v>50000</v>
      </c>
      <c r="H105" s="558">
        <v>100000</v>
      </c>
      <c r="I105" s="558">
        <v>150000</v>
      </c>
      <c r="J105" s="619">
        <v>200000</v>
      </c>
      <c r="K105" s="619">
        <v>300000</v>
      </c>
      <c r="L105" s="620">
        <v>500000</v>
      </c>
      <c r="M105" s="621"/>
      <c r="N105" s="594"/>
      <c r="O105" s="594"/>
      <c r="P105" s="597"/>
      <c r="Q105" s="479"/>
    </row>
    <row r="106" spans="1:17" s="254" customFormat="1" hidden="1">
      <c r="A106" s="556"/>
      <c r="B106" s="514"/>
      <c r="C106" s="559">
        <v>100</v>
      </c>
      <c r="D106" s="554">
        <v>101</v>
      </c>
      <c r="E106" s="554">
        <v>102</v>
      </c>
      <c r="F106" s="554">
        <v>103</v>
      </c>
      <c r="G106" s="554">
        <v>104</v>
      </c>
      <c r="H106" s="555">
        <v>105</v>
      </c>
      <c r="I106" s="555">
        <v>106</v>
      </c>
      <c r="J106" s="555">
        <v>107</v>
      </c>
      <c r="K106" s="555">
        <v>108</v>
      </c>
      <c r="L106" s="555">
        <v>109</v>
      </c>
      <c r="M106" s="615"/>
      <c r="N106" s="596"/>
      <c r="O106" s="596"/>
      <c r="P106" s="597"/>
      <c r="Q106" s="479"/>
    </row>
    <row r="107" spans="1:17" s="254" customFormat="1" hidden="1">
      <c r="A107" s="560"/>
      <c r="B107" s="512" t="s">
        <v>1151</v>
      </c>
      <c r="C107" s="561" t="s">
        <v>1175</v>
      </c>
      <c r="D107" s="561" t="s">
        <v>1176</v>
      </c>
      <c r="E107" s="561" t="s">
        <v>1177</v>
      </c>
      <c r="F107" s="561" t="s">
        <v>1178</v>
      </c>
      <c r="G107" s="561"/>
      <c r="H107" s="562"/>
      <c r="I107" s="562"/>
      <c r="J107" s="562"/>
      <c r="K107" s="622"/>
      <c r="L107" s="623"/>
      <c r="M107" s="624"/>
      <c r="N107" s="594"/>
      <c r="O107" s="594"/>
      <c r="P107" s="597"/>
      <c r="Q107" s="479"/>
    </row>
    <row r="108" spans="1:17" s="254" customFormat="1" hidden="1">
      <c r="A108" s="556"/>
      <c r="B108" s="514"/>
      <c r="C108" s="515">
        <v>100</v>
      </c>
      <c r="D108" s="515">
        <f t="shared" ref="D108:M108" si="24">C108-$K39</f>
        <v>100</v>
      </c>
      <c r="E108" s="515">
        <f t="shared" si="24"/>
        <v>100</v>
      </c>
      <c r="F108" s="515">
        <f t="shared" si="24"/>
        <v>100</v>
      </c>
      <c r="G108" s="515">
        <f t="shared" si="24"/>
        <v>100</v>
      </c>
      <c r="H108" s="430">
        <f t="shared" si="24"/>
        <v>100</v>
      </c>
      <c r="I108" s="430">
        <f t="shared" si="24"/>
        <v>100</v>
      </c>
      <c r="J108" s="430">
        <f t="shared" si="24"/>
        <v>100</v>
      </c>
      <c r="K108" s="430">
        <f t="shared" si="24"/>
        <v>100</v>
      </c>
      <c r="L108" s="430">
        <f t="shared" si="24"/>
        <v>100</v>
      </c>
      <c r="M108" s="625">
        <f t="shared" si="24"/>
        <v>100</v>
      </c>
      <c r="N108" s="596"/>
      <c r="O108" s="596"/>
      <c r="P108" s="597"/>
      <c r="Q108" s="479"/>
    </row>
    <row r="109" spans="1:17" s="254" customFormat="1" hidden="1">
      <c r="A109" s="560"/>
      <c r="B109" s="512" t="s">
        <v>1152</v>
      </c>
      <c r="C109" s="563" t="s">
        <v>1179</v>
      </c>
      <c r="D109" s="563" t="s">
        <v>1180</v>
      </c>
      <c r="E109" s="563" t="s">
        <v>1181</v>
      </c>
      <c r="F109" s="561"/>
      <c r="G109" s="561"/>
      <c r="H109" s="562"/>
      <c r="I109" s="562"/>
      <c r="J109" s="562"/>
      <c r="K109" s="622"/>
      <c r="L109" s="623"/>
      <c r="M109" s="624"/>
      <c r="N109" s="594"/>
      <c r="O109" s="594"/>
      <c r="P109" s="597"/>
      <c r="Q109" s="479"/>
    </row>
    <row r="110" spans="1:17" s="254" customFormat="1" hidden="1">
      <c r="A110" s="556"/>
      <c r="B110" s="514"/>
      <c r="C110" s="515">
        <v>100</v>
      </c>
      <c r="D110" s="515">
        <f t="shared" ref="D110:M110" si="25">C110-$K40</f>
        <v>100</v>
      </c>
      <c r="E110" s="515">
        <f t="shared" si="25"/>
        <v>100</v>
      </c>
      <c r="F110" s="515">
        <f t="shared" si="25"/>
        <v>100</v>
      </c>
      <c r="G110" s="515">
        <f t="shared" si="25"/>
        <v>100</v>
      </c>
      <c r="H110" s="430">
        <f t="shared" si="25"/>
        <v>100</v>
      </c>
      <c r="I110" s="430">
        <f t="shared" si="25"/>
        <v>100</v>
      </c>
      <c r="J110" s="430">
        <f t="shared" si="25"/>
        <v>100</v>
      </c>
      <c r="K110" s="430">
        <f t="shared" si="25"/>
        <v>100</v>
      </c>
      <c r="L110" s="430">
        <f t="shared" si="25"/>
        <v>100</v>
      </c>
      <c r="M110" s="625">
        <f t="shared" si="25"/>
        <v>100</v>
      </c>
      <c r="N110" s="596"/>
      <c r="O110" s="596"/>
      <c r="P110" s="597"/>
      <c r="Q110" s="479"/>
    </row>
    <row r="111" spans="1:17" s="253" customFormat="1" hidden="1">
      <c r="A111" s="564"/>
      <c r="B111" s="512" t="s">
        <v>1153</v>
      </c>
      <c r="C111" s="563" t="s">
        <v>57</v>
      </c>
      <c r="D111" s="563" t="s">
        <v>69</v>
      </c>
      <c r="E111" s="563" t="s">
        <v>81</v>
      </c>
      <c r="F111" s="563" t="s">
        <v>91</v>
      </c>
      <c r="G111" s="563" t="s">
        <v>100</v>
      </c>
      <c r="H111" s="562"/>
      <c r="I111" s="562"/>
      <c r="J111" s="562"/>
      <c r="K111" s="622"/>
      <c r="L111" s="623"/>
      <c r="M111" s="624"/>
      <c r="N111" s="584"/>
      <c r="O111" s="584"/>
      <c r="P111" s="586"/>
      <c r="Q111" s="629"/>
    </row>
    <row r="112" spans="1:17" s="253" customFormat="1" hidden="1">
      <c r="A112" s="565"/>
      <c r="B112" s="514"/>
      <c r="C112" s="515">
        <v>100</v>
      </c>
      <c r="D112" s="515">
        <f t="shared" ref="D112:M112" si="26">C112-$K41</f>
        <v>100</v>
      </c>
      <c r="E112" s="515">
        <f t="shared" si="26"/>
        <v>100</v>
      </c>
      <c r="F112" s="515">
        <f t="shared" si="26"/>
        <v>100</v>
      </c>
      <c r="G112" s="515">
        <f t="shared" si="26"/>
        <v>100</v>
      </c>
      <c r="H112" s="430">
        <f t="shared" si="26"/>
        <v>100</v>
      </c>
      <c r="I112" s="430">
        <f t="shared" si="26"/>
        <v>100</v>
      </c>
      <c r="J112" s="430">
        <f t="shared" si="26"/>
        <v>100</v>
      </c>
      <c r="K112" s="430">
        <f t="shared" si="26"/>
        <v>100</v>
      </c>
      <c r="L112" s="430">
        <f t="shared" si="26"/>
        <v>100</v>
      </c>
      <c r="M112" s="625">
        <f t="shared" si="26"/>
        <v>100</v>
      </c>
      <c r="N112" s="584"/>
      <c r="O112" s="584"/>
      <c r="P112" s="586"/>
      <c r="Q112" s="629"/>
    </row>
    <row r="113" spans="1:17" s="254" customFormat="1" hidden="1">
      <c r="A113" s="560"/>
      <c r="B113" s="512" t="s">
        <v>1154</v>
      </c>
      <c r="C113" s="563" t="s">
        <v>433</v>
      </c>
      <c r="D113" s="563" t="s">
        <v>434</v>
      </c>
      <c r="E113" s="561" t="s">
        <v>435</v>
      </c>
      <c r="F113" s="561" t="s">
        <v>436</v>
      </c>
      <c r="G113" s="561" t="s">
        <v>437</v>
      </c>
      <c r="H113" s="562"/>
      <c r="I113" s="562"/>
      <c r="J113" s="562"/>
      <c r="K113" s="622"/>
      <c r="L113" s="623"/>
      <c r="M113" s="624"/>
      <c r="N113" s="594"/>
      <c r="O113" s="594"/>
      <c r="P113" s="597"/>
      <c r="Q113" s="479"/>
    </row>
    <row r="114" spans="1:17" s="254" customFormat="1" hidden="1">
      <c r="A114" s="556"/>
      <c r="B114" s="514"/>
      <c r="C114" s="515">
        <v>100</v>
      </c>
      <c r="D114" s="515">
        <f t="shared" ref="D114:M114" si="27">C114-$K42</f>
        <v>100</v>
      </c>
      <c r="E114" s="515">
        <f t="shared" si="27"/>
        <v>100</v>
      </c>
      <c r="F114" s="515">
        <f t="shared" si="27"/>
        <v>100</v>
      </c>
      <c r="G114" s="515">
        <f t="shared" si="27"/>
        <v>100</v>
      </c>
      <c r="H114" s="430">
        <f t="shared" si="27"/>
        <v>100</v>
      </c>
      <c r="I114" s="430">
        <f t="shared" si="27"/>
        <v>100</v>
      </c>
      <c r="J114" s="430">
        <f t="shared" si="27"/>
        <v>100</v>
      </c>
      <c r="K114" s="430">
        <f t="shared" si="27"/>
        <v>100</v>
      </c>
      <c r="L114" s="430">
        <f t="shared" si="27"/>
        <v>100</v>
      </c>
      <c r="M114" s="625">
        <f t="shared" si="27"/>
        <v>100</v>
      </c>
      <c r="N114" s="596"/>
      <c r="O114" s="596"/>
      <c r="P114" s="597"/>
      <c r="Q114" s="479"/>
    </row>
    <row r="115" spans="1:17" s="254" customFormat="1" hidden="1">
      <c r="A115" s="560"/>
      <c r="B115" s="512">
        <f>B43</f>
        <v>111</v>
      </c>
      <c r="C115" s="563">
        <v>111</v>
      </c>
      <c r="D115" s="563">
        <v>222</v>
      </c>
      <c r="E115" s="563">
        <v>333</v>
      </c>
      <c r="F115" s="563">
        <v>444</v>
      </c>
      <c r="G115" s="563"/>
      <c r="H115" s="562"/>
      <c r="I115" s="562"/>
      <c r="J115" s="562"/>
      <c r="K115" s="622"/>
      <c r="L115" s="623"/>
      <c r="M115" s="624"/>
      <c r="N115" s="594"/>
      <c r="O115" s="594"/>
      <c r="P115" s="597"/>
      <c r="Q115" s="479"/>
    </row>
    <row r="116" spans="1:17" s="254" customFormat="1" hidden="1">
      <c r="A116" s="556"/>
      <c r="B116" s="514"/>
      <c r="C116" s="536">
        <v>100</v>
      </c>
      <c r="D116" s="536">
        <v>99</v>
      </c>
      <c r="E116" s="536">
        <v>98</v>
      </c>
      <c r="F116" s="536">
        <v>97</v>
      </c>
      <c r="G116" s="515"/>
      <c r="H116" s="431"/>
      <c r="I116" s="431"/>
      <c r="J116" s="431"/>
      <c r="K116" s="431"/>
      <c r="L116" s="431"/>
      <c r="M116" s="493"/>
      <c r="N116" s="596"/>
      <c r="O116" s="596"/>
      <c r="P116" s="597"/>
      <c r="Q116" s="479"/>
    </row>
    <row r="117" spans="1:17" s="254" customFormat="1" hidden="1">
      <c r="A117" s="560"/>
      <c r="B117" s="512">
        <f>B44</f>
        <v>111</v>
      </c>
      <c r="C117" s="566">
        <v>111</v>
      </c>
      <c r="D117" s="566">
        <v>222</v>
      </c>
      <c r="E117" s="566">
        <v>333</v>
      </c>
      <c r="F117" s="566">
        <v>444</v>
      </c>
      <c r="G117" s="561"/>
      <c r="H117" s="562"/>
      <c r="I117" s="562"/>
      <c r="J117" s="562"/>
      <c r="K117" s="622"/>
      <c r="L117" s="623"/>
      <c r="M117" s="624"/>
      <c r="N117" s="594"/>
      <c r="O117" s="594"/>
      <c r="P117" s="597"/>
      <c r="Q117" s="479"/>
    </row>
    <row r="118" spans="1:17" s="254" customFormat="1" hidden="1">
      <c r="A118" s="556"/>
      <c r="B118" s="516"/>
      <c r="C118" s="567">
        <v>100</v>
      </c>
      <c r="D118" s="567">
        <v>98</v>
      </c>
      <c r="E118" s="567">
        <v>96</v>
      </c>
      <c r="F118" s="567">
        <v>94</v>
      </c>
      <c r="G118" s="455"/>
      <c r="H118" s="568"/>
      <c r="I118" s="568"/>
      <c r="J118" s="568"/>
      <c r="K118" s="568"/>
      <c r="L118" s="568"/>
      <c r="M118" s="626"/>
      <c r="N118" s="596"/>
      <c r="O118" s="596"/>
      <c r="P118" s="597"/>
      <c r="Q118" s="479"/>
    </row>
    <row r="119" spans="1:17" s="249" customFormat="1">
      <c r="A119" s="569" t="str">
        <f>A45</f>
        <v>实物状况</v>
      </c>
      <c r="B119" s="426"/>
      <c r="C119" s="550" t="s">
        <v>433</v>
      </c>
      <c r="D119" s="550" t="s">
        <v>434</v>
      </c>
      <c r="E119" s="550" t="s">
        <v>435</v>
      </c>
      <c r="F119" s="550" t="s">
        <v>436</v>
      </c>
      <c r="G119" s="550" t="s">
        <v>437</v>
      </c>
      <c r="H119" s="570"/>
      <c r="I119" s="570"/>
      <c r="J119" s="570"/>
      <c r="K119" s="570"/>
      <c r="L119" s="613"/>
      <c r="M119" s="614"/>
      <c r="N119" s="580"/>
      <c r="O119" s="580"/>
      <c r="P119" s="581"/>
      <c r="Q119" s="627"/>
    </row>
    <row r="120" spans="1:17" s="249" customFormat="1" ht="15">
      <c r="A120" s="528"/>
      <c r="B120" s="571"/>
      <c r="C120" s="553">
        <v>100</v>
      </c>
      <c r="D120" s="554">
        <f>C120-$K45</f>
        <v>100</v>
      </c>
      <c r="E120" s="554">
        <f>D120-$K45</f>
        <v>100</v>
      </c>
      <c r="F120" s="554">
        <f>E120-$K45</f>
        <v>100</v>
      </c>
      <c r="G120" s="554">
        <f>F120-$K45</f>
        <v>100</v>
      </c>
      <c r="H120" s="555"/>
      <c r="I120" s="555"/>
      <c r="J120" s="555"/>
      <c r="K120" s="555"/>
      <c r="L120" s="555"/>
      <c r="M120" s="615"/>
      <c r="N120" s="580"/>
      <c r="O120" s="580"/>
      <c r="P120" s="581"/>
      <c r="Q120" s="627"/>
    </row>
  </sheetData>
  <sheetProtection password="CEE9" sheet="1" objects="1" scenarios="1" formatCells="0" formatColumns="0" formatRows="0"/>
  <mergeCells count="40">
    <mergeCell ref="AA4:AA6"/>
    <mergeCell ref="AB4:AB6"/>
    <mergeCell ref="AC4:AC6"/>
    <mergeCell ref="Y4:Z6"/>
    <mergeCell ref="P4:Q6"/>
    <mergeCell ref="R4:S6"/>
    <mergeCell ref="T4:U6"/>
    <mergeCell ref="V4:W6"/>
    <mergeCell ref="P47:Q47"/>
    <mergeCell ref="R47:S47"/>
    <mergeCell ref="T47:U47"/>
    <mergeCell ref="V47:W47"/>
    <mergeCell ref="P48:Q48"/>
    <mergeCell ref="R48:W48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C6:D6"/>
    <mergeCell ref="E6:F6"/>
    <mergeCell ref="G6:H6"/>
    <mergeCell ref="I6:J6"/>
    <mergeCell ref="P7:Q7"/>
    <mergeCell ref="C4:D4"/>
    <mergeCell ref="E4:F4"/>
    <mergeCell ref="G4:H4"/>
    <mergeCell ref="I4:J4"/>
    <mergeCell ref="C5:D5"/>
    <mergeCell ref="E5:F5"/>
    <mergeCell ref="G5:H5"/>
    <mergeCell ref="I5:J5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8 E8 G8 I8" xr:uid="{00000000-0002-0000-1000-000000000000}">
      <formula1>套综交易情况</formula1>
    </dataValidation>
    <dataValidation type="list" allowBlank="1" showInputMessage="1" showErrorMessage="1" sqref="C39 E39 G39 I39" xr:uid="{00000000-0002-0000-1000-000001000000}">
      <formula1>套综宗地形状</formula1>
    </dataValidation>
    <dataValidation type="list" allowBlank="1" showInputMessage="1" showErrorMessage="1" sqref="E9 G9 I9" xr:uid="{00000000-0002-0000-1000-000002000000}">
      <formula1>套综用途</formula1>
    </dataValidation>
    <dataValidation type="list" allowBlank="1" showInputMessage="1" showErrorMessage="1" sqref="C20 E20 G20 I20" xr:uid="{00000000-0002-0000-1000-000003000000}">
      <formula1>办公集聚程度</formula1>
    </dataValidation>
    <dataValidation type="list" allowBlank="1" showInputMessage="1" showErrorMessage="1" sqref="B11" xr:uid="{00000000-0002-0000-1000-000004000000}">
      <formula1>"容积率,设定容积率"</formula1>
    </dataValidation>
    <dataValidation type="list" allowBlank="1" showInputMessage="1" showErrorMessage="1" sqref="C16 E16 G16 I16" xr:uid="{00000000-0002-0000-1000-000005000000}">
      <formula1>居住社区成熟度</formula1>
    </dataValidation>
    <dataValidation type="list" allowBlank="1" showInputMessage="1" showErrorMessage="1" sqref="C18 E18 G18 I18" xr:uid="{00000000-0002-0000-1000-000006000000}">
      <formula1>商业繁华度</formula1>
    </dataValidation>
    <dataValidation type="list" allowBlank="1" showInputMessage="1" showErrorMessage="1" sqref="E12 G12 I12" xr:uid="{00000000-0002-0000-1000-000007000000}">
      <formula1>土地级别</formula1>
    </dataValidation>
    <dataValidation type="list" allowBlank="1" showInputMessage="1" showErrorMessage="1" sqref="C22 E22 G22 I22" xr:uid="{00000000-0002-0000-1000-000008000000}">
      <formula1>交通便捷度</formula1>
    </dataValidation>
    <dataValidation type="list" allowBlank="1" showInputMessage="1" showErrorMessage="1" sqref="C24 E24 G24 I24" xr:uid="{00000000-0002-0000-1000-000009000000}">
      <formula1>区域土地利用方向</formula1>
    </dataValidation>
    <dataValidation type="list" allowBlank="1" showInputMessage="1" showErrorMessage="1" sqref="C42 E42 G42 I42" xr:uid="{00000000-0002-0000-1000-00000A000000}">
      <formula1>套综工程地质条件</formula1>
    </dataValidation>
    <dataValidation type="list" allowBlank="1" showInputMessage="1" showErrorMessage="1" sqref="C25" xr:uid="{00000000-0002-0000-1000-00000B000000}">
      <formula1>住宅朝向</formula1>
    </dataValidation>
    <dataValidation type="list" allowBlank="1" showInputMessage="1" showErrorMessage="1" sqref="C26 E26 G26 I26" xr:uid="{00000000-0002-0000-1000-00000C000000}">
      <formula1>环境</formula1>
    </dataValidation>
    <dataValidation type="list" allowBlank="1" showInputMessage="1" showErrorMessage="1" sqref="C28 E28 G28 I28" xr:uid="{00000000-0002-0000-1000-00000D000000}">
      <formula1>公共配套设施</formula1>
    </dataValidation>
    <dataValidation type="list" allowBlank="1" showInputMessage="1" showErrorMessage="1" sqref="C30 E30 G30 I30" xr:uid="{00000000-0002-0000-1000-00000E000000}">
      <formula1>基础设施水平</formula1>
    </dataValidation>
    <dataValidation type="list" allowBlank="1" showInputMessage="1" showErrorMessage="1" sqref="C31 E31 G31 I31" xr:uid="{00000000-0002-0000-1000-00000F000000}">
      <formula1>临街状况</formula1>
    </dataValidation>
    <dataValidation type="list" allowBlank="1" showInputMessage="1" showErrorMessage="1" sqref="C33 E33 G33 I33" xr:uid="{00000000-0002-0000-1000-000010000000}">
      <formula1>套综道路等级</formula1>
    </dataValidation>
    <dataValidation type="list" allowBlank="1" showInputMessage="1" showErrorMessage="1" sqref="C34 E34 G34 I34" xr:uid="{00000000-0002-0000-1000-000011000000}">
      <formula1>套综土地级别</formula1>
    </dataValidation>
    <dataValidation type="list" allowBlank="1" showInputMessage="1" showErrorMessage="1" sqref="C37 E37 G37 I37 C45 E45 G45 I45" xr:uid="{00000000-0002-0000-1000-000012000000}">
      <formula1>五等判定</formula1>
    </dataValidation>
    <dataValidation type="list" allowBlank="1" showInputMessage="1" showErrorMessage="1" sqref="C40 E40 G40 I40" xr:uid="{00000000-0002-0000-1000-000013000000}">
      <formula1>套综临街宽度及深度</formula1>
    </dataValidation>
    <dataValidation type="list" allowBlank="1" showInputMessage="1" showErrorMessage="1" sqref="C41 E41 G41 I41" xr:uid="{00000000-0002-0000-1000-000014000000}">
      <formula1>套综宗地内开发程度</formula1>
    </dataValidation>
    <dataValidation type="list" allowBlank="1" showInputMessage="1" showErrorMessage="1" sqref="B46" xr:uid="{00000000-0002-0000-1000-000015000000}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topLeftCell="A16" zoomScaleSheetLayoutView="90" workbookViewId="0">
      <selection activeCell="A49" sqref="A49:XFD49"/>
    </sheetView>
  </sheetViews>
  <sheetFormatPr defaultColWidth="9" defaultRowHeight="12"/>
  <cols>
    <col min="1" max="1" width="4.875" style="191" customWidth="1"/>
    <col min="2" max="2" width="18.5" style="192" customWidth="1"/>
    <col min="3" max="3" width="15.625" style="192" customWidth="1"/>
    <col min="4" max="4" width="9.375" style="192" customWidth="1"/>
    <col min="5" max="6" width="9" style="192"/>
    <col min="7" max="7" width="9.375" style="192" customWidth="1"/>
    <col min="8" max="9" width="9" style="192"/>
    <col min="10" max="10" width="9.375" style="192" customWidth="1"/>
    <col min="11" max="11" width="4" style="191" customWidth="1"/>
    <col min="12" max="12" width="5.125" style="192" customWidth="1"/>
    <col min="13" max="13" width="13.75" style="192" customWidth="1"/>
    <col min="14" max="256" width="9" style="192"/>
    <col min="257" max="257" width="4.875" style="192" customWidth="1"/>
    <col min="258" max="258" width="11.75" style="192" customWidth="1"/>
    <col min="259" max="259" width="17.75" style="192" customWidth="1"/>
    <col min="260" max="260" width="9.375" style="192" customWidth="1"/>
    <col min="261" max="262" width="9" style="192"/>
    <col min="263" max="263" width="9.375" style="192" customWidth="1"/>
    <col min="264" max="266" width="9" style="192"/>
    <col min="267" max="267" width="2.625" style="192" customWidth="1"/>
    <col min="268" max="268" width="5.125" style="192" customWidth="1"/>
    <col min="269" max="269" width="13.75" style="192" customWidth="1"/>
    <col min="270" max="512" width="9" style="192"/>
    <col min="513" max="513" width="4.875" style="192" customWidth="1"/>
    <col min="514" max="514" width="11.75" style="192" customWidth="1"/>
    <col min="515" max="515" width="17.75" style="192" customWidth="1"/>
    <col min="516" max="516" width="9.375" style="192" customWidth="1"/>
    <col min="517" max="518" width="9" style="192"/>
    <col min="519" max="519" width="9.375" style="192" customWidth="1"/>
    <col min="520" max="522" width="9" style="192"/>
    <col min="523" max="523" width="2.625" style="192" customWidth="1"/>
    <col min="524" max="524" width="5.125" style="192" customWidth="1"/>
    <col min="525" max="525" width="13.75" style="192" customWidth="1"/>
    <col min="526" max="768" width="9" style="192"/>
    <col min="769" max="769" width="4.875" style="192" customWidth="1"/>
    <col min="770" max="770" width="11.75" style="192" customWidth="1"/>
    <col min="771" max="771" width="17.75" style="192" customWidth="1"/>
    <col min="772" max="772" width="9.375" style="192" customWidth="1"/>
    <col min="773" max="774" width="9" style="192"/>
    <col min="775" max="775" width="9.375" style="192" customWidth="1"/>
    <col min="776" max="778" width="9" style="192"/>
    <col min="779" max="779" width="2.625" style="192" customWidth="1"/>
    <col min="780" max="780" width="5.125" style="192" customWidth="1"/>
    <col min="781" max="781" width="13.75" style="192" customWidth="1"/>
    <col min="782" max="1024" width="9" style="192"/>
    <col min="1025" max="1025" width="4.875" style="192" customWidth="1"/>
    <col min="1026" max="1026" width="11.75" style="192" customWidth="1"/>
    <col min="1027" max="1027" width="17.75" style="192" customWidth="1"/>
    <col min="1028" max="1028" width="9.375" style="192" customWidth="1"/>
    <col min="1029" max="1030" width="9" style="192"/>
    <col min="1031" max="1031" width="9.375" style="192" customWidth="1"/>
    <col min="1032" max="1034" width="9" style="192"/>
    <col min="1035" max="1035" width="2.625" style="192" customWidth="1"/>
    <col min="1036" max="1036" width="5.125" style="192" customWidth="1"/>
    <col min="1037" max="1037" width="13.75" style="192" customWidth="1"/>
    <col min="1038" max="1280" width="9" style="192"/>
    <col min="1281" max="1281" width="4.875" style="192" customWidth="1"/>
    <col min="1282" max="1282" width="11.75" style="192" customWidth="1"/>
    <col min="1283" max="1283" width="17.75" style="192" customWidth="1"/>
    <col min="1284" max="1284" width="9.375" style="192" customWidth="1"/>
    <col min="1285" max="1286" width="9" style="192"/>
    <col min="1287" max="1287" width="9.375" style="192" customWidth="1"/>
    <col min="1288" max="1290" width="9" style="192"/>
    <col min="1291" max="1291" width="2.625" style="192" customWidth="1"/>
    <col min="1292" max="1292" width="5.125" style="192" customWidth="1"/>
    <col min="1293" max="1293" width="13.75" style="192" customWidth="1"/>
    <col min="1294" max="1536" width="9" style="192"/>
    <col min="1537" max="1537" width="4.875" style="192" customWidth="1"/>
    <col min="1538" max="1538" width="11.75" style="192" customWidth="1"/>
    <col min="1539" max="1539" width="17.75" style="192" customWidth="1"/>
    <col min="1540" max="1540" width="9.375" style="192" customWidth="1"/>
    <col min="1541" max="1542" width="9" style="192"/>
    <col min="1543" max="1543" width="9.375" style="192" customWidth="1"/>
    <col min="1544" max="1546" width="9" style="192"/>
    <col min="1547" max="1547" width="2.625" style="192" customWidth="1"/>
    <col min="1548" max="1548" width="5.125" style="192" customWidth="1"/>
    <col min="1549" max="1549" width="13.75" style="192" customWidth="1"/>
    <col min="1550" max="1792" width="9" style="192"/>
    <col min="1793" max="1793" width="4.875" style="192" customWidth="1"/>
    <col min="1794" max="1794" width="11.75" style="192" customWidth="1"/>
    <col min="1795" max="1795" width="17.75" style="192" customWidth="1"/>
    <col min="1796" max="1796" width="9.375" style="192" customWidth="1"/>
    <col min="1797" max="1798" width="9" style="192"/>
    <col min="1799" max="1799" width="9.375" style="192" customWidth="1"/>
    <col min="1800" max="1802" width="9" style="192"/>
    <col min="1803" max="1803" width="2.625" style="192" customWidth="1"/>
    <col min="1804" max="1804" width="5.125" style="192" customWidth="1"/>
    <col min="1805" max="1805" width="13.75" style="192" customWidth="1"/>
    <col min="1806" max="2048" width="9" style="192"/>
    <col min="2049" max="2049" width="4.875" style="192" customWidth="1"/>
    <col min="2050" max="2050" width="11.75" style="192" customWidth="1"/>
    <col min="2051" max="2051" width="17.75" style="192" customWidth="1"/>
    <col min="2052" max="2052" width="9.375" style="192" customWidth="1"/>
    <col min="2053" max="2054" width="9" style="192"/>
    <col min="2055" max="2055" width="9.375" style="192" customWidth="1"/>
    <col min="2056" max="2058" width="9" style="192"/>
    <col min="2059" max="2059" width="2.625" style="192" customWidth="1"/>
    <col min="2060" max="2060" width="5.125" style="192" customWidth="1"/>
    <col min="2061" max="2061" width="13.75" style="192" customWidth="1"/>
    <col min="2062" max="2304" width="9" style="192"/>
    <col min="2305" max="2305" width="4.875" style="192" customWidth="1"/>
    <col min="2306" max="2306" width="11.75" style="192" customWidth="1"/>
    <col min="2307" max="2307" width="17.75" style="192" customWidth="1"/>
    <col min="2308" max="2308" width="9.375" style="192" customWidth="1"/>
    <col min="2309" max="2310" width="9" style="192"/>
    <col min="2311" max="2311" width="9.375" style="192" customWidth="1"/>
    <col min="2312" max="2314" width="9" style="192"/>
    <col min="2315" max="2315" width="2.625" style="192" customWidth="1"/>
    <col min="2316" max="2316" width="5.125" style="192" customWidth="1"/>
    <col min="2317" max="2317" width="13.75" style="192" customWidth="1"/>
    <col min="2318" max="2560" width="9" style="192"/>
    <col min="2561" max="2561" width="4.875" style="192" customWidth="1"/>
    <col min="2562" max="2562" width="11.75" style="192" customWidth="1"/>
    <col min="2563" max="2563" width="17.75" style="192" customWidth="1"/>
    <col min="2564" max="2564" width="9.375" style="192" customWidth="1"/>
    <col min="2565" max="2566" width="9" style="192"/>
    <col min="2567" max="2567" width="9.375" style="192" customWidth="1"/>
    <col min="2568" max="2570" width="9" style="192"/>
    <col min="2571" max="2571" width="2.625" style="192" customWidth="1"/>
    <col min="2572" max="2572" width="5.125" style="192" customWidth="1"/>
    <col min="2573" max="2573" width="13.75" style="192" customWidth="1"/>
    <col min="2574" max="2816" width="9" style="192"/>
    <col min="2817" max="2817" width="4.875" style="192" customWidth="1"/>
    <col min="2818" max="2818" width="11.75" style="192" customWidth="1"/>
    <col min="2819" max="2819" width="17.75" style="192" customWidth="1"/>
    <col min="2820" max="2820" width="9.375" style="192" customWidth="1"/>
    <col min="2821" max="2822" width="9" style="192"/>
    <col min="2823" max="2823" width="9.375" style="192" customWidth="1"/>
    <col min="2824" max="2826" width="9" style="192"/>
    <col min="2827" max="2827" width="2.625" style="192" customWidth="1"/>
    <col min="2828" max="2828" width="5.125" style="192" customWidth="1"/>
    <col min="2829" max="2829" width="13.75" style="192" customWidth="1"/>
    <col min="2830" max="3072" width="9" style="192"/>
    <col min="3073" max="3073" width="4.875" style="192" customWidth="1"/>
    <col min="3074" max="3074" width="11.75" style="192" customWidth="1"/>
    <col min="3075" max="3075" width="17.75" style="192" customWidth="1"/>
    <col min="3076" max="3076" width="9.375" style="192" customWidth="1"/>
    <col min="3077" max="3078" width="9" style="192"/>
    <col min="3079" max="3079" width="9.375" style="192" customWidth="1"/>
    <col min="3080" max="3082" width="9" style="192"/>
    <col min="3083" max="3083" width="2.625" style="192" customWidth="1"/>
    <col min="3084" max="3084" width="5.125" style="192" customWidth="1"/>
    <col min="3085" max="3085" width="13.75" style="192" customWidth="1"/>
    <col min="3086" max="3328" width="9" style="192"/>
    <col min="3329" max="3329" width="4.875" style="192" customWidth="1"/>
    <col min="3330" max="3330" width="11.75" style="192" customWidth="1"/>
    <col min="3331" max="3331" width="17.75" style="192" customWidth="1"/>
    <col min="3332" max="3332" width="9.375" style="192" customWidth="1"/>
    <col min="3333" max="3334" width="9" style="192"/>
    <col min="3335" max="3335" width="9.375" style="192" customWidth="1"/>
    <col min="3336" max="3338" width="9" style="192"/>
    <col min="3339" max="3339" width="2.625" style="192" customWidth="1"/>
    <col min="3340" max="3340" width="5.125" style="192" customWidth="1"/>
    <col min="3341" max="3341" width="13.75" style="192" customWidth="1"/>
    <col min="3342" max="3584" width="9" style="192"/>
    <col min="3585" max="3585" width="4.875" style="192" customWidth="1"/>
    <col min="3586" max="3586" width="11.75" style="192" customWidth="1"/>
    <col min="3587" max="3587" width="17.75" style="192" customWidth="1"/>
    <col min="3588" max="3588" width="9.375" style="192" customWidth="1"/>
    <col min="3589" max="3590" width="9" style="192"/>
    <col min="3591" max="3591" width="9.375" style="192" customWidth="1"/>
    <col min="3592" max="3594" width="9" style="192"/>
    <col min="3595" max="3595" width="2.625" style="192" customWidth="1"/>
    <col min="3596" max="3596" width="5.125" style="192" customWidth="1"/>
    <col min="3597" max="3597" width="13.75" style="192" customWidth="1"/>
    <col min="3598" max="3840" width="9" style="192"/>
    <col min="3841" max="3841" width="4.875" style="192" customWidth="1"/>
    <col min="3842" max="3842" width="11.75" style="192" customWidth="1"/>
    <col min="3843" max="3843" width="17.75" style="192" customWidth="1"/>
    <col min="3844" max="3844" width="9.375" style="192" customWidth="1"/>
    <col min="3845" max="3846" width="9" style="192"/>
    <col min="3847" max="3847" width="9.375" style="192" customWidth="1"/>
    <col min="3848" max="3850" width="9" style="192"/>
    <col min="3851" max="3851" width="2.625" style="192" customWidth="1"/>
    <col min="3852" max="3852" width="5.125" style="192" customWidth="1"/>
    <col min="3853" max="3853" width="13.75" style="192" customWidth="1"/>
    <col min="3854" max="4096" width="9" style="192"/>
    <col min="4097" max="4097" width="4.875" style="192" customWidth="1"/>
    <col min="4098" max="4098" width="11.75" style="192" customWidth="1"/>
    <col min="4099" max="4099" width="17.75" style="192" customWidth="1"/>
    <col min="4100" max="4100" width="9.375" style="192" customWidth="1"/>
    <col min="4101" max="4102" width="9" style="192"/>
    <col min="4103" max="4103" width="9.375" style="192" customWidth="1"/>
    <col min="4104" max="4106" width="9" style="192"/>
    <col min="4107" max="4107" width="2.625" style="192" customWidth="1"/>
    <col min="4108" max="4108" width="5.125" style="192" customWidth="1"/>
    <col min="4109" max="4109" width="13.75" style="192" customWidth="1"/>
    <col min="4110" max="4352" width="9" style="192"/>
    <col min="4353" max="4353" width="4.875" style="192" customWidth="1"/>
    <col min="4354" max="4354" width="11.75" style="192" customWidth="1"/>
    <col min="4355" max="4355" width="17.75" style="192" customWidth="1"/>
    <col min="4356" max="4356" width="9.375" style="192" customWidth="1"/>
    <col min="4357" max="4358" width="9" style="192"/>
    <col min="4359" max="4359" width="9.375" style="192" customWidth="1"/>
    <col min="4360" max="4362" width="9" style="192"/>
    <col min="4363" max="4363" width="2.625" style="192" customWidth="1"/>
    <col min="4364" max="4364" width="5.125" style="192" customWidth="1"/>
    <col min="4365" max="4365" width="13.75" style="192" customWidth="1"/>
    <col min="4366" max="4608" width="9" style="192"/>
    <col min="4609" max="4609" width="4.875" style="192" customWidth="1"/>
    <col min="4610" max="4610" width="11.75" style="192" customWidth="1"/>
    <col min="4611" max="4611" width="17.75" style="192" customWidth="1"/>
    <col min="4612" max="4612" width="9.375" style="192" customWidth="1"/>
    <col min="4613" max="4614" width="9" style="192"/>
    <col min="4615" max="4615" width="9.375" style="192" customWidth="1"/>
    <col min="4616" max="4618" width="9" style="192"/>
    <col min="4619" max="4619" width="2.625" style="192" customWidth="1"/>
    <col min="4620" max="4620" width="5.125" style="192" customWidth="1"/>
    <col min="4621" max="4621" width="13.75" style="192" customWidth="1"/>
    <col min="4622" max="4864" width="9" style="192"/>
    <col min="4865" max="4865" width="4.875" style="192" customWidth="1"/>
    <col min="4866" max="4866" width="11.75" style="192" customWidth="1"/>
    <col min="4867" max="4867" width="17.75" style="192" customWidth="1"/>
    <col min="4868" max="4868" width="9.375" style="192" customWidth="1"/>
    <col min="4869" max="4870" width="9" style="192"/>
    <col min="4871" max="4871" width="9.375" style="192" customWidth="1"/>
    <col min="4872" max="4874" width="9" style="192"/>
    <col min="4875" max="4875" width="2.625" style="192" customWidth="1"/>
    <col min="4876" max="4876" width="5.125" style="192" customWidth="1"/>
    <col min="4877" max="4877" width="13.75" style="192" customWidth="1"/>
    <col min="4878" max="5120" width="9" style="192"/>
    <col min="5121" max="5121" width="4.875" style="192" customWidth="1"/>
    <col min="5122" max="5122" width="11.75" style="192" customWidth="1"/>
    <col min="5123" max="5123" width="17.75" style="192" customWidth="1"/>
    <col min="5124" max="5124" width="9.375" style="192" customWidth="1"/>
    <col min="5125" max="5126" width="9" style="192"/>
    <col min="5127" max="5127" width="9.375" style="192" customWidth="1"/>
    <col min="5128" max="5130" width="9" style="192"/>
    <col min="5131" max="5131" width="2.625" style="192" customWidth="1"/>
    <col min="5132" max="5132" width="5.125" style="192" customWidth="1"/>
    <col min="5133" max="5133" width="13.75" style="192" customWidth="1"/>
    <col min="5134" max="5376" width="9" style="192"/>
    <col min="5377" max="5377" width="4.875" style="192" customWidth="1"/>
    <col min="5378" max="5378" width="11.75" style="192" customWidth="1"/>
    <col min="5379" max="5379" width="17.75" style="192" customWidth="1"/>
    <col min="5380" max="5380" width="9.375" style="192" customWidth="1"/>
    <col min="5381" max="5382" width="9" style="192"/>
    <col min="5383" max="5383" width="9.375" style="192" customWidth="1"/>
    <col min="5384" max="5386" width="9" style="192"/>
    <col min="5387" max="5387" width="2.625" style="192" customWidth="1"/>
    <col min="5388" max="5388" width="5.125" style="192" customWidth="1"/>
    <col min="5389" max="5389" width="13.75" style="192" customWidth="1"/>
    <col min="5390" max="5632" width="9" style="192"/>
    <col min="5633" max="5633" width="4.875" style="192" customWidth="1"/>
    <col min="5634" max="5634" width="11.75" style="192" customWidth="1"/>
    <col min="5635" max="5635" width="17.75" style="192" customWidth="1"/>
    <col min="5636" max="5636" width="9.375" style="192" customWidth="1"/>
    <col min="5637" max="5638" width="9" style="192"/>
    <col min="5639" max="5639" width="9.375" style="192" customWidth="1"/>
    <col min="5640" max="5642" width="9" style="192"/>
    <col min="5643" max="5643" width="2.625" style="192" customWidth="1"/>
    <col min="5644" max="5644" width="5.125" style="192" customWidth="1"/>
    <col min="5645" max="5645" width="13.75" style="192" customWidth="1"/>
    <col min="5646" max="5888" width="9" style="192"/>
    <col min="5889" max="5889" width="4.875" style="192" customWidth="1"/>
    <col min="5890" max="5890" width="11.75" style="192" customWidth="1"/>
    <col min="5891" max="5891" width="17.75" style="192" customWidth="1"/>
    <col min="5892" max="5892" width="9.375" style="192" customWidth="1"/>
    <col min="5893" max="5894" width="9" style="192"/>
    <col min="5895" max="5895" width="9.375" style="192" customWidth="1"/>
    <col min="5896" max="5898" width="9" style="192"/>
    <col min="5899" max="5899" width="2.625" style="192" customWidth="1"/>
    <col min="5900" max="5900" width="5.125" style="192" customWidth="1"/>
    <col min="5901" max="5901" width="13.75" style="192" customWidth="1"/>
    <col min="5902" max="6144" width="9" style="192"/>
    <col min="6145" max="6145" width="4.875" style="192" customWidth="1"/>
    <col min="6146" max="6146" width="11.75" style="192" customWidth="1"/>
    <col min="6147" max="6147" width="17.75" style="192" customWidth="1"/>
    <col min="6148" max="6148" width="9.375" style="192" customWidth="1"/>
    <col min="6149" max="6150" width="9" style="192"/>
    <col min="6151" max="6151" width="9.375" style="192" customWidth="1"/>
    <col min="6152" max="6154" width="9" style="192"/>
    <col min="6155" max="6155" width="2.625" style="192" customWidth="1"/>
    <col min="6156" max="6156" width="5.125" style="192" customWidth="1"/>
    <col min="6157" max="6157" width="13.75" style="192" customWidth="1"/>
    <col min="6158" max="6400" width="9" style="192"/>
    <col min="6401" max="6401" width="4.875" style="192" customWidth="1"/>
    <col min="6402" max="6402" width="11.75" style="192" customWidth="1"/>
    <col min="6403" max="6403" width="17.75" style="192" customWidth="1"/>
    <col min="6404" max="6404" width="9.375" style="192" customWidth="1"/>
    <col min="6405" max="6406" width="9" style="192"/>
    <col min="6407" max="6407" width="9.375" style="192" customWidth="1"/>
    <col min="6408" max="6410" width="9" style="192"/>
    <col min="6411" max="6411" width="2.625" style="192" customWidth="1"/>
    <col min="6412" max="6412" width="5.125" style="192" customWidth="1"/>
    <col min="6413" max="6413" width="13.75" style="192" customWidth="1"/>
    <col min="6414" max="6656" width="9" style="192"/>
    <col min="6657" max="6657" width="4.875" style="192" customWidth="1"/>
    <col min="6658" max="6658" width="11.75" style="192" customWidth="1"/>
    <col min="6659" max="6659" width="17.75" style="192" customWidth="1"/>
    <col min="6660" max="6660" width="9.375" style="192" customWidth="1"/>
    <col min="6661" max="6662" width="9" style="192"/>
    <col min="6663" max="6663" width="9.375" style="192" customWidth="1"/>
    <col min="6664" max="6666" width="9" style="192"/>
    <col min="6667" max="6667" width="2.625" style="192" customWidth="1"/>
    <col min="6668" max="6668" width="5.125" style="192" customWidth="1"/>
    <col min="6669" max="6669" width="13.75" style="192" customWidth="1"/>
    <col min="6670" max="6912" width="9" style="192"/>
    <col min="6913" max="6913" width="4.875" style="192" customWidth="1"/>
    <col min="6914" max="6914" width="11.75" style="192" customWidth="1"/>
    <col min="6915" max="6915" width="17.75" style="192" customWidth="1"/>
    <col min="6916" max="6916" width="9.375" style="192" customWidth="1"/>
    <col min="6917" max="6918" width="9" style="192"/>
    <col min="6919" max="6919" width="9.375" style="192" customWidth="1"/>
    <col min="6920" max="6922" width="9" style="192"/>
    <col min="6923" max="6923" width="2.625" style="192" customWidth="1"/>
    <col min="6924" max="6924" width="5.125" style="192" customWidth="1"/>
    <col min="6925" max="6925" width="13.75" style="192" customWidth="1"/>
    <col min="6926" max="7168" width="9" style="192"/>
    <col min="7169" max="7169" width="4.875" style="192" customWidth="1"/>
    <col min="7170" max="7170" width="11.75" style="192" customWidth="1"/>
    <col min="7171" max="7171" width="17.75" style="192" customWidth="1"/>
    <col min="7172" max="7172" width="9.375" style="192" customWidth="1"/>
    <col min="7173" max="7174" width="9" style="192"/>
    <col min="7175" max="7175" width="9.375" style="192" customWidth="1"/>
    <col min="7176" max="7178" width="9" style="192"/>
    <col min="7179" max="7179" width="2.625" style="192" customWidth="1"/>
    <col min="7180" max="7180" width="5.125" style="192" customWidth="1"/>
    <col min="7181" max="7181" width="13.75" style="192" customWidth="1"/>
    <col min="7182" max="7424" width="9" style="192"/>
    <col min="7425" max="7425" width="4.875" style="192" customWidth="1"/>
    <col min="7426" max="7426" width="11.75" style="192" customWidth="1"/>
    <col min="7427" max="7427" width="17.75" style="192" customWidth="1"/>
    <col min="7428" max="7428" width="9.375" style="192" customWidth="1"/>
    <col min="7429" max="7430" width="9" style="192"/>
    <col min="7431" max="7431" width="9.375" style="192" customWidth="1"/>
    <col min="7432" max="7434" width="9" style="192"/>
    <col min="7435" max="7435" width="2.625" style="192" customWidth="1"/>
    <col min="7436" max="7436" width="5.125" style="192" customWidth="1"/>
    <col min="7437" max="7437" width="13.75" style="192" customWidth="1"/>
    <col min="7438" max="7680" width="9" style="192"/>
    <col min="7681" max="7681" width="4.875" style="192" customWidth="1"/>
    <col min="7682" max="7682" width="11.75" style="192" customWidth="1"/>
    <col min="7683" max="7683" width="17.75" style="192" customWidth="1"/>
    <col min="7684" max="7684" width="9.375" style="192" customWidth="1"/>
    <col min="7685" max="7686" width="9" style="192"/>
    <col min="7687" max="7687" width="9.375" style="192" customWidth="1"/>
    <col min="7688" max="7690" width="9" style="192"/>
    <col min="7691" max="7691" width="2.625" style="192" customWidth="1"/>
    <col min="7692" max="7692" width="5.125" style="192" customWidth="1"/>
    <col min="7693" max="7693" width="13.75" style="192" customWidth="1"/>
    <col min="7694" max="7936" width="9" style="192"/>
    <col min="7937" max="7937" width="4.875" style="192" customWidth="1"/>
    <col min="7938" max="7938" width="11.75" style="192" customWidth="1"/>
    <col min="7939" max="7939" width="17.75" style="192" customWidth="1"/>
    <col min="7940" max="7940" width="9.375" style="192" customWidth="1"/>
    <col min="7941" max="7942" width="9" style="192"/>
    <col min="7943" max="7943" width="9.375" style="192" customWidth="1"/>
    <col min="7944" max="7946" width="9" style="192"/>
    <col min="7947" max="7947" width="2.625" style="192" customWidth="1"/>
    <col min="7948" max="7948" width="5.125" style="192" customWidth="1"/>
    <col min="7949" max="7949" width="13.75" style="192" customWidth="1"/>
    <col min="7950" max="8192" width="9" style="192"/>
    <col min="8193" max="8193" width="4.875" style="192" customWidth="1"/>
    <col min="8194" max="8194" width="11.75" style="192" customWidth="1"/>
    <col min="8195" max="8195" width="17.75" style="192" customWidth="1"/>
    <col min="8196" max="8196" width="9.375" style="192" customWidth="1"/>
    <col min="8197" max="8198" width="9" style="192"/>
    <col min="8199" max="8199" width="9.375" style="192" customWidth="1"/>
    <col min="8200" max="8202" width="9" style="192"/>
    <col min="8203" max="8203" width="2.625" style="192" customWidth="1"/>
    <col min="8204" max="8204" width="5.125" style="192" customWidth="1"/>
    <col min="8205" max="8205" width="13.75" style="192" customWidth="1"/>
    <col min="8206" max="8448" width="9" style="192"/>
    <col min="8449" max="8449" width="4.875" style="192" customWidth="1"/>
    <col min="8450" max="8450" width="11.75" style="192" customWidth="1"/>
    <col min="8451" max="8451" width="17.75" style="192" customWidth="1"/>
    <col min="8452" max="8452" width="9.375" style="192" customWidth="1"/>
    <col min="8453" max="8454" width="9" style="192"/>
    <col min="8455" max="8455" width="9.375" style="192" customWidth="1"/>
    <col min="8456" max="8458" width="9" style="192"/>
    <col min="8459" max="8459" width="2.625" style="192" customWidth="1"/>
    <col min="8460" max="8460" width="5.125" style="192" customWidth="1"/>
    <col min="8461" max="8461" width="13.75" style="192" customWidth="1"/>
    <col min="8462" max="8704" width="9" style="192"/>
    <col min="8705" max="8705" width="4.875" style="192" customWidth="1"/>
    <col min="8706" max="8706" width="11.75" style="192" customWidth="1"/>
    <col min="8707" max="8707" width="17.75" style="192" customWidth="1"/>
    <col min="8708" max="8708" width="9.375" style="192" customWidth="1"/>
    <col min="8709" max="8710" width="9" style="192"/>
    <col min="8711" max="8711" width="9.375" style="192" customWidth="1"/>
    <col min="8712" max="8714" width="9" style="192"/>
    <col min="8715" max="8715" width="2.625" style="192" customWidth="1"/>
    <col min="8716" max="8716" width="5.125" style="192" customWidth="1"/>
    <col min="8717" max="8717" width="13.75" style="192" customWidth="1"/>
    <col min="8718" max="8960" width="9" style="192"/>
    <col min="8961" max="8961" width="4.875" style="192" customWidth="1"/>
    <col min="8962" max="8962" width="11.75" style="192" customWidth="1"/>
    <col min="8963" max="8963" width="17.75" style="192" customWidth="1"/>
    <col min="8964" max="8964" width="9.375" style="192" customWidth="1"/>
    <col min="8965" max="8966" width="9" style="192"/>
    <col min="8967" max="8967" width="9.375" style="192" customWidth="1"/>
    <col min="8968" max="8970" width="9" style="192"/>
    <col min="8971" max="8971" width="2.625" style="192" customWidth="1"/>
    <col min="8972" max="8972" width="5.125" style="192" customWidth="1"/>
    <col min="8973" max="8973" width="13.75" style="192" customWidth="1"/>
    <col min="8974" max="9216" width="9" style="192"/>
    <col min="9217" max="9217" width="4.875" style="192" customWidth="1"/>
    <col min="9218" max="9218" width="11.75" style="192" customWidth="1"/>
    <col min="9219" max="9219" width="17.75" style="192" customWidth="1"/>
    <col min="9220" max="9220" width="9.375" style="192" customWidth="1"/>
    <col min="9221" max="9222" width="9" style="192"/>
    <col min="9223" max="9223" width="9.375" style="192" customWidth="1"/>
    <col min="9224" max="9226" width="9" style="192"/>
    <col min="9227" max="9227" width="2.625" style="192" customWidth="1"/>
    <col min="9228" max="9228" width="5.125" style="192" customWidth="1"/>
    <col min="9229" max="9229" width="13.75" style="192" customWidth="1"/>
    <col min="9230" max="9472" width="9" style="192"/>
    <col min="9473" max="9473" width="4.875" style="192" customWidth="1"/>
    <col min="9474" max="9474" width="11.75" style="192" customWidth="1"/>
    <col min="9475" max="9475" width="17.75" style="192" customWidth="1"/>
    <col min="9476" max="9476" width="9.375" style="192" customWidth="1"/>
    <col min="9477" max="9478" width="9" style="192"/>
    <col min="9479" max="9479" width="9.375" style="192" customWidth="1"/>
    <col min="9480" max="9482" width="9" style="192"/>
    <col min="9483" max="9483" width="2.625" style="192" customWidth="1"/>
    <col min="9484" max="9484" width="5.125" style="192" customWidth="1"/>
    <col min="9485" max="9485" width="13.75" style="192" customWidth="1"/>
    <col min="9486" max="9728" width="9" style="192"/>
    <col min="9729" max="9729" width="4.875" style="192" customWidth="1"/>
    <col min="9730" max="9730" width="11.75" style="192" customWidth="1"/>
    <col min="9731" max="9731" width="17.75" style="192" customWidth="1"/>
    <col min="9732" max="9732" width="9.375" style="192" customWidth="1"/>
    <col min="9733" max="9734" width="9" style="192"/>
    <col min="9735" max="9735" width="9.375" style="192" customWidth="1"/>
    <col min="9736" max="9738" width="9" style="192"/>
    <col min="9739" max="9739" width="2.625" style="192" customWidth="1"/>
    <col min="9740" max="9740" width="5.125" style="192" customWidth="1"/>
    <col min="9741" max="9741" width="13.75" style="192" customWidth="1"/>
    <col min="9742" max="9984" width="9" style="192"/>
    <col min="9985" max="9985" width="4.875" style="192" customWidth="1"/>
    <col min="9986" max="9986" width="11.75" style="192" customWidth="1"/>
    <col min="9987" max="9987" width="17.75" style="192" customWidth="1"/>
    <col min="9988" max="9988" width="9.375" style="192" customWidth="1"/>
    <col min="9989" max="9990" width="9" style="192"/>
    <col min="9991" max="9991" width="9.375" style="192" customWidth="1"/>
    <col min="9992" max="9994" width="9" style="192"/>
    <col min="9995" max="9995" width="2.625" style="192" customWidth="1"/>
    <col min="9996" max="9996" width="5.125" style="192" customWidth="1"/>
    <col min="9997" max="9997" width="13.75" style="192" customWidth="1"/>
    <col min="9998" max="10240" width="9" style="192"/>
    <col min="10241" max="10241" width="4.875" style="192" customWidth="1"/>
    <col min="10242" max="10242" width="11.75" style="192" customWidth="1"/>
    <col min="10243" max="10243" width="17.75" style="192" customWidth="1"/>
    <col min="10244" max="10244" width="9.375" style="192" customWidth="1"/>
    <col min="10245" max="10246" width="9" style="192"/>
    <col min="10247" max="10247" width="9.375" style="192" customWidth="1"/>
    <col min="10248" max="10250" width="9" style="192"/>
    <col min="10251" max="10251" width="2.625" style="192" customWidth="1"/>
    <col min="10252" max="10252" width="5.125" style="192" customWidth="1"/>
    <col min="10253" max="10253" width="13.75" style="192" customWidth="1"/>
    <col min="10254" max="10496" width="9" style="192"/>
    <col min="10497" max="10497" width="4.875" style="192" customWidth="1"/>
    <col min="10498" max="10498" width="11.75" style="192" customWidth="1"/>
    <col min="10499" max="10499" width="17.75" style="192" customWidth="1"/>
    <col min="10500" max="10500" width="9.375" style="192" customWidth="1"/>
    <col min="10501" max="10502" width="9" style="192"/>
    <col min="10503" max="10503" width="9.375" style="192" customWidth="1"/>
    <col min="10504" max="10506" width="9" style="192"/>
    <col min="10507" max="10507" width="2.625" style="192" customWidth="1"/>
    <col min="10508" max="10508" width="5.125" style="192" customWidth="1"/>
    <col min="10509" max="10509" width="13.75" style="192" customWidth="1"/>
    <col min="10510" max="10752" width="9" style="192"/>
    <col min="10753" max="10753" width="4.875" style="192" customWidth="1"/>
    <col min="10754" max="10754" width="11.75" style="192" customWidth="1"/>
    <col min="10755" max="10755" width="17.75" style="192" customWidth="1"/>
    <col min="10756" max="10756" width="9.375" style="192" customWidth="1"/>
    <col min="10757" max="10758" width="9" style="192"/>
    <col min="10759" max="10759" width="9.375" style="192" customWidth="1"/>
    <col min="10760" max="10762" width="9" style="192"/>
    <col min="10763" max="10763" width="2.625" style="192" customWidth="1"/>
    <col min="10764" max="10764" width="5.125" style="192" customWidth="1"/>
    <col min="10765" max="10765" width="13.75" style="192" customWidth="1"/>
    <col min="10766" max="11008" width="9" style="192"/>
    <col min="11009" max="11009" width="4.875" style="192" customWidth="1"/>
    <col min="11010" max="11010" width="11.75" style="192" customWidth="1"/>
    <col min="11011" max="11011" width="17.75" style="192" customWidth="1"/>
    <col min="11012" max="11012" width="9.375" style="192" customWidth="1"/>
    <col min="11013" max="11014" width="9" style="192"/>
    <col min="11015" max="11015" width="9.375" style="192" customWidth="1"/>
    <col min="11016" max="11018" width="9" style="192"/>
    <col min="11019" max="11019" width="2.625" style="192" customWidth="1"/>
    <col min="11020" max="11020" width="5.125" style="192" customWidth="1"/>
    <col min="11021" max="11021" width="13.75" style="192" customWidth="1"/>
    <col min="11022" max="11264" width="9" style="192"/>
    <col min="11265" max="11265" width="4.875" style="192" customWidth="1"/>
    <col min="11266" max="11266" width="11.75" style="192" customWidth="1"/>
    <col min="11267" max="11267" width="17.75" style="192" customWidth="1"/>
    <col min="11268" max="11268" width="9.375" style="192" customWidth="1"/>
    <col min="11269" max="11270" width="9" style="192"/>
    <col min="11271" max="11271" width="9.375" style="192" customWidth="1"/>
    <col min="11272" max="11274" width="9" style="192"/>
    <col min="11275" max="11275" width="2.625" style="192" customWidth="1"/>
    <col min="11276" max="11276" width="5.125" style="192" customWidth="1"/>
    <col min="11277" max="11277" width="13.75" style="192" customWidth="1"/>
    <col min="11278" max="11520" width="9" style="192"/>
    <col min="11521" max="11521" width="4.875" style="192" customWidth="1"/>
    <col min="11522" max="11522" width="11.75" style="192" customWidth="1"/>
    <col min="11523" max="11523" width="17.75" style="192" customWidth="1"/>
    <col min="11524" max="11524" width="9.375" style="192" customWidth="1"/>
    <col min="11525" max="11526" width="9" style="192"/>
    <col min="11527" max="11527" width="9.375" style="192" customWidth="1"/>
    <col min="11528" max="11530" width="9" style="192"/>
    <col min="11531" max="11531" width="2.625" style="192" customWidth="1"/>
    <col min="11532" max="11532" width="5.125" style="192" customWidth="1"/>
    <col min="11533" max="11533" width="13.75" style="192" customWidth="1"/>
    <col min="11534" max="11776" width="9" style="192"/>
    <col min="11777" max="11777" width="4.875" style="192" customWidth="1"/>
    <col min="11778" max="11778" width="11.75" style="192" customWidth="1"/>
    <col min="11779" max="11779" width="17.75" style="192" customWidth="1"/>
    <col min="11780" max="11780" width="9.375" style="192" customWidth="1"/>
    <col min="11781" max="11782" width="9" style="192"/>
    <col min="11783" max="11783" width="9.375" style="192" customWidth="1"/>
    <col min="11784" max="11786" width="9" style="192"/>
    <col min="11787" max="11787" width="2.625" style="192" customWidth="1"/>
    <col min="11788" max="11788" width="5.125" style="192" customWidth="1"/>
    <col min="11789" max="11789" width="13.75" style="192" customWidth="1"/>
    <col min="11790" max="12032" width="9" style="192"/>
    <col min="12033" max="12033" width="4.875" style="192" customWidth="1"/>
    <col min="12034" max="12034" width="11.75" style="192" customWidth="1"/>
    <col min="12035" max="12035" width="17.75" style="192" customWidth="1"/>
    <col min="12036" max="12036" width="9.375" style="192" customWidth="1"/>
    <col min="12037" max="12038" width="9" style="192"/>
    <col min="12039" max="12039" width="9.375" style="192" customWidth="1"/>
    <col min="12040" max="12042" width="9" style="192"/>
    <col min="12043" max="12043" width="2.625" style="192" customWidth="1"/>
    <col min="12044" max="12044" width="5.125" style="192" customWidth="1"/>
    <col min="12045" max="12045" width="13.75" style="192" customWidth="1"/>
    <col min="12046" max="12288" width="9" style="192"/>
    <col min="12289" max="12289" width="4.875" style="192" customWidth="1"/>
    <col min="12290" max="12290" width="11.75" style="192" customWidth="1"/>
    <col min="12291" max="12291" width="17.75" style="192" customWidth="1"/>
    <col min="12292" max="12292" width="9.375" style="192" customWidth="1"/>
    <col min="12293" max="12294" width="9" style="192"/>
    <col min="12295" max="12295" width="9.375" style="192" customWidth="1"/>
    <col min="12296" max="12298" width="9" style="192"/>
    <col min="12299" max="12299" width="2.625" style="192" customWidth="1"/>
    <col min="12300" max="12300" width="5.125" style="192" customWidth="1"/>
    <col min="12301" max="12301" width="13.75" style="192" customWidth="1"/>
    <col min="12302" max="12544" width="9" style="192"/>
    <col min="12545" max="12545" width="4.875" style="192" customWidth="1"/>
    <col min="12546" max="12546" width="11.75" style="192" customWidth="1"/>
    <col min="12547" max="12547" width="17.75" style="192" customWidth="1"/>
    <col min="12548" max="12548" width="9.375" style="192" customWidth="1"/>
    <col min="12549" max="12550" width="9" style="192"/>
    <col min="12551" max="12551" width="9.375" style="192" customWidth="1"/>
    <col min="12552" max="12554" width="9" style="192"/>
    <col min="12555" max="12555" width="2.625" style="192" customWidth="1"/>
    <col min="12556" max="12556" width="5.125" style="192" customWidth="1"/>
    <col min="12557" max="12557" width="13.75" style="192" customWidth="1"/>
    <col min="12558" max="12800" width="9" style="192"/>
    <col min="12801" max="12801" width="4.875" style="192" customWidth="1"/>
    <col min="12802" max="12802" width="11.75" style="192" customWidth="1"/>
    <col min="12803" max="12803" width="17.75" style="192" customWidth="1"/>
    <col min="12804" max="12804" width="9.375" style="192" customWidth="1"/>
    <col min="12805" max="12806" width="9" style="192"/>
    <col min="12807" max="12807" width="9.375" style="192" customWidth="1"/>
    <col min="12808" max="12810" width="9" style="192"/>
    <col min="12811" max="12811" width="2.625" style="192" customWidth="1"/>
    <col min="12812" max="12812" width="5.125" style="192" customWidth="1"/>
    <col min="12813" max="12813" width="13.75" style="192" customWidth="1"/>
    <col min="12814" max="13056" width="9" style="192"/>
    <col min="13057" max="13057" width="4.875" style="192" customWidth="1"/>
    <col min="13058" max="13058" width="11.75" style="192" customWidth="1"/>
    <col min="13059" max="13059" width="17.75" style="192" customWidth="1"/>
    <col min="13060" max="13060" width="9.375" style="192" customWidth="1"/>
    <col min="13061" max="13062" width="9" style="192"/>
    <col min="13063" max="13063" width="9.375" style="192" customWidth="1"/>
    <col min="13064" max="13066" width="9" style="192"/>
    <col min="13067" max="13067" width="2.625" style="192" customWidth="1"/>
    <col min="13068" max="13068" width="5.125" style="192" customWidth="1"/>
    <col min="13069" max="13069" width="13.75" style="192" customWidth="1"/>
    <col min="13070" max="13312" width="9" style="192"/>
    <col min="13313" max="13313" width="4.875" style="192" customWidth="1"/>
    <col min="13314" max="13314" width="11.75" style="192" customWidth="1"/>
    <col min="13315" max="13315" width="17.75" style="192" customWidth="1"/>
    <col min="13316" max="13316" width="9.375" style="192" customWidth="1"/>
    <col min="13317" max="13318" width="9" style="192"/>
    <col min="13319" max="13319" width="9.375" style="192" customWidth="1"/>
    <col min="13320" max="13322" width="9" style="192"/>
    <col min="13323" max="13323" width="2.625" style="192" customWidth="1"/>
    <col min="13324" max="13324" width="5.125" style="192" customWidth="1"/>
    <col min="13325" max="13325" width="13.75" style="192" customWidth="1"/>
    <col min="13326" max="13568" width="9" style="192"/>
    <col min="13569" max="13569" width="4.875" style="192" customWidth="1"/>
    <col min="13570" max="13570" width="11.75" style="192" customWidth="1"/>
    <col min="13571" max="13571" width="17.75" style="192" customWidth="1"/>
    <col min="13572" max="13572" width="9.375" style="192" customWidth="1"/>
    <col min="13573" max="13574" width="9" style="192"/>
    <col min="13575" max="13575" width="9.375" style="192" customWidth="1"/>
    <col min="13576" max="13578" width="9" style="192"/>
    <col min="13579" max="13579" width="2.625" style="192" customWidth="1"/>
    <col min="13580" max="13580" width="5.125" style="192" customWidth="1"/>
    <col min="13581" max="13581" width="13.75" style="192" customWidth="1"/>
    <col min="13582" max="13824" width="9" style="192"/>
    <col min="13825" max="13825" width="4.875" style="192" customWidth="1"/>
    <col min="13826" max="13826" width="11.75" style="192" customWidth="1"/>
    <col min="13827" max="13827" width="17.75" style="192" customWidth="1"/>
    <col min="13828" max="13828" width="9.375" style="192" customWidth="1"/>
    <col min="13829" max="13830" width="9" style="192"/>
    <col min="13831" max="13831" width="9.375" style="192" customWidth="1"/>
    <col min="13832" max="13834" width="9" style="192"/>
    <col min="13835" max="13835" width="2.625" style="192" customWidth="1"/>
    <col min="13836" max="13836" width="5.125" style="192" customWidth="1"/>
    <col min="13837" max="13837" width="13.75" style="192" customWidth="1"/>
    <col min="13838" max="14080" width="9" style="192"/>
    <col min="14081" max="14081" width="4.875" style="192" customWidth="1"/>
    <col min="14082" max="14082" width="11.75" style="192" customWidth="1"/>
    <col min="14083" max="14083" width="17.75" style="192" customWidth="1"/>
    <col min="14084" max="14084" width="9.375" style="192" customWidth="1"/>
    <col min="14085" max="14086" width="9" style="192"/>
    <col min="14087" max="14087" width="9.375" style="192" customWidth="1"/>
    <col min="14088" max="14090" width="9" style="192"/>
    <col min="14091" max="14091" width="2.625" style="192" customWidth="1"/>
    <col min="14092" max="14092" width="5.125" style="192" customWidth="1"/>
    <col min="14093" max="14093" width="13.75" style="192" customWidth="1"/>
    <col min="14094" max="14336" width="9" style="192"/>
    <col min="14337" max="14337" width="4.875" style="192" customWidth="1"/>
    <col min="14338" max="14338" width="11.75" style="192" customWidth="1"/>
    <col min="14339" max="14339" width="17.75" style="192" customWidth="1"/>
    <col min="14340" max="14340" width="9.375" style="192" customWidth="1"/>
    <col min="14341" max="14342" width="9" style="192"/>
    <col min="14343" max="14343" width="9.375" style="192" customWidth="1"/>
    <col min="14344" max="14346" width="9" style="192"/>
    <col min="14347" max="14347" width="2.625" style="192" customWidth="1"/>
    <col min="14348" max="14348" width="5.125" style="192" customWidth="1"/>
    <col min="14349" max="14349" width="13.75" style="192" customWidth="1"/>
    <col min="14350" max="14592" width="9" style="192"/>
    <col min="14593" max="14593" width="4.875" style="192" customWidth="1"/>
    <col min="14594" max="14594" width="11.75" style="192" customWidth="1"/>
    <col min="14595" max="14595" width="17.75" style="192" customWidth="1"/>
    <col min="14596" max="14596" width="9.375" style="192" customWidth="1"/>
    <col min="14597" max="14598" width="9" style="192"/>
    <col min="14599" max="14599" width="9.375" style="192" customWidth="1"/>
    <col min="14600" max="14602" width="9" style="192"/>
    <col min="14603" max="14603" width="2.625" style="192" customWidth="1"/>
    <col min="14604" max="14604" width="5.125" style="192" customWidth="1"/>
    <col min="14605" max="14605" width="13.75" style="192" customWidth="1"/>
    <col min="14606" max="14848" width="9" style="192"/>
    <col min="14849" max="14849" width="4.875" style="192" customWidth="1"/>
    <col min="14850" max="14850" width="11.75" style="192" customWidth="1"/>
    <col min="14851" max="14851" width="17.75" style="192" customWidth="1"/>
    <col min="14852" max="14852" width="9.375" style="192" customWidth="1"/>
    <col min="14853" max="14854" width="9" style="192"/>
    <col min="14855" max="14855" width="9.375" style="192" customWidth="1"/>
    <col min="14856" max="14858" width="9" style="192"/>
    <col min="14859" max="14859" width="2.625" style="192" customWidth="1"/>
    <col min="14860" max="14860" width="5.125" style="192" customWidth="1"/>
    <col min="14861" max="14861" width="13.75" style="192" customWidth="1"/>
    <col min="14862" max="15104" width="9" style="192"/>
    <col min="15105" max="15105" width="4.875" style="192" customWidth="1"/>
    <col min="15106" max="15106" width="11.75" style="192" customWidth="1"/>
    <col min="15107" max="15107" width="17.75" style="192" customWidth="1"/>
    <col min="15108" max="15108" width="9.375" style="192" customWidth="1"/>
    <col min="15109" max="15110" width="9" style="192"/>
    <col min="15111" max="15111" width="9.375" style="192" customWidth="1"/>
    <col min="15112" max="15114" width="9" style="192"/>
    <col min="15115" max="15115" width="2.625" style="192" customWidth="1"/>
    <col min="15116" max="15116" width="5.125" style="192" customWidth="1"/>
    <col min="15117" max="15117" width="13.75" style="192" customWidth="1"/>
    <col min="15118" max="15360" width="9" style="192"/>
    <col min="15361" max="15361" width="4.875" style="192" customWidth="1"/>
    <col min="15362" max="15362" width="11.75" style="192" customWidth="1"/>
    <col min="15363" max="15363" width="17.75" style="192" customWidth="1"/>
    <col min="15364" max="15364" width="9.375" style="192" customWidth="1"/>
    <col min="15365" max="15366" width="9" style="192"/>
    <col min="15367" max="15367" width="9.375" style="192" customWidth="1"/>
    <col min="15368" max="15370" width="9" style="192"/>
    <col min="15371" max="15371" width="2.625" style="192" customWidth="1"/>
    <col min="15372" max="15372" width="5.125" style="192" customWidth="1"/>
    <col min="15373" max="15373" width="13.75" style="192" customWidth="1"/>
    <col min="15374" max="15616" width="9" style="192"/>
    <col min="15617" max="15617" width="4.875" style="192" customWidth="1"/>
    <col min="15618" max="15618" width="11.75" style="192" customWidth="1"/>
    <col min="15619" max="15619" width="17.75" style="192" customWidth="1"/>
    <col min="15620" max="15620" width="9.375" style="192" customWidth="1"/>
    <col min="15621" max="15622" width="9" style="192"/>
    <col min="15623" max="15623" width="9.375" style="192" customWidth="1"/>
    <col min="15624" max="15626" width="9" style="192"/>
    <col min="15627" max="15627" width="2.625" style="192" customWidth="1"/>
    <col min="15628" max="15628" width="5.125" style="192" customWidth="1"/>
    <col min="15629" max="15629" width="13.75" style="192" customWidth="1"/>
    <col min="15630" max="15872" width="9" style="192"/>
    <col min="15873" max="15873" width="4.875" style="192" customWidth="1"/>
    <col min="15874" max="15874" width="11.75" style="192" customWidth="1"/>
    <col min="15875" max="15875" width="17.75" style="192" customWidth="1"/>
    <col min="15876" max="15876" width="9.375" style="192" customWidth="1"/>
    <col min="15877" max="15878" width="9" style="192"/>
    <col min="15879" max="15879" width="9.375" style="192" customWidth="1"/>
    <col min="15880" max="15882" width="9" style="192"/>
    <col min="15883" max="15883" width="2.625" style="192" customWidth="1"/>
    <col min="15884" max="15884" width="5.125" style="192" customWidth="1"/>
    <col min="15885" max="15885" width="13.75" style="192" customWidth="1"/>
    <col min="15886" max="16128" width="9" style="192"/>
    <col min="16129" max="16129" width="4.875" style="192" customWidth="1"/>
    <col min="16130" max="16130" width="11.75" style="192" customWidth="1"/>
    <col min="16131" max="16131" width="17.75" style="192" customWidth="1"/>
    <col min="16132" max="16132" width="9.375" style="192" customWidth="1"/>
    <col min="16133" max="16134" width="9" style="192"/>
    <col min="16135" max="16135" width="9.375" style="192" customWidth="1"/>
    <col min="16136" max="16138" width="9" style="192"/>
    <col min="16139" max="16139" width="2.625" style="192" customWidth="1"/>
    <col min="16140" max="16140" width="5.125" style="192" customWidth="1"/>
    <col min="16141" max="16141" width="13.75" style="192" customWidth="1"/>
    <col min="16142" max="16384" width="9" style="192"/>
  </cols>
  <sheetData>
    <row r="1" spans="1:26">
      <c r="B1" s="193" t="s">
        <v>233</v>
      </c>
      <c r="C1" s="194">
        <f>主表!B3</f>
        <v>37924</v>
      </c>
      <c r="D1" s="195" t="str">
        <f>主表!A23</f>
        <v>建设期</v>
      </c>
      <c r="E1" s="195">
        <f>主表!B23</f>
        <v>1</v>
      </c>
      <c r="F1" s="195" t="s">
        <v>1182</v>
      </c>
      <c r="G1" s="196">
        <f ca="1">INDIRECT("d"&amp;$K$1)/100</f>
        <v>5.3099999999999994E-2</v>
      </c>
      <c r="H1" s="195" t="s">
        <v>1183</v>
      </c>
      <c r="I1" s="196">
        <f ca="1">SUMIF(F4:F8,E1,G4:G8)/100</f>
        <v>1.9799999999999998E-2</v>
      </c>
      <c r="J1" s="237">
        <f>IF(C1&gt;C14,0,MATCH(C1,C$14:C$68,-1))+IF(SUMIF(C14:C68,C1,D14:D68)=0,14,13)</f>
        <v>52</v>
      </c>
      <c r="K1" s="237">
        <f ca="1">MATCH(E1,C4:C8,1)+IF(SUMIF(C4:C8,E1,D4:D8)=0,3,2)</f>
        <v>5</v>
      </c>
      <c r="L1" s="237">
        <f>IF(C1&gt;M14,0,MATCH(C1,M$14:M$52,-1))+IF(SUMIF(M14:M52,C1,N14:N52)=0,14,13)</f>
        <v>40</v>
      </c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>
      <c r="B2" s="197" t="s">
        <v>239</v>
      </c>
      <c r="C2" s="194">
        <f>主表!B4</f>
        <v>37924</v>
      </c>
      <c r="D2" s="198" t="str">
        <f>主表!A24</f>
        <v>土地开发期</v>
      </c>
      <c r="E2" s="195">
        <f>主表!B24</f>
        <v>0</v>
      </c>
      <c r="F2" s="195" t="s">
        <v>1182</v>
      </c>
      <c r="G2" s="196">
        <f ca="1">INDIRECT("e"&amp;$K$2)/100</f>
        <v>0.03</v>
      </c>
      <c r="H2" s="195" t="s">
        <v>1183</v>
      </c>
      <c r="I2" s="196">
        <f>SUMIF(F4:F8,E2,G4:G8)/100</f>
        <v>0</v>
      </c>
      <c r="J2" s="237">
        <f>IF(C2&gt;C14,0,MATCH(C2,C$14:C$68,-1))+IF(SUMIF(C14:C68,C2,D14:D68)=0,14,13)</f>
        <v>52</v>
      </c>
      <c r="K2" s="237">
        <f ca="1">MATCH(E2,C4:C8,1)+IF(SUMIF(C4:C8,E2,D4:D8)=0,3,2)</f>
        <v>3</v>
      </c>
      <c r="L2" s="237">
        <f>IF(C2&gt;M14,0,MATCH(C2,M$14:M$52,-1))+IF(SUMIF(M14:M52,C2,N14:N52)=0,14,13)</f>
        <v>40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>
      <c r="A3" s="199"/>
      <c r="B3" s="200"/>
      <c r="C3" s="201"/>
      <c r="D3" s="202"/>
      <c r="E3" s="203">
        <v>3</v>
      </c>
      <c r="F3" s="203" t="s">
        <v>1182</v>
      </c>
      <c r="G3" s="204">
        <f ca="1">INDIRECT("e"&amp;$K$3)/100</f>
        <v>5.4900000000000004E-2</v>
      </c>
      <c r="H3" s="203" t="s">
        <v>1183</v>
      </c>
      <c r="I3" s="204">
        <f ca="1">SUMIF(F4:F8,E3,H4:H8)/100</f>
        <v>2.52E-2</v>
      </c>
      <c r="J3" s="238"/>
      <c r="K3" s="237">
        <f ca="1">MATCH(E3,C4:C8,1)+IF(SUMIF(C4:C8,E3,D4:D8)=0,3,2)</f>
        <v>6</v>
      </c>
      <c r="L3" s="238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>
      <c r="B4" s="205" t="s">
        <v>1184</v>
      </c>
      <c r="C4" s="206">
        <v>0</v>
      </c>
      <c r="D4" s="207">
        <f ca="1">INDIRECT("d"&amp;$J$1)</f>
        <v>5.04</v>
      </c>
      <c r="E4" s="207">
        <f ca="1">INDIRECT("d"&amp;$J$2)</f>
        <v>5.04</v>
      </c>
      <c r="F4" s="206">
        <v>0.5</v>
      </c>
      <c r="G4" s="208">
        <f ca="1">INDIRECT("p"&amp;$L$1)</f>
        <v>1.89</v>
      </c>
      <c r="H4" s="208">
        <f ca="1">INDIRECT("p"&amp;$L$2)</f>
        <v>1.89</v>
      </c>
      <c r="I4" s="191"/>
      <c r="J4" s="191"/>
      <c r="K4" s="191">
        <f ca="1">MATCH(1,C4:C8,1)+IF(SUMIF(C4:C8,1,D4:D8)=0,3,2)</f>
        <v>5</v>
      </c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</row>
    <row r="5" spans="1:26">
      <c r="B5" s="209" t="s">
        <v>1185</v>
      </c>
      <c r="C5" s="210">
        <v>0.5</v>
      </c>
      <c r="D5" s="211">
        <f ca="1">INDIRECT("e"&amp;$J$1)</f>
        <v>5.31</v>
      </c>
      <c r="E5" s="211">
        <f ca="1">INDIRECT("e"&amp;$J$2)</f>
        <v>5.31</v>
      </c>
      <c r="F5" s="210">
        <v>1</v>
      </c>
      <c r="G5" s="195">
        <f ca="1">INDIRECT("q"&amp;$L$1)</f>
        <v>1.98</v>
      </c>
      <c r="H5" s="195">
        <f ca="1">INDIRECT("q"&amp;$L$2)</f>
        <v>1.98</v>
      </c>
      <c r="I5" s="191"/>
      <c r="J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</row>
    <row r="6" spans="1:26">
      <c r="B6" s="209" t="s">
        <v>1186</v>
      </c>
      <c r="C6" s="210">
        <v>1</v>
      </c>
      <c r="D6" s="211">
        <f ca="1">INDIRECT("f"&amp;$J$1)</f>
        <v>5.49</v>
      </c>
      <c r="E6" s="211">
        <f ca="1">INDIRECT("f"&amp;$J$2)</f>
        <v>5.49</v>
      </c>
      <c r="F6" s="210">
        <v>2</v>
      </c>
      <c r="G6" s="195">
        <f ca="1">INDIRECT("r"&amp;$L$1)</f>
        <v>2.25</v>
      </c>
      <c r="H6" s="195">
        <f ca="1">INDIRECT("r"&amp;$L$2)</f>
        <v>2.25</v>
      </c>
      <c r="I6" s="191"/>
      <c r="J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</row>
    <row r="7" spans="1:26">
      <c r="B7" s="209" t="s">
        <v>1187</v>
      </c>
      <c r="C7" s="210">
        <v>3</v>
      </c>
      <c r="D7" s="211">
        <f ca="1">INDIRECT("g"&amp;$J$1)</f>
        <v>5.58</v>
      </c>
      <c r="E7" s="211">
        <f ca="1">INDIRECT("g"&amp;$J$2)</f>
        <v>5.58</v>
      </c>
      <c r="F7" s="210">
        <v>3</v>
      </c>
      <c r="G7" s="195">
        <f ca="1">INDIRECT("s"&amp;$L$1)</f>
        <v>2.52</v>
      </c>
      <c r="H7" s="195">
        <f ca="1">INDIRECT("s"&amp;$L$2)</f>
        <v>2.52</v>
      </c>
      <c r="I7" s="191"/>
      <c r="J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</row>
    <row r="8" spans="1:26">
      <c r="B8" s="209" t="s">
        <v>1188</v>
      </c>
      <c r="C8" s="210">
        <v>5</v>
      </c>
      <c r="D8" s="211">
        <f ca="1">INDIRECT("h"&amp;$J$1)</f>
        <v>5.76</v>
      </c>
      <c r="E8" s="211">
        <f ca="1">INDIRECT("h"&amp;$J$2)</f>
        <v>5.76</v>
      </c>
      <c r="F8" s="210">
        <v>5</v>
      </c>
      <c r="G8" s="195">
        <f ca="1">INDIRECT("t"&amp;$L$1)</f>
        <v>2.79</v>
      </c>
      <c r="H8" s="195">
        <f ca="1">INDIRECT("t"&amp;$L$2)</f>
        <v>2.79</v>
      </c>
      <c r="I8" s="191"/>
      <c r="J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</row>
    <row r="9" spans="1:26">
      <c r="A9" s="199"/>
      <c r="B9" s="212"/>
      <c r="C9" s="213"/>
      <c r="D9" s="191"/>
      <c r="E9" s="191"/>
      <c r="F9" s="191"/>
      <c r="G9" s="191"/>
      <c r="H9" s="191"/>
      <c r="I9" s="191"/>
      <c r="J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</row>
    <row r="10" spans="1:26">
      <c r="A10" s="199"/>
      <c r="B10" s="212"/>
      <c r="C10" s="213"/>
      <c r="D10" s="191"/>
      <c r="E10" s="191"/>
      <c r="F10" s="191"/>
      <c r="G10" s="191"/>
      <c r="H10" s="191"/>
      <c r="I10" s="191"/>
      <c r="J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</row>
    <row r="11" spans="1:26" s="188" customFormat="1" ht="22.5">
      <c r="A11" s="214"/>
      <c r="B11" s="215" t="s">
        <v>1189</v>
      </c>
      <c r="C11" s="214"/>
      <c r="D11" s="214"/>
      <c r="E11" s="214"/>
      <c r="F11" s="214"/>
      <c r="G11" s="214"/>
      <c r="H11" s="214"/>
      <c r="I11" s="191"/>
      <c r="J11" s="191"/>
      <c r="K11" s="214"/>
      <c r="L11" s="215" t="s">
        <v>1190</v>
      </c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</row>
    <row r="12" spans="1:26" s="189" customFormat="1">
      <c r="A12" s="216"/>
      <c r="B12" s="217" t="s">
        <v>1191</v>
      </c>
      <c r="C12" s="218" t="s">
        <v>1192</v>
      </c>
      <c r="D12" s="219" t="s">
        <v>1193</v>
      </c>
      <c r="E12" s="220"/>
      <c r="F12" s="219" t="s">
        <v>1194</v>
      </c>
      <c r="G12" s="221"/>
      <c r="H12" s="220"/>
      <c r="I12" s="219" t="s">
        <v>1195</v>
      </c>
      <c r="J12" s="220"/>
      <c r="K12" s="216"/>
      <c r="L12" s="217" t="s">
        <v>1191</v>
      </c>
      <c r="M12" s="218" t="s">
        <v>1192</v>
      </c>
      <c r="N12" s="217" t="s">
        <v>1196</v>
      </c>
      <c r="O12" s="219" t="s">
        <v>1197</v>
      </c>
      <c r="P12" s="221"/>
      <c r="Q12" s="221"/>
      <c r="R12" s="221"/>
      <c r="S12" s="221"/>
      <c r="T12" s="220"/>
      <c r="U12" s="219" t="s">
        <v>1198</v>
      </c>
      <c r="V12" s="221"/>
      <c r="W12" s="220"/>
      <c r="X12" s="217" t="s">
        <v>1199</v>
      </c>
      <c r="Y12" s="217" t="s">
        <v>1200</v>
      </c>
      <c r="Z12" s="217" t="s">
        <v>1201</v>
      </c>
    </row>
    <row r="13" spans="1:26" s="189" customFormat="1">
      <c r="A13" s="216"/>
      <c r="B13" s="222"/>
      <c r="C13" s="223"/>
      <c r="D13" s="209" t="s">
        <v>1184</v>
      </c>
      <c r="E13" s="209" t="s">
        <v>1185</v>
      </c>
      <c r="F13" s="209" t="s">
        <v>1186</v>
      </c>
      <c r="G13" s="209" t="s">
        <v>1187</v>
      </c>
      <c r="H13" s="209" t="s">
        <v>1188</v>
      </c>
      <c r="I13" s="239" t="s">
        <v>1202</v>
      </c>
      <c r="J13" s="239" t="s">
        <v>1202</v>
      </c>
      <c r="K13" s="216"/>
      <c r="L13" s="222"/>
      <c r="M13" s="223"/>
      <c r="N13" s="222"/>
      <c r="O13" s="239" t="s">
        <v>1203</v>
      </c>
      <c r="P13" s="239">
        <v>0.5</v>
      </c>
      <c r="Q13" s="239">
        <v>1</v>
      </c>
      <c r="R13" s="239">
        <v>2</v>
      </c>
      <c r="S13" s="239">
        <v>3</v>
      </c>
      <c r="T13" s="239">
        <v>5</v>
      </c>
      <c r="U13" s="239">
        <v>1</v>
      </c>
      <c r="V13" s="239">
        <v>3</v>
      </c>
      <c r="W13" s="239">
        <v>5</v>
      </c>
      <c r="X13" s="222"/>
      <c r="Y13" s="222"/>
      <c r="Z13" s="222"/>
    </row>
    <row r="14" spans="1:26" s="190" customFormat="1" ht="14.25">
      <c r="A14" s="224"/>
      <c r="B14" s="225" t="s">
        <v>1204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0"/>
      <c r="J14" s="240"/>
      <c r="K14" s="241"/>
      <c r="L14" s="225" t="s">
        <v>1204</v>
      </c>
      <c r="M14" s="242">
        <v>42301</v>
      </c>
      <c r="N14" s="240">
        <v>0.35</v>
      </c>
      <c r="O14" s="240">
        <v>1.1000000000000001</v>
      </c>
      <c r="P14" s="240">
        <v>1.3</v>
      </c>
      <c r="Q14" s="240">
        <v>1.5</v>
      </c>
      <c r="R14" s="240">
        <v>2.1</v>
      </c>
      <c r="S14" s="240">
        <v>2.75</v>
      </c>
      <c r="T14" s="240"/>
      <c r="U14" s="240"/>
      <c r="V14" s="240"/>
      <c r="W14" s="240"/>
      <c r="X14" s="240"/>
      <c r="Y14" s="240"/>
      <c r="Z14" s="240"/>
    </row>
    <row r="15" spans="1:26" ht="14.25">
      <c r="A15" s="224"/>
      <c r="B15" s="225"/>
      <c r="C15" s="228">
        <v>44701</v>
      </c>
      <c r="D15" s="229">
        <v>3.7</v>
      </c>
      <c r="E15" s="229">
        <f t="shared" ref="E15" si="3">D15</f>
        <v>3.7</v>
      </c>
      <c r="F15" s="229">
        <f t="shared" ref="F15" si="4">D15</f>
        <v>3.7</v>
      </c>
      <c r="G15" s="229">
        <f t="shared" ref="G15" si="5">D15</f>
        <v>3.7</v>
      </c>
      <c r="H15" s="229">
        <v>4.45</v>
      </c>
      <c r="I15" s="240"/>
      <c r="J15" s="240"/>
      <c r="K15" s="241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4.25">
      <c r="A16" s="224"/>
      <c r="B16" s="225"/>
      <c r="C16" s="228">
        <v>44581</v>
      </c>
      <c r="D16" s="229">
        <v>3.7</v>
      </c>
      <c r="E16" s="229">
        <f t="shared" ref="E16" si="6">D16</f>
        <v>3.7</v>
      </c>
      <c r="F16" s="229">
        <f t="shared" ref="F16" si="7">D16</f>
        <v>3.7</v>
      </c>
      <c r="G16" s="229">
        <f t="shared" ref="G16" si="8">D16</f>
        <v>3.7</v>
      </c>
      <c r="H16" s="229">
        <v>4.5999999999999996</v>
      </c>
      <c r="I16" s="240"/>
      <c r="J16" s="240"/>
      <c r="K16" s="241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4.25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0"/>
      <c r="J17" s="240"/>
      <c r="K17" s="241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4.25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0"/>
      <c r="J18" s="240"/>
      <c r="K18" s="241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89" customFormat="1" ht="15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1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3">
        <v>2.35</v>
      </c>
      <c r="V19" s="243">
        <v>2.5499999999999998</v>
      </c>
      <c r="W19" s="243">
        <v>2.75</v>
      </c>
      <c r="X19" s="236"/>
      <c r="Y19" s="243">
        <v>0.8</v>
      </c>
      <c r="Z19" s="243">
        <v>1.35</v>
      </c>
    </row>
    <row r="20" spans="1:26" ht="14.25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4.25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4.25">
      <c r="B22" s="231" t="s">
        <v>1205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4.25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1206</v>
      </c>
      <c r="Y43" s="229" t="s">
        <v>1206</v>
      </c>
      <c r="Z43" s="229" t="s">
        <v>1206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1206</v>
      </c>
      <c r="Y44" s="229" t="s">
        <v>1206</v>
      </c>
      <c r="Z44" s="229" t="s">
        <v>1206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1206</v>
      </c>
      <c r="Y45" s="229" t="s">
        <v>1206</v>
      </c>
      <c r="Z45" s="229" t="s">
        <v>1206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1206</v>
      </c>
      <c r="Y46" s="229" t="s">
        <v>1206</v>
      </c>
      <c r="Z46" s="229" t="s">
        <v>1206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1206</v>
      </c>
      <c r="Y47" s="229" t="s">
        <v>1206</v>
      </c>
      <c r="Z47" s="229" t="s">
        <v>1206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1206</v>
      </c>
      <c r="Y48" s="229" t="s">
        <v>1206</v>
      </c>
      <c r="Z48" s="229" t="s">
        <v>1206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1206</v>
      </c>
      <c r="Y49" s="229" t="s">
        <v>1206</v>
      </c>
      <c r="Z49" s="229" t="s">
        <v>1206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1206</v>
      </c>
      <c r="Y50" s="229" t="s">
        <v>1206</v>
      </c>
      <c r="Z50" s="229" t="s">
        <v>1206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1206</v>
      </c>
      <c r="Y51" s="229" t="s">
        <v>1206</v>
      </c>
      <c r="Z51" s="229" t="s">
        <v>1206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1206</v>
      </c>
      <c r="V52" s="229" t="s">
        <v>1206</v>
      </c>
      <c r="W52" s="229" t="s">
        <v>1206</v>
      </c>
      <c r="X52" s="229" t="s">
        <v>1206</v>
      </c>
      <c r="Y52" s="229" t="s">
        <v>1206</v>
      </c>
      <c r="Z52" s="229" t="s">
        <v>1206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1206</v>
      </c>
      <c r="J65" s="229" t="s">
        <v>1206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44"/>
      <c r="C69" s="245"/>
      <c r="D69" s="244"/>
      <c r="E69" s="244"/>
      <c r="F69" s="244"/>
      <c r="G69" s="244"/>
      <c r="H69" s="244"/>
      <c r="I69" s="244"/>
      <c r="J69" s="244"/>
    </row>
    <row r="70" spans="2:10">
      <c r="B70" s="244"/>
      <c r="C70" s="245"/>
      <c r="D70" s="244"/>
      <c r="E70" s="244"/>
      <c r="F70" s="244"/>
      <c r="G70" s="244"/>
      <c r="H70" s="244"/>
      <c r="I70" s="244"/>
      <c r="J70" s="244"/>
    </row>
    <row r="71" spans="2:10">
      <c r="B71" s="244"/>
      <c r="C71" s="245"/>
      <c r="D71" s="244"/>
      <c r="E71" s="244"/>
      <c r="F71" s="244"/>
      <c r="G71" s="244"/>
      <c r="H71" s="244"/>
      <c r="I71" s="244"/>
      <c r="J71" s="244"/>
    </row>
    <row r="72" spans="2:10">
      <c r="B72" s="191"/>
      <c r="C72" s="191"/>
      <c r="D72" s="191"/>
      <c r="E72" s="191"/>
      <c r="F72" s="191"/>
      <c r="G72" s="191"/>
      <c r="H72" s="191"/>
      <c r="I72" s="191"/>
      <c r="J72" s="191"/>
    </row>
    <row r="73" spans="2:10">
      <c r="B73" s="191"/>
      <c r="C73" s="191"/>
      <c r="D73" s="191"/>
      <c r="E73" s="191"/>
      <c r="F73" s="191"/>
      <c r="G73" s="191"/>
      <c r="H73" s="191"/>
      <c r="I73" s="191"/>
      <c r="J73" s="191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topLeftCell="A49" zoomScale="80" zoomScaleNormal="80" workbookViewId="0">
      <selection activeCell="E1" sqref="E1:E1048576"/>
    </sheetView>
  </sheetViews>
  <sheetFormatPr defaultColWidth="8.875" defaultRowHeight="12.75"/>
  <cols>
    <col min="1" max="6" width="8.875" style="66"/>
    <col min="7" max="7" width="8.875" style="67"/>
    <col min="8" max="8" width="8.875" style="66"/>
    <col min="9" max="12" width="9" style="66" customWidth="1"/>
    <col min="13" max="13" width="2.25" style="66" customWidth="1"/>
    <col min="14" max="14" width="9" style="67" customWidth="1"/>
    <col min="15" max="17" width="9" style="66" customWidth="1"/>
    <col min="18" max="18" width="2.375" style="66" customWidth="1"/>
    <col min="19" max="19" width="7.125" style="67" customWidth="1"/>
    <col min="20" max="22" width="7.125" style="66" customWidth="1"/>
    <col min="23" max="23" width="2.5" style="66" customWidth="1"/>
    <col min="24" max="16384" width="8.875" style="66"/>
  </cols>
  <sheetData>
    <row r="1" spans="1:32" s="60" customFormat="1">
      <c r="A1" s="68" t="s">
        <v>1207</v>
      </c>
      <c r="C1" s="69"/>
      <c r="D1" s="69"/>
      <c r="F1" s="69"/>
    </row>
    <row r="2" spans="1:32" s="60" customFormat="1">
      <c r="B2" s="69" t="s">
        <v>1208</v>
      </c>
      <c r="C2" s="69"/>
      <c r="D2" s="69"/>
      <c r="F2" s="69"/>
      <c r="G2" s="1770" t="s">
        <v>1209</v>
      </c>
      <c r="H2" s="1770"/>
      <c r="I2" s="1770"/>
      <c r="J2" s="1770"/>
      <c r="K2" s="1770"/>
      <c r="L2" s="1770"/>
      <c r="N2" s="1771" t="s">
        <v>1210</v>
      </c>
      <c r="O2" s="1771"/>
      <c r="P2" s="1771"/>
      <c r="Q2" s="1771"/>
      <c r="S2" s="1771" t="s">
        <v>1211</v>
      </c>
      <c r="T2" s="1771"/>
      <c r="U2" s="1771"/>
      <c r="V2" s="1771"/>
    </row>
    <row r="3" spans="1:32" s="60" customFormat="1" ht="14.25">
      <c r="B3" s="70" t="s">
        <v>1041</v>
      </c>
      <c r="C3" s="70" t="s">
        <v>65</v>
      </c>
      <c r="D3" s="71" t="s">
        <v>78</v>
      </c>
      <c r="E3" s="71" t="s">
        <v>53</v>
      </c>
      <c r="F3" s="70" t="s">
        <v>88</v>
      </c>
      <c r="G3" s="72" t="s">
        <v>1212</v>
      </c>
      <c r="H3" s="72" t="s">
        <v>382</v>
      </c>
      <c r="I3" s="107" t="s">
        <v>1041</v>
      </c>
      <c r="J3" s="107" t="s">
        <v>1213</v>
      </c>
      <c r="K3" s="71" t="s">
        <v>53</v>
      </c>
      <c r="L3" s="107" t="s">
        <v>88</v>
      </c>
      <c r="N3" s="107" t="s">
        <v>1041</v>
      </c>
      <c r="O3" s="107" t="s">
        <v>1213</v>
      </c>
      <c r="P3" s="71" t="s">
        <v>53</v>
      </c>
      <c r="Q3" s="107" t="s">
        <v>88</v>
      </c>
      <c r="S3" s="107" t="s">
        <v>1041</v>
      </c>
      <c r="T3" s="107" t="s">
        <v>1213</v>
      </c>
      <c r="U3" s="71" t="s">
        <v>53</v>
      </c>
      <c r="V3" s="107" t="s">
        <v>88</v>
      </c>
    </row>
    <row r="4" spans="1:32" s="61" customFormat="1" ht="14.25">
      <c r="A4" s="73" t="s">
        <v>1214</v>
      </c>
      <c r="B4" s="74"/>
      <c r="C4" s="74"/>
      <c r="D4" s="75"/>
      <c r="E4" s="75"/>
      <c r="F4" s="74"/>
      <c r="G4" s="76"/>
      <c r="H4" s="76"/>
      <c r="I4" s="108">
        <f>ROUND(AVERAGE($I5:$I38),2)</f>
        <v>1.64</v>
      </c>
      <c r="J4" s="108">
        <f>ROUND(AVERAGE($J5:$J38),2)</f>
        <v>1.03</v>
      </c>
      <c r="K4" s="108">
        <f>ROUND(AVERAGE($K5:$K38),2)</f>
        <v>1.81</v>
      </c>
      <c r="L4" s="108">
        <f>ROUND(AVERAGE($L5:$L38),2)</f>
        <v>1.2</v>
      </c>
      <c r="N4" s="109"/>
      <c r="O4" s="109"/>
      <c r="P4" s="75"/>
      <c r="Q4" s="109"/>
      <c r="S4" s="109"/>
      <c r="T4" s="109"/>
      <c r="U4" s="75"/>
      <c r="V4" s="109"/>
      <c r="X4" s="142"/>
    </row>
    <row r="5" spans="1:32" s="60" customFormat="1" ht="14.25">
      <c r="B5" s="77"/>
      <c r="C5" s="77"/>
      <c r="D5" s="78"/>
      <c r="E5" s="78"/>
      <c r="F5" s="77"/>
      <c r="G5" s="72"/>
      <c r="H5" s="72"/>
      <c r="I5" s="110"/>
      <c r="J5" s="110"/>
      <c r="K5" s="111"/>
      <c r="L5" s="110"/>
      <c r="N5" s="112"/>
      <c r="O5" s="112"/>
      <c r="P5" s="78"/>
      <c r="Q5" s="112"/>
      <c r="S5" s="112"/>
      <c r="T5" s="112"/>
      <c r="U5" s="78"/>
      <c r="V5" s="112"/>
      <c r="X5" s="143"/>
    </row>
    <row r="6" spans="1:32" s="62" customFormat="1">
      <c r="A6" s="79" t="s">
        <v>1215</v>
      </c>
      <c r="B6" s="80">
        <f t="shared" ref="B6" si="0">B7*(1+N6)</f>
        <v>510.07089659554606</v>
      </c>
      <c r="C6" s="80">
        <f t="shared" ref="C6" si="1">C7*(1+O6)</f>
        <v>352.55593185737411</v>
      </c>
      <c r="D6" s="80">
        <f t="shared" ref="D6" si="2">C6</f>
        <v>352.55593185737411</v>
      </c>
      <c r="E6" s="80">
        <f t="shared" ref="E6" si="3">E7*(1+P6)</f>
        <v>737.27992463403655</v>
      </c>
      <c r="F6" s="80">
        <f t="shared" ref="F6" si="4">F7*(1+Q6)</f>
        <v>335.88319198297864</v>
      </c>
      <c r="G6" s="81">
        <v>2022</v>
      </c>
      <c r="H6" s="82">
        <v>1</v>
      </c>
      <c r="I6" s="113">
        <v>0</v>
      </c>
      <c r="J6" s="113">
        <v>0</v>
      </c>
      <c r="K6" s="113">
        <v>0</v>
      </c>
      <c r="L6" s="114">
        <v>0</v>
      </c>
      <c r="N6" s="115">
        <f t="shared" ref="N6" si="5">I6/100</f>
        <v>0</v>
      </c>
      <c r="O6" s="116">
        <f t="shared" ref="O6" si="6">J6/100</f>
        <v>0</v>
      </c>
      <c r="P6" s="116">
        <f t="shared" ref="P6" si="7">K6/100</f>
        <v>0</v>
      </c>
      <c r="Q6" s="116">
        <f t="shared" ref="Q6" si="8">L6/100</f>
        <v>0</v>
      </c>
      <c r="S6" s="144">
        <f>B6/B7-1</f>
        <v>0</v>
      </c>
      <c r="T6" s="145">
        <f>C6/C7-1</f>
        <v>0</v>
      </c>
      <c r="U6" s="145">
        <f>E6/E7-1</f>
        <v>0</v>
      </c>
      <c r="V6" s="145">
        <f>F6/F7-1</f>
        <v>0</v>
      </c>
      <c r="X6" s="146" t="s">
        <v>1216</v>
      </c>
      <c r="Y6" s="153"/>
      <c r="Z6" s="153"/>
      <c r="AA6" s="153"/>
    </row>
    <row r="7" spans="1:32">
      <c r="A7" s="83" t="s">
        <v>1217</v>
      </c>
      <c r="B7" s="84">
        <f t="shared" ref="B7" si="9">B8*(1+N7)</f>
        <v>510.07089659554606</v>
      </c>
      <c r="C7" s="84">
        <f t="shared" ref="C7" si="10">C8*(1+O7)</f>
        <v>352.55593185737411</v>
      </c>
      <c r="D7" s="84">
        <f t="shared" ref="D7" si="11">C7</f>
        <v>352.55593185737411</v>
      </c>
      <c r="E7" s="84">
        <f t="shared" ref="E7" si="12">E8*(1+P7)</f>
        <v>737.27992463403655</v>
      </c>
      <c r="F7" s="85">
        <f t="shared" ref="F7" si="13">F8*(1+Q7)</f>
        <v>335.88319198297864</v>
      </c>
      <c r="G7" s="86">
        <v>2021</v>
      </c>
      <c r="H7" s="87">
        <v>4</v>
      </c>
      <c r="I7" s="117">
        <v>1.03</v>
      </c>
      <c r="J7" s="117">
        <v>0.24</v>
      </c>
      <c r="K7" s="117">
        <v>1.17</v>
      </c>
      <c r="L7" s="118">
        <v>0.55000000000000004</v>
      </c>
      <c r="N7" s="119">
        <f t="shared" ref="N7" si="14">I7/100</f>
        <v>1.03E-2</v>
      </c>
      <c r="O7" s="120">
        <f t="shared" ref="O7" si="15">J7/100</f>
        <v>2.3999999999999998E-3</v>
      </c>
      <c r="P7" s="120">
        <f t="shared" ref="P7" si="16">K7/100</f>
        <v>1.1699999999999999E-2</v>
      </c>
      <c r="Q7" s="120">
        <f t="shared" ref="Q7" si="17">L7/100</f>
        <v>5.5000000000000005E-3</v>
      </c>
      <c r="R7" s="147"/>
      <c r="S7" s="132"/>
      <c r="T7" s="133"/>
      <c r="U7" s="133"/>
      <c r="V7" s="133"/>
      <c r="AC7" s="149"/>
      <c r="AD7" s="149"/>
      <c r="AE7" s="149"/>
      <c r="AF7" s="149"/>
    </row>
    <row r="8" spans="1:32">
      <c r="A8" s="83" t="s">
        <v>1218</v>
      </c>
      <c r="B8" s="88">
        <f t="shared" ref="B8" si="18">B9*(1+N8)</f>
        <v>504.87072809615569</v>
      </c>
      <c r="C8" s="88">
        <f t="shared" ref="C8" si="19">C9*(1+O8)</f>
        <v>351.71182348101968</v>
      </c>
      <c r="D8" s="88">
        <f t="shared" ref="D8" si="20">C8</f>
        <v>351.71182348101968</v>
      </c>
      <c r="E8" s="88">
        <f t="shared" ref="E8" si="21">E9*(1+P8)</f>
        <v>728.75350858360832</v>
      </c>
      <c r="F8" s="88">
        <f t="shared" ref="F8" si="22">F9*(1+Q8)</f>
        <v>334.04593931673656</v>
      </c>
      <c r="G8" s="86">
        <v>2021</v>
      </c>
      <c r="H8" s="87">
        <v>3</v>
      </c>
      <c r="I8" s="117">
        <v>0.47</v>
      </c>
      <c r="J8" s="117">
        <v>0.41</v>
      </c>
      <c r="K8" s="117">
        <v>0.48</v>
      </c>
      <c r="L8" s="118">
        <v>0.48</v>
      </c>
      <c r="N8" s="119">
        <f t="shared" ref="N8" si="23">I8/100</f>
        <v>4.6999999999999993E-3</v>
      </c>
      <c r="O8" s="120">
        <f t="shared" ref="O8" si="24">J8/100</f>
        <v>4.0999999999999995E-3</v>
      </c>
      <c r="P8" s="120">
        <f t="shared" ref="P8" si="25">K8/100</f>
        <v>4.7999999999999996E-3</v>
      </c>
      <c r="Q8" s="120">
        <f t="shared" ref="Q8" si="26">L8/100</f>
        <v>4.7999999999999996E-3</v>
      </c>
      <c r="R8" s="147"/>
      <c r="S8" s="132"/>
      <c r="T8" s="133"/>
      <c r="U8" s="133"/>
      <c r="V8" s="133"/>
      <c r="AC8" s="149"/>
      <c r="AD8" s="149"/>
      <c r="AE8" s="149"/>
      <c r="AF8" s="149"/>
    </row>
    <row r="9" spans="1:32">
      <c r="A9" s="83" t="s">
        <v>1219</v>
      </c>
      <c r="B9" s="88">
        <f t="shared" ref="B9" si="27">B10*(1+N9)</f>
        <v>502.50893609650217</v>
      </c>
      <c r="C9" s="88">
        <f t="shared" ref="C9" si="28">C10*(1+O9)</f>
        <v>350.27569313914915</v>
      </c>
      <c r="D9" s="88">
        <f t="shared" ref="D9" si="29">C9</f>
        <v>350.27569313914915</v>
      </c>
      <c r="E9" s="88">
        <f t="shared" ref="E9" si="30">E10*(1+P9)</f>
        <v>725.27220201394141</v>
      </c>
      <c r="F9" s="88">
        <f t="shared" ref="F9" si="31">F10*(1+Q9)</f>
        <v>332.45017846012797</v>
      </c>
      <c r="G9" s="86">
        <v>2021</v>
      </c>
      <c r="H9" s="87">
        <v>2</v>
      </c>
      <c r="I9" s="117">
        <v>0.92</v>
      </c>
      <c r="J9" s="117">
        <v>0.72</v>
      </c>
      <c r="K9" s="117">
        <v>0.95</v>
      </c>
      <c r="L9" s="118">
        <v>1.01</v>
      </c>
      <c r="N9" s="119">
        <f t="shared" ref="N9" si="32">I9/100</f>
        <v>9.1999999999999998E-3</v>
      </c>
      <c r="O9" s="120">
        <f t="shared" ref="O9" si="33">J9/100</f>
        <v>7.1999999999999998E-3</v>
      </c>
      <c r="P9" s="120">
        <f t="shared" ref="P9" si="34">K9/100</f>
        <v>9.4999999999999998E-3</v>
      </c>
      <c r="Q9" s="120">
        <f t="shared" ref="Q9" si="35">L9/100</f>
        <v>1.01E-2</v>
      </c>
      <c r="R9" s="147"/>
      <c r="S9" s="132"/>
      <c r="T9" s="133"/>
      <c r="U9" s="133"/>
      <c r="V9" s="133"/>
      <c r="AC9" s="149"/>
      <c r="AD9" s="149"/>
      <c r="AE9" s="149"/>
      <c r="AF9" s="149"/>
    </row>
    <row r="10" spans="1:32">
      <c r="A10" s="83" t="s">
        <v>1220</v>
      </c>
      <c r="B10" s="88">
        <f t="shared" ref="B10" si="36">B11*(1+N10)</f>
        <v>497.92799851020823</v>
      </c>
      <c r="C10" s="88">
        <f t="shared" ref="C10" si="37">C11*(1+O10)</f>
        <v>347.77173663537445</v>
      </c>
      <c r="D10" s="88">
        <f t="shared" ref="D10" si="38">C10</f>
        <v>347.77173663537445</v>
      </c>
      <c r="E10" s="88">
        <f t="shared" ref="E10" si="39">E11*(1+P10)</f>
        <v>718.44695593258189</v>
      </c>
      <c r="F10" s="88">
        <f t="shared" ref="F10" si="40">F11*(1+Q10)</f>
        <v>329.12600580153247</v>
      </c>
      <c r="G10" s="86">
        <v>2021</v>
      </c>
      <c r="H10" s="87">
        <v>1</v>
      </c>
      <c r="I10" s="117">
        <v>0.97</v>
      </c>
      <c r="J10" s="117">
        <v>0.16</v>
      </c>
      <c r="K10" s="117">
        <v>1.1100000000000001</v>
      </c>
      <c r="L10" s="118">
        <v>0.36</v>
      </c>
      <c r="N10" s="119">
        <f t="shared" ref="N10" si="41">I10/100</f>
        <v>9.7000000000000003E-3</v>
      </c>
      <c r="O10" s="120">
        <f t="shared" ref="O10" si="42">J10/100</f>
        <v>1.6000000000000001E-3</v>
      </c>
      <c r="P10" s="120">
        <f t="shared" ref="P10" si="43">K10/100</f>
        <v>1.11E-2</v>
      </c>
      <c r="Q10" s="120">
        <f t="shared" ref="Q10" si="44">L10/100</f>
        <v>3.5999999999999999E-3</v>
      </c>
      <c r="R10" s="147"/>
      <c r="S10" s="132">
        <f>B10/B11-1</f>
        <v>9.7000000000000419E-3</v>
      </c>
      <c r="T10" s="133">
        <f>C10/C11-1</f>
        <v>1.6000000000000458E-3</v>
      </c>
      <c r="U10" s="133">
        <f>E10/E11-1</f>
        <v>1.110000000000011E-2</v>
      </c>
      <c r="V10" s="133">
        <f>F10/F11-1</f>
        <v>3.6000000000000476E-3</v>
      </c>
      <c r="AC10" s="149"/>
      <c r="AD10" s="149"/>
      <c r="AE10" s="149"/>
      <c r="AF10" s="149"/>
    </row>
    <row r="11" spans="1:32">
      <c r="A11" s="83" t="s">
        <v>1221</v>
      </c>
      <c r="B11" s="84">
        <f t="shared" ref="B11" si="45">B12*(1+N11)</f>
        <v>493.14449689037161</v>
      </c>
      <c r="C11" s="84">
        <f t="shared" ref="C11" si="46">C12*(1+O11)</f>
        <v>347.21619073020611</v>
      </c>
      <c r="D11" s="84">
        <f t="shared" ref="D11" si="47">C11</f>
        <v>347.21619073020611</v>
      </c>
      <c r="E11" s="84">
        <f t="shared" ref="E11" si="48">E12*(1+P11)</f>
        <v>710.55974278763904</v>
      </c>
      <c r="F11" s="85">
        <f t="shared" ref="F11" si="49">F12*(1+Q11)</f>
        <v>327.94540235306141</v>
      </c>
      <c r="G11" s="86">
        <v>2020</v>
      </c>
      <c r="H11" s="87">
        <v>4</v>
      </c>
      <c r="I11" s="121">
        <v>2.0699999999999998</v>
      </c>
      <c r="J11" s="121">
        <v>0.37</v>
      </c>
      <c r="K11" s="121">
        <v>2.35</v>
      </c>
      <c r="L11" s="122">
        <v>2.69</v>
      </c>
      <c r="N11" s="119">
        <f t="shared" ref="N11" si="50">I11/100</f>
        <v>2.07E-2</v>
      </c>
      <c r="O11" s="120">
        <f t="shared" ref="O11" si="51">J11/100</f>
        <v>3.7000000000000002E-3</v>
      </c>
      <c r="P11" s="120">
        <f t="shared" ref="P11" si="52">K11/100</f>
        <v>2.35E-2</v>
      </c>
      <c r="Q11" s="120">
        <f t="shared" ref="Q11" si="53">L11/100</f>
        <v>2.69E-2</v>
      </c>
      <c r="R11" s="147"/>
      <c r="S11" s="132"/>
      <c r="T11" s="133"/>
      <c r="U11" s="133"/>
      <c r="V11" s="133"/>
      <c r="AC11" s="149"/>
      <c r="AD11" s="149"/>
      <c r="AE11" s="149"/>
      <c r="AF11" s="149"/>
    </row>
    <row r="12" spans="1:32">
      <c r="A12" s="83" t="s">
        <v>1222</v>
      </c>
      <c r="B12" s="88">
        <f t="shared" ref="B12" si="54">B13*(1+N12)</f>
        <v>483.1434279321756</v>
      </c>
      <c r="C12" s="88">
        <f t="shared" ref="C12" si="55">C13*(1+O12)</f>
        <v>345.93622669144776</v>
      </c>
      <c r="D12" s="88">
        <f t="shared" ref="D12" si="56">C12</f>
        <v>345.93622669144776</v>
      </c>
      <c r="E12" s="88">
        <f t="shared" ref="E12" si="57">E13*(1+P12)</f>
        <v>694.24498562544113</v>
      </c>
      <c r="F12" s="88">
        <f t="shared" ref="F12" si="58">F13*(1+Q12)</f>
        <v>319.35475932716082</v>
      </c>
      <c r="G12" s="86">
        <v>2020</v>
      </c>
      <c r="H12" s="87">
        <v>3</v>
      </c>
      <c r="I12" s="121">
        <v>0.36</v>
      </c>
      <c r="J12" s="121">
        <v>-0.39</v>
      </c>
      <c r="K12" s="121">
        <v>0.49</v>
      </c>
      <c r="L12" s="122">
        <v>7.0000000000000007E-2</v>
      </c>
      <c r="N12" s="119">
        <f t="shared" ref="N12" si="59">I12/100</f>
        <v>3.5999999999999999E-3</v>
      </c>
      <c r="O12" s="120">
        <f t="shared" ref="O12" si="60">J12/100</f>
        <v>-3.9000000000000003E-3</v>
      </c>
      <c r="P12" s="120">
        <f t="shared" ref="P12" si="61">K12/100</f>
        <v>4.8999999999999998E-3</v>
      </c>
      <c r="Q12" s="120">
        <f t="shared" ref="Q12" si="62">L12/100</f>
        <v>7.000000000000001E-4</v>
      </c>
      <c r="R12" s="147"/>
      <c r="S12" s="132"/>
      <c r="T12" s="133"/>
      <c r="U12" s="133"/>
      <c r="V12" s="133"/>
      <c r="AC12" s="149"/>
      <c r="AD12" s="149"/>
      <c r="AE12" s="149"/>
      <c r="AF12" s="149"/>
    </row>
    <row r="13" spans="1:32">
      <c r="A13" s="83" t="s">
        <v>1223</v>
      </c>
      <c r="B13" s="88">
        <f t="shared" ref="B13" si="63">B14*(1+N13)</f>
        <v>481.4103506697644</v>
      </c>
      <c r="C13" s="88">
        <f t="shared" ref="C13" si="64">C14*(1+O13)</f>
        <v>347.29066026648707</v>
      </c>
      <c r="D13" s="88">
        <f t="shared" ref="D13" si="65">C13</f>
        <v>347.29066026648707</v>
      </c>
      <c r="E13" s="88">
        <f t="shared" ref="E13" si="66">E14*(1+P13)</f>
        <v>690.85977273901995</v>
      </c>
      <c r="F13" s="88">
        <f t="shared" ref="F13" si="67">F14*(1+Q13)</f>
        <v>319.13136737000184</v>
      </c>
      <c r="G13" s="86">
        <v>2020</v>
      </c>
      <c r="H13" s="87">
        <v>2</v>
      </c>
      <c r="I13" s="121">
        <v>0.31</v>
      </c>
      <c r="J13" s="121">
        <v>-0.78</v>
      </c>
      <c r="K13" s="121">
        <v>0.5</v>
      </c>
      <c r="L13" s="122">
        <v>0.47</v>
      </c>
      <c r="N13" s="119">
        <f t="shared" ref="N13" si="68">I13/100</f>
        <v>3.0999999999999999E-3</v>
      </c>
      <c r="O13" s="120">
        <f t="shared" ref="O13" si="69">J13/100</f>
        <v>-7.8000000000000005E-3</v>
      </c>
      <c r="P13" s="120">
        <f t="shared" ref="P13" si="70">K13/100</f>
        <v>5.0000000000000001E-3</v>
      </c>
      <c r="Q13" s="120">
        <f t="shared" ref="Q13" si="71">L13/100</f>
        <v>4.6999999999999993E-3</v>
      </c>
      <c r="R13" s="147"/>
      <c r="S13" s="132"/>
      <c r="T13" s="133"/>
      <c r="U13" s="133"/>
      <c r="V13" s="133"/>
      <c r="AC13" s="149"/>
      <c r="AD13" s="149"/>
      <c r="AE13" s="149"/>
      <c r="AF13" s="149"/>
    </row>
    <row r="14" spans="1:32">
      <c r="A14" s="83" t="s">
        <v>1224</v>
      </c>
      <c r="B14" s="88">
        <f t="shared" ref="B14" si="72">B15*(1+N14)</f>
        <v>479.92259063878413</v>
      </c>
      <c r="C14" s="88">
        <f t="shared" ref="C14" si="73">C15*(1+O14)</f>
        <v>350.02082268341775</v>
      </c>
      <c r="D14" s="88">
        <f t="shared" ref="D14" si="74">C14</f>
        <v>350.02082268341775</v>
      </c>
      <c r="E14" s="88">
        <f t="shared" ref="E14" si="75">E15*(1+P14)</f>
        <v>687.42265944181099</v>
      </c>
      <c r="F14" s="88">
        <f t="shared" ref="F14" si="76">F15*(1+Q14)</f>
        <v>317.63846657708956</v>
      </c>
      <c r="G14" s="86">
        <v>2020</v>
      </c>
      <c r="H14" s="87">
        <v>1</v>
      </c>
      <c r="I14" s="121">
        <v>0.12</v>
      </c>
      <c r="J14" s="121">
        <v>-0.4</v>
      </c>
      <c r="K14" s="121">
        <v>0.21</v>
      </c>
      <c r="L14" s="122">
        <v>0.27</v>
      </c>
      <c r="N14" s="119">
        <f t="shared" ref="N14" si="77">I14/100</f>
        <v>1.1999999999999999E-3</v>
      </c>
      <c r="O14" s="120">
        <f t="shared" ref="O14" si="78">J14/100</f>
        <v>-4.0000000000000001E-3</v>
      </c>
      <c r="P14" s="120">
        <f t="shared" ref="P14" si="79">K14/100</f>
        <v>2.0999999999999999E-3</v>
      </c>
      <c r="Q14" s="120">
        <f t="shared" ref="Q14" si="80">L14/100</f>
        <v>2.7000000000000001E-3</v>
      </c>
      <c r="R14" s="147"/>
      <c r="S14" s="132">
        <f>B14/B15-1</f>
        <v>1.2000000000000899E-3</v>
      </c>
      <c r="T14" s="133">
        <f>C14/C15-1</f>
        <v>-4.0000000000000036E-3</v>
      </c>
      <c r="U14" s="133">
        <f>E14/E15-1</f>
        <v>2.0999999999999908E-3</v>
      </c>
      <c r="V14" s="133">
        <f>F14/F15-1</f>
        <v>2.6999999999999247E-3</v>
      </c>
      <c r="AC14" s="149"/>
      <c r="AD14" s="149"/>
      <c r="AE14" s="149"/>
      <c r="AF14" s="149"/>
    </row>
    <row r="15" spans="1:32">
      <c r="A15" s="83" t="s">
        <v>1225</v>
      </c>
      <c r="B15" s="84">
        <f t="shared" ref="B15" si="81">B16*(1+N15)</f>
        <v>479.34737379023579</v>
      </c>
      <c r="C15" s="84">
        <f t="shared" ref="C15" si="82">C16*(1+O15)</f>
        <v>351.4265287986122</v>
      </c>
      <c r="D15" s="84">
        <f t="shared" ref="D15" si="83">C15</f>
        <v>351.4265287986122</v>
      </c>
      <c r="E15" s="84">
        <f t="shared" ref="E15" si="84">E16*(1+P15)</f>
        <v>685.98209703803116</v>
      </c>
      <c r="F15" s="85">
        <f t="shared" ref="F15" si="85">F16*(1+Q15)</f>
        <v>316.78315206651001</v>
      </c>
      <c r="G15" s="86">
        <v>2019</v>
      </c>
      <c r="H15" s="87">
        <v>4</v>
      </c>
      <c r="I15" s="121">
        <v>0.45</v>
      </c>
      <c r="J15" s="121">
        <v>-0.12</v>
      </c>
      <c r="K15" s="121">
        <v>0.54</v>
      </c>
      <c r="L15" s="123">
        <v>0.48</v>
      </c>
      <c r="N15" s="119">
        <f t="shared" ref="N15" si="86">I15/100</f>
        <v>4.5000000000000005E-3</v>
      </c>
      <c r="O15" s="120">
        <f t="shared" ref="O15" si="87">J15/100</f>
        <v>-1.1999999999999999E-3</v>
      </c>
      <c r="P15" s="120">
        <f t="shared" ref="P15" si="88">K15/100</f>
        <v>5.4000000000000003E-3</v>
      </c>
      <c r="Q15" s="120">
        <f t="shared" ref="Q15" si="89">L15/100</f>
        <v>4.7999999999999996E-3</v>
      </c>
      <c r="R15" s="147"/>
      <c r="S15" s="132"/>
      <c r="T15" s="133"/>
      <c r="U15" s="133"/>
      <c r="V15" s="133"/>
      <c r="AC15" s="149"/>
      <c r="AD15" s="149"/>
      <c r="AE15" s="149"/>
      <c r="AF15" s="149"/>
    </row>
    <row r="16" spans="1:32">
      <c r="A16" s="83" t="s">
        <v>1226</v>
      </c>
      <c r="B16" s="88">
        <f t="shared" ref="B16" si="90">B17*(1+N16)</f>
        <v>477.19997390765138</v>
      </c>
      <c r="C16" s="88">
        <f t="shared" ref="C16" si="91">C17*(1+O16)</f>
        <v>351.84874729536665</v>
      </c>
      <c r="D16" s="88">
        <f t="shared" ref="D16" si="92">C16</f>
        <v>351.84874729536665</v>
      </c>
      <c r="E16" s="88">
        <f t="shared" ref="E16" si="93">E17*(1+P16)</f>
        <v>682.29768951465201</v>
      </c>
      <c r="F16" s="88">
        <f t="shared" ref="F16" si="94">F17*(1+Q16)</f>
        <v>315.26985675409043</v>
      </c>
      <c r="G16" s="86">
        <v>2019</v>
      </c>
      <c r="H16" s="87">
        <v>3</v>
      </c>
      <c r="I16" s="121">
        <v>0.61</v>
      </c>
      <c r="J16" s="121">
        <v>0.67</v>
      </c>
      <c r="K16" s="121">
        <v>0.6</v>
      </c>
      <c r="L16" s="123">
        <v>1.03</v>
      </c>
      <c r="N16" s="119">
        <f t="shared" ref="N16" si="95">I16/100</f>
        <v>6.0999999999999995E-3</v>
      </c>
      <c r="O16" s="120">
        <f t="shared" ref="O16" si="96">J16/100</f>
        <v>6.7000000000000002E-3</v>
      </c>
      <c r="P16" s="120">
        <f t="shared" ref="P16" si="97">K16/100</f>
        <v>6.0000000000000001E-3</v>
      </c>
      <c r="Q16" s="120">
        <f t="shared" ref="Q16" si="98">L16/100</f>
        <v>1.03E-2</v>
      </c>
      <c r="R16" s="147"/>
      <c r="S16" s="132"/>
      <c r="T16" s="133"/>
      <c r="U16" s="133"/>
      <c r="V16" s="133"/>
      <c r="AC16" s="149"/>
      <c r="AD16" s="149"/>
      <c r="AE16" s="149"/>
      <c r="AF16" s="149"/>
    </row>
    <row r="17" spans="1:32">
      <c r="A17" s="83" t="s">
        <v>1227</v>
      </c>
      <c r="B17" s="88">
        <f t="shared" ref="B17" si="99">B18*(1+N17)</f>
        <v>474.30670301923408</v>
      </c>
      <c r="C17" s="88">
        <f t="shared" ref="C17" si="100">C18*(1+O17)</f>
        <v>349.50705005996491</v>
      </c>
      <c r="D17" s="88">
        <f t="shared" ref="D17" si="101">C17</f>
        <v>349.50705005996491</v>
      </c>
      <c r="E17" s="88">
        <f t="shared" ref="E17" si="102">E18*(1+P17)</f>
        <v>678.22831959706957</v>
      </c>
      <c r="F17" s="88">
        <f t="shared" ref="F17" si="103">F18*(1+Q17)</f>
        <v>312.0556832169558</v>
      </c>
      <c r="G17" s="86">
        <v>2019</v>
      </c>
      <c r="H17" s="89">
        <v>2</v>
      </c>
      <c r="I17" s="89">
        <v>1.53</v>
      </c>
      <c r="J17" s="89">
        <v>1.01</v>
      </c>
      <c r="K17" s="89">
        <v>1.62</v>
      </c>
      <c r="L17" s="123">
        <v>1.25</v>
      </c>
      <c r="N17" s="119">
        <f t="shared" ref="N17" si="104">I17/100</f>
        <v>1.5300000000000001E-2</v>
      </c>
      <c r="O17" s="120">
        <f t="shared" ref="O17" si="105">J17/100</f>
        <v>1.01E-2</v>
      </c>
      <c r="P17" s="120">
        <f t="shared" ref="P17" si="106">K17/100</f>
        <v>1.6200000000000003E-2</v>
      </c>
      <c r="Q17" s="120">
        <f t="shared" ref="Q17" si="107">L17/100</f>
        <v>1.2500000000000001E-2</v>
      </c>
      <c r="R17" s="147"/>
      <c r="S17" s="132"/>
      <c r="T17" s="133"/>
      <c r="U17" s="133"/>
      <c r="V17" s="133"/>
      <c r="AC17" s="149"/>
      <c r="AD17" s="149"/>
      <c r="AE17" s="149"/>
      <c r="AF17" s="149"/>
    </row>
    <row r="18" spans="1:32">
      <c r="A18" s="83" t="s">
        <v>1228</v>
      </c>
      <c r="B18" s="88">
        <f t="shared" ref="B18" si="108">B19*(1+N18)</f>
        <v>467.15916775261894</v>
      </c>
      <c r="C18" s="88">
        <f t="shared" ref="C18" si="109">C19*(1+O18)</f>
        <v>346.01232557169084</v>
      </c>
      <c r="D18" s="88">
        <f t="shared" ref="D18" si="110">C18</f>
        <v>346.01232557169084</v>
      </c>
      <c r="E18" s="88">
        <f t="shared" ref="E18" si="111">E19*(1+P18)</f>
        <v>667.41617752122568</v>
      </c>
      <c r="F18" s="88">
        <f t="shared" ref="F18" si="112">F19*(1+Q18)</f>
        <v>308.20314391798104</v>
      </c>
      <c r="G18" s="86">
        <v>2019</v>
      </c>
      <c r="H18" s="87">
        <v>1</v>
      </c>
      <c r="I18" s="121">
        <v>0.6</v>
      </c>
      <c r="J18" s="121">
        <v>0.37</v>
      </c>
      <c r="K18" s="121">
        <v>0.63</v>
      </c>
      <c r="L18" s="122">
        <v>1.1299999999999999</v>
      </c>
      <c r="N18" s="119">
        <f t="shared" ref="N18" si="113">I18/100</f>
        <v>6.0000000000000001E-3</v>
      </c>
      <c r="O18" s="120">
        <f t="shared" ref="O18" si="114">J18/100</f>
        <v>3.7000000000000002E-3</v>
      </c>
      <c r="P18" s="120">
        <f t="shared" ref="P18" si="115">K18/100</f>
        <v>6.3E-3</v>
      </c>
      <c r="Q18" s="120">
        <f t="shared" ref="Q18" si="116">L18/100</f>
        <v>1.1299999999999999E-2</v>
      </c>
      <c r="R18" s="147"/>
      <c r="S18" s="132">
        <f>B18/B19-1</f>
        <v>6.0000000000000053E-3</v>
      </c>
      <c r="T18" s="133">
        <f>C18/C19-1</f>
        <v>3.7000000000000366E-3</v>
      </c>
      <c r="U18" s="133">
        <f>E18/E19-1</f>
        <v>6.2999999999999723E-3</v>
      </c>
      <c r="V18" s="133">
        <f>F18/F19-1</f>
        <v>1.1300000000000088E-2</v>
      </c>
      <c r="AC18" s="149"/>
      <c r="AD18" s="149"/>
      <c r="AE18" s="149"/>
      <c r="AF18" s="149"/>
    </row>
    <row r="19" spans="1:32">
      <c r="A19" s="83" t="s">
        <v>1229</v>
      </c>
      <c r="B19" s="84">
        <f t="shared" ref="B19" si="117">B20*(1+N19)</f>
        <v>464.37293017158942</v>
      </c>
      <c r="C19" s="84">
        <f t="shared" ref="C19" si="118">C20*(1+O19)</f>
        <v>344.73679941385956</v>
      </c>
      <c r="D19" s="84">
        <f t="shared" ref="D19" si="119">C19</f>
        <v>344.73679941385956</v>
      </c>
      <c r="E19" s="84">
        <f t="shared" ref="E19" si="120">E20*(1+P19)</f>
        <v>663.2377795103107</v>
      </c>
      <c r="F19" s="85">
        <f t="shared" ref="F19" si="121">F20*(1+Q19)</f>
        <v>304.75936311478398</v>
      </c>
      <c r="G19" s="1772">
        <v>2018</v>
      </c>
      <c r="H19" s="89">
        <v>4</v>
      </c>
      <c r="I19" s="89">
        <v>0.96</v>
      </c>
      <c r="J19" s="89">
        <v>1.03</v>
      </c>
      <c r="K19" s="89">
        <v>0.92</v>
      </c>
      <c r="L19" s="123">
        <v>1.29</v>
      </c>
      <c r="N19" s="119">
        <f t="shared" ref="N19" si="122">I19/100</f>
        <v>9.5999999999999992E-3</v>
      </c>
      <c r="O19" s="120">
        <f t="shared" ref="O19" si="123">J19/100</f>
        <v>1.03E-2</v>
      </c>
      <c r="P19" s="120">
        <f t="shared" ref="P19" si="124">K19/100</f>
        <v>9.1999999999999998E-3</v>
      </c>
      <c r="Q19" s="120">
        <f t="shared" ref="Q19" si="125">L19/100</f>
        <v>1.29E-2</v>
      </c>
      <c r="R19" s="147"/>
      <c r="S19" s="148"/>
      <c r="T19" s="149"/>
      <c r="U19" s="149"/>
      <c r="V19" s="149"/>
      <c r="AC19" s="149"/>
      <c r="AD19" s="149"/>
      <c r="AE19" s="149"/>
      <c r="AF19" s="149"/>
    </row>
    <row r="20" spans="1:32" s="60" customFormat="1" ht="14.45" customHeight="1">
      <c r="A20" s="83" t="s">
        <v>1230</v>
      </c>
      <c r="B20" s="88">
        <f t="shared" ref="B20" si="126">B21*(1+N20)</f>
        <v>459.95733971036987</v>
      </c>
      <c r="C20" s="88">
        <f t="shared" ref="C20" si="127">C21*(1+O20)</f>
        <v>341.22221064422405</v>
      </c>
      <c r="D20" s="88">
        <f t="shared" ref="D20" si="128">C20</f>
        <v>341.22221064422405</v>
      </c>
      <c r="E20" s="88">
        <f t="shared" ref="E20" si="129">E21*(1+P20)</f>
        <v>657.19161663724799</v>
      </c>
      <c r="F20" s="88">
        <f t="shared" ref="F20" si="130">F21*(1+Q20)</f>
        <v>300.87803644464805</v>
      </c>
      <c r="G20" s="1772"/>
      <c r="H20" s="87">
        <v>3</v>
      </c>
      <c r="I20" s="121">
        <v>1.51</v>
      </c>
      <c r="J20" s="121">
        <v>1.41</v>
      </c>
      <c r="K20" s="121">
        <v>1.52</v>
      </c>
      <c r="L20" s="122">
        <v>1.74</v>
      </c>
      <c r="N20" s="119">
        <f t="shared" ref="N20" si="131">I20/100</f>
        <v>1.5100000000000001E-2</v>
      </c>
      <c r="O20" s="120">
        <f t="shared" ref="O20" si="132">J20/100</f>
        <v>1.41E-2</v>
      </c>
      <c r="P20" s="120">
        <f t="shared" ref="P20" si="133">K20/100</f>
        <v>1.52E-2</v>
      </c>
      <c r="Q20" s="120">
        <f t="shared" ref="Q20" si="134">L20/100</f>
        <v>1.7399999999999999E-2</v>
      </c>
      <c r="S20" s="132"/>
      <c r="T20" s="133"/>
      <c r="U20" s="133"/>
      <c r="V20" s="133"/>
    </row>
    <row r="21" spans="1:32" s="60" customFormat="1" ht="14.45" customHeight="1">
      <c r="A21" s="83" t="s">
        <v>1231</v>
      </c>
      <c r="B21" s="88">
        <f t="shared" ref="B21:B26" si="135">B22*(1+N21)</f>
        <v>453.11529869999993</v>
      </c>
      <c r="C21" s="88">
        <f t="shared" ref="C21" si="136">C22*(1+O21)</f>
        <v>336.47787264000004</v>
      </c>
      <c r="D21" s="88">
        <f t="shared" ref="D21" si="137">C21</f>
        <v>336.47787264000004</v>
      </c>
      <c r="E21" s="88">
        <f t="shared" ref="E21" si="138">E22*(1+P21)</f>
        <v>647.35186823999993</v>
      </c>
      <c r="F21" s="88">
        <f t="shared" ref="F21" si="139">F22*(1+Q21)</f>
        <v>295.73229452000004</v>
      </c>
      <c r="G21" s="1772"/>
      <c r="H21" s="90">
        <v>2</v>
      </c>
      <c r="I21" s="124">
        <v>1.49</v>
      </c>
      <c r="J21" s="124">
        <v>0.96</v>
      </c>
      <c r="K21" s="124">
        <v>1.58</v>
      </c>
      <c r="L21" s="125">
        <v>2.44</v>
      </c>
      <c r="N21" s="119">
        <f t="shared" ref="N21" si="140">I21/100</f>
        <v>1.49E-2</v>
      </c>
      <c r="O21" s="120">
        <f t="shared" ref="O21" si="141">J21/100</f>
        <v>9.5999999999999992E-3</v>
      </c>
      <c r="P21" s="120">
        <f t="shared" ref="P21" si="142">K21/100</f>
        <v>1.5800000000000002E-2</v>
      </c>
      <c r="Q21" s="120">
        <f t="shared" ref="Q21" si="143">L21/100</f>
        <v>2.4399999999999998E-2</v>
      </c>
      <c r="S21" s="132"/>
      <c r="T21" s="133"/>
      <c r="U21" s="133"/>
      <c r="V21" s="133"/>
    </row>
    <row r="22" spans="1:32" s="60" customFormat="1" ht="15" customHeight="1">
      <c r="A22" s="83" t="s">
        <v>1232</v>
      </c>
      <c r="B22" s="88">
        <f t="shared" si="135"/>
        <v>446.46299999999997</v>
      </c>
      <c r="C22" s="88">
        <f t="shared" ref="C22" si="144">C23*(1+O22)</f>
        <v>333.27840000000003</v>
      </c>
      <c r="D22" s="88">
        <f t="shared" ref="D22:D27" si="145">C22</f>
        <v>333.27840000000003</v>
      </c>
      <c r="E22" s="88">
        <f t="shared" ref="E22" si="146">E23*(1+P22)</f>
        <v>637.28279999999995</v>
      </c>
      <c r="F22" s="88">
        <f t="shared" ref="F22" si="147">F23*(1+Q22)</f>
        <v>288.68830000000003</v>
      </c>
      <c r="G22" s="1773"/>
      <c r="H22" s="87">
        <v>1</v>
      </c>
      <c r="I22" s="121">
        <v>1.7</v>
      </c>
      <c r="J22" s="121">
        <v>1.92</v>
      </c>
      <c r="K22" s="121">
        <v>1.64</v>
      </c>
      <c r="L22" s="122">
        <v>2.0099999999999998</v>
      </c>
      <c r="N22" s="119">
        <f t="shared" ref="N22" si="148">I22/100</f>
        <v>1.7000000000000001E-2</v>
      </c>
      <c r="O22" s="120">
        <f t="shared" ref="O22" si="149">J22/100</f>
        <v>1.9199999999999998E-2</v>
      </c>
      <c r="P22" s="120">
        <f t="shared" ref="P22" si="150">K22/100</f>
        <v>1.6399999999999998E-2</v>
      </c>
      <c r="Q22" s="120">
        <f t="shared" ref="Q22" si="151">L22/100</f>
        <v>2.0099999999999996E-2</v>
      </c>
      <c r="S22" s="132">
        <f>B22/B23-1</f>
        <v>1.6999999999999904E-2</v>
      </c>
      <c r="T22" s="133">
        <f>C22/C23-1</f>
        <v>1.9200000000000106E-2</v>
      </c>
      <c r="U22" s="133">
        <f>E22/E23-1</f>
        <v>1.639999999999997E-2</v>
      </c>
      <c r="V22" s="133">
        <f>F22/F23-1</f>
        <v>2.0100000000000007E-2</v>
      </c>
    </row>
    <row r="23" spans="1:32">
      <c r="A23" s="83" t="s">
        <v>1233</v>
      </c>
      <c r="B23" s="84">
        <v>439</v>
      </c>
      <c r="C23" s="84">
        <v>327</v>
      </c>
      <c r="D23" s="84">
        <f t="shared" si="145"/>
        <v>327</v>
      </c>
      <c r="E23" s="84">
        <v>627</v>
      </c>
      <c r="F23" s="85">
        <v>283</v>
      </c>
      <c r="G23" s="1774">
        <v>2017</v>
      </c>
      <c r="H23" s="89">
        <v>4</v>
      </c>
      <c r="I23" s="89">
        <v>1.71</v>
      </c>
      <c r="J23" s="89">
        <v>1.78</v>
      </c>
      <c r="K23" s="89">
        <v>1.71</v>
      </c>
      <c r="L23" s="123">
        <v>1.43</v>
      </c>
      <c r="N23" s="119">
        <f t="shared" ref="N23" si="152">I23/100</f>
        <v>1.7100000000000001E-2</v>
      </c>
      <c r="O23" s="120">
        <f t="shared" ref="O23" si="153">J23/100</f>
        <v>1.78E-2</v>
      </c>
      <c r="P23" s="120">
        <f t="shared" ref="P23" si="154">K23/100</f>
        <v>1.7100000000000001E-2</v>
      </c>
      <c r="Q23" s="120">
        <f t="shared" ref="Q23" si="155">L23/100</f>
        <v>1.43E-2</v>
      </c>
      <c r="R23" s="147"/>
      <c r="S23" s="148"/>
      <c r="T23" s="149"/>
      <c r="U23" s="149"/>
      <c r="V23" s="149"/>
      <c r="AC23" s="149"/>
      <c r="AD23" s="149"/>
      <c r="AE23" s="149"/>
      <c r="AF23" s="149"/>
    </row>
    <row r="24" spans="1:32" s="60" customFormat="1" ht="14.45" customHeight="1">
      <c r="A24" s="83" t="s">
        <v>1234</v>
      </c>
      <c r="B24" s="88">
        <f t="shared" si="135"/>
        <v>431.80730811680002</v>
      </c>
      <c r="C24" s="88">
        <f t="shared" ref="C24:C25" si="156">C25*(1+O24)</f>
        <v>320.57880516480003</v>
      </c>
      <c r="D24" s="88">
        <f t="shared" si="145"/>
        <v>320.57880516480003</v>
      </c>
      <c r="E24" s="88">
        <f t="shared" ref="E24:F26" si="157">E25*(1+P24)</f>
        <v>615.96110553196797</v>
      </c>
      <c r="F24" s="88">
        <f t="shared" si="157"/>
        <v>279.46777300108801</v>
      </c>
      <c r="G24" s="1772"/>
      <c r="H24" s="87">
        <v>3</v>
      </c>
      <c r="I24" s="121">
        <v>2.98</v>
      </c>
      <c r="J24" s="121">
        <v>2.11</v>
      </c>
      <c r="K24" s="121">
        <v>3.24</v>
      </c>
      <c r="L24" s="122">
        <v>1.72</v>
      </c>
      <c r="N24" s="119">
        <f t="shared" ref="N24:Q25" si="158">I24/100</f>
        <v>2.98E-2</v>
      </c>
      <c r="O24" s="120">
        <f t="shared" si="158"/>
        <v>2.1099999999999997E-2</v>
      </c>
      <c r="P24" s="120">
        <f t="shared" si="158"/>
        <v>3.2400000000000005E-2</v>
      </c>
      <c r="Q24" s="120">
        <f t="shared" si="158"/>
        <v>1.72E-2</v>
      </c>
      <c r="S24" s="150"/>
    </row>
    <row r="25" spans="1:32" s="60" customFormat="1" ht="14.45" customHeight="1">
      <c r="A25" s="83" t="s">
        <v>1235</v>
      </c>
      <c r="B25" s="88">
        <f t="shared" si="135"/>
        <v>419.31181600000002</v>
      </c>
      <c r="C25" s="88">
        <f t="shared" si="156"/>
        <v>313.95436800000004</v>
      </c>
      <c r="D25" s="88">
        <f t="shared" si="145"/>
        <v>313.95436800000004</v>
      </c>
      <c r="E25" s="88">
        <f t="shared" si="157"/>
        <v>596.63028431999999</v>
      </c>
      <c r="F25" s="88">
        <f t="shared" si="157"/>
        <v>274.74220703999998</v>
      </c>
      <c r="G25" s="1772"/>
      <c r="H25" s="90">
        <v>2</v>
      </c>
      <c r="I25" s="124">
        <v>3.4</v>
      </c>
      <c r="J25" s="124">
        <v>2</v>
      </c>
      <c r="K25" s="124">
        <v>3.82</v>
      </c>
      <c r="L25" s="125">
        <v>1.68</v>
      </c>
      <c r="N25" s="119">
        <f t="shared" si="158"/>
        <v>3.4000000000000002E-2</v>
      </c>
      <c r="O25" s="120">
        <f t="shared" si="158"/>
        <v>0.02</v>
      </c>
      <c r="P25" s="120">
        <f t="shared" si="158"/>
        <v>3.8199999999999998E-2</v>
      </c>
      <c r="Q25" s="120">
        <f t="shared" si="158"/>
        <v>1.6799999999999999E-2</v>
      </c>
      <c r="S25" s="150"/>
    </row>
    <row r="26" spans="1:32" s="60" customFormat="1" ht="15" customHeight="1">
      <c r="A26" s="83" t="s">
        <v>384</v>
      </c>
      <c r="B26" s="88">
        <f t="shared" si="135"/>
        <v>405.524</v>
      </c>
      <c r="C26" s="88">
        <f t="shared" ref="C26" si="159">C27*(1+O26)</f>
        <v>307.79840000000002</v>
      </c>
      <c r="D26" s="88">
        <f t="shared" si="145"/>
        <v>307.79840000000002</v>
      </c>
      <c r="E26" s="88">
        <f t="shared" si="157"/>
        <v>574.67759999999998</v>
      </c>
      <c r="F26" s="88">
        <f t="shared" si="157"/>
        <v>270.20280000000002</v>
      </c>
      <c r="G26" s="1773"/>
      <c r="H26" s="87">
        <v>1</v>
      </c>
      <c r="I26" s="121">
        <v>3.45</v>
      </c>
      <c r="J26" s="121">
        <v>1.92</v>
      </c>
      <c r="K26" s="121">
        <v>3.92</v>
      </c>
      <c r="L26" s="122">
        <v>1.58</v>
      </c>
      <c r="N26" s="119">
        <f>I26/100</f>
        <v>3.4500000000000003E-2</v>
      </c>
      <c r="O26" s="120">
        <f t="shared" ref="O26" si="160">J26/100</f>
        <v>1.9199999999999998E-2</v>
      </c>
      <c r="P26" s="120">
        <f t="shared" ref="P26" si="161">K26/100</f>
        <v>3.9199999999999999E-2</v>
      </c>
      <c r="Q26" s="120">
        <f t="shared" ref="Q26" si="162">L26/100</f>
        <v>1.5800000000000002E-2</v>
      </c>
      <c r="S26" s="132">
        <f>B26/B27-1</f>
        <v>3.4499999999999975E-2</v>
      </c>
      <c r="T26" s="133">
        <f>C26/C27-1</f>
        <v>1.9200000000000106E-2</v>
      </c>
      <c r="U26" s="133">
        <f>E26/E27-1</f>
        <v>3.9199999999999902E-2</v>
      </c>
      <c r="V26" s="133">
        <f>F26/F27-1</f>
        <v>1.5800000000000036E-2</v>
      </c>
    </row>
    <row r="27" spans="1:32">
      <c r="A27" s="83" t="s">
        <v>1236</v>
      </c>
      <c r="B27" s="91">
        <v>392</v>
      </c>
      <c r="C27" s="91">
        <v>302</v>
      </c>
      <c r="D27" s="91">
        <f t="shared" si="145"/>
        <v>302</v>
      </c>
      <c r="E27" s="91">
        <v>553</v>
      </c>
      <c r="F27" s="92">
        <v>266</v>
      </c>
      <c r="G27" s="1774">
        <v>2016</v>
      </c>
      <c r="H27" s="89">
        <v>4</v>
      </c>
      <c r="I27" s="89">
        <v>4.5599999999999996</v>
      </c>
      <c r="J27" s="89">
        <v>2.15</v>
      </c>
      <c r="K27" s="89">
        <v>5.32</v>
      </c>
      <c r="L27" s="123">
        <v>1.57</v>
      </c>
      <c r="N27" s="119">
        <f>I27/100</f>
        <v>4.5599999999999995E-2</v>
      </c>
      <c r="O27" s="120">
        <f t="shared" ref="O27:Q42" si="163">J27/100</f>
        <v>2.1499999999999998E-2</v>
      </c>
      <c r="P27" s="120">
        <f t="shared" si="163"/>
        <v>5.3200000000000004E-2</v>
      </c>
      <c r="Q27" s="120">
        <f t="shared" si="163"/>
        <v>1.5700000000000002E-2</v>
      </c>
      <c r="R27" s="147"/>
      <c r="S27" s="148"/>
      <c r="T27" s="149"/>
      <c r="U27" s="149"/>
      <c r="V27" s="149"/>
      <c r="AC27" s="149"/>
      <c r="AD27" s="149"/>
      <c r="AE27" s="149"/>
      <c r="AF27" s="149"/>
    </row>
    <row r="28" spans="1:32">
      <c r="A28" s="83" t="s">
        <v>1237</v>
      </c>
      <c r="B28" s="88">
        <f t="shared" ref="B28:C30" si="164">B27/(1+N27)</f>
        <v>374.90436113236416</v>
      </c>
      <c r="C28" s="88">
        <f t="shared" si="164"/>
        <v>295.64366128242779</v>
      </c>
      <c r="D28" s="88">
        <f t="shared" ref="D28:D87" si="165">C28</f>
        <v>295.64366128242779</v>
      </c>
      <c r="E28" s="88">
        <f t="shared" ref="E28:F30" si="166">E27/(1+P27)</f>
        <v>525.06646410938095</v>
      </c>
      <c r="F28" s="88">
        <f t="shared" si="166"/>
        <v>261.88835286009646</v>
      </c>
      <c r="G28" s="1772"/>
      <c r="H28" s="87">
        <v>3</v>
      </c>
      <c r="I28" s="87">
        <v>4.12</v>
      </c>
      <c r="J28" s="87">
        <v>2</v>
      </c>
      <c r="K28" s="87">
        <v>4.79</v>
      </c>
      <c r="L28" s="126">
        <v>1.97</v>
      </c>
      <c r="N28" s="119">
        <f t="shared" ref="N28:Q62" si="167">I28/100</f>
        <v>4.1200000000000001E-2</v>
      </c>
      <c r="O28" s="120">
        <f t="shared" si="163"/>
        <v>0.02</v>
      </c>
      <c r="P28" s="120">
        <f t="shared" si="163"/>
        <v>4.7899999999999998E-2</v>
      </c>
      <c r="Q28" s="120">
        <f t="shared" si="163"/>
        <v>1.9699999999999999E-2</v>
      </c>
      <c r="R28" s="147"/>
      <c r="S28" s="119"/>
      <c r="T28" s="120"/>
      <c r="U28" s="120"/>
      <c r="V28" s="120"/>
    </row>
    <row r="29" spans="1:32">
      <c r="A29" s="83" t="s">
        <v>1238</v>
      </c>
      <c r="B29" s="88">
        <f t="shared" si="164"/>
        <v>360.06949782209392</v>
      </c>
      <c r="C29" s="88">
        <f t="shared" si="164"/>
        <v>289.84672674747821</v>
      </c>
      <c r="D29" s="88">
        <f t="shared" si="165"/>
        <v>289.84672674747821</v>
      </c>
      <c r="E29" s="88">
        <f t="shared" si="166"/>
        <v>501.06543001181495</v>
      </c>
      <c r="F29" s="88">
        <f t="shared" si="166"/>
        <v>256.82882500744967</v>
      </c>
      <c r="G29" s="1772"/>
      <c r="H29" s="90">
        <v>2</v>
      </c>
      <c r="I29" s="90">
        <v>3.85</v>
      </c>
      <c r="J29" s="90">
        <v>1.95</v>
      </c>
      <c r="K29" s="90">
        <v>4.4800000000000004</v>
      </c>
      <c r="L29" s="127">
        <v>1.41</v>
      </c>
      <c r="N29" s="119">
        <f t="shared" si="167"/>
        <v>3.85E-2</v>
      </c>
      <c r="O29" s="120">
        <f t="shared" si="163"/>
        <v>1.95E-2</v>
      </c>
      <c r="P29" s="120">
        <f t="shared" si="163"/>
        <v>4.4800000000000006E-2</v>
      </c>
      <c r="Q29" s="120">
        <f t="shared" si="163"/>
        <v>1.41E-2</v>
      </c>
      <c r="R29" s="147"/>
      <c r="S29" s="119"/>
      <c r="T29" s="120"/>
      <c r="U29" s="120"/>
      <c r="V29" s="120"/>
    </row>
    <row r="30" spans="1:32">
      <c r="A30" s="83" t="s">
        <v>1239</v>
      </c>
      <c r="B30" s="88">
        <f t="shared" si="164"/>
        <v>346.720748986128</v>
      </c>
      <c r="C30" s="88">
        <f t="shared" si="164"/>
        <v>284.30282172386285</v>
      </c>
      <c r="D30" s="88">
        <f t="shared" si="165"/>
        <v>284.30282172386285</v>
      </c>
      <c r="E30" s="88">
        <f t="shared" si="166"/>
        <v>479.58023546306947</v>
      </c>
      <c r="F30" s="88">
        <f t="shared" si="166"/>
        <v>253.25788877571213</v>
      </c>
      <c r="G30" s="1775"/>
      <c r="H30" s="87">
        <v>1</v>
      </c>
      <c r="I30" s="87">
        <v>4.09</v>
      </c>
      <c r="J30" s="87">
        <v>2.93</v>
      </c>
      <c r="K30" s="87">
        <v>4.54</v>
      </c>
      <c r="L30" s="126">
        <v>1.48</v>
      </c>
      <c r="N30" s="119">
        <f t="shared" si="167"/>
        <v>4.0899999999999999E-2</v>
      </c>
      <c r="O30" s="120">
        <f t="shared" si="163"/>
        <v>2.9300000000000003E-2</v>
      </c>
      <c r="P30" s="120">
        <f t="shared" si="163"/>
        <v>4.5400000000000003E-2</v>
      </c>
      <c r="Q30" s="120">
        <f t="shared" si="163"/>
        <v>1.4800000000000001E-2</v>
      </c>
      <c r="R30" s="147"/>
      <c r="S30" s="132">
        <f>B30/B31-1</f>
        <v>4.1203450408792808E-2</v>
      </c>
      <c r="T30" s="133">
        <f>C30/C31-1</f>
        <v>2.6363977342465095E-2</v>
      </c>
      <c r="U30" s="133">
        <f>E30/E31-1</f>
        <v>4.4837114298626357E-2</v>
      </c>
      <c r="V30" s="133">
        <f>F30/F31-1</f>
        <v>1.7099954922538574E-2</v>
      </c>
      <c r="AC30" s="120"/>
      <c r="AD30" s="120"/>
      <c r="AE30" s="120"/>
      <c r="AF30" s="120"/>
    </row>
    <row r="31" spans="1:32">
      <c r="A31" s="83" t="s">
        <v>1240</v>
      </c>
      <c r="B31" s="91">
        <v>333</v>
      </c>
      <c r="C31" s="91">
        <v>277</v>
      </c>
      <c r="D31" s="91">
        <f t="shared" si="165"/>
        <v>277</v>
      </c>
      <c r="E31" s="91">
        <v>459</v>
      </c>
      <c r="F31" s="92">
        <v>249</v>
      </c>
      <c r="G31" s="1776">
        <v>2015</v>
      </c>
      <c r="H31" s="93">
        <v>4</v>
      </c>
      <c r="I31" s="93">
        <v>1.63</v>
      </c>
      <c r="J31" s="93">
        <v>1.1100000000000001</v>
      </c>
      <c r="K31" s="93">
        <v>1.77</v>
      </c>
      <c r="L31" s="128">
        <v>1.89</v>
      </c>
      <c r="N31" s="129">
        <f t="shared" si="167"/>
        <v>1.6299999999999999E-2</v>
      </c>
      <c r="O31" s="130">
        <f t="shared" si="163"/>
        <v>1.11E-2</v>
      </c>
      <c r="P31" s="130">
        <f t="shared" si="163"/>
        <v>1.77E-2</v>
      </c>
      <c r="Q31" s="130">
        <f t="shared" si="163"/>
        <v>1.89E-2</v>
      </c>
      <c r="R31" s="147"/>
      <c r="AC31" s="149"/>
      <c r="AD31" s="149"/>
      <c r="AE31" s="149"/>
      <c r="AF31" s="149"/>
    </row>
    <row r="32" spans="1:32">
      <c r="A32" s="83" t="s">
        <v>1241</v>
      </c>
      <c r="B32" s="88">
        <f t="shared" ref="B32:C34" si="168">B31/(1+N31)</f>
        <v>327.65915576109415</v>
      </c>
      <c r="C32" s="88">
        <f t="shared" si="168"/>
        <v>273.95905449510434</v>
      </c>
      <c r="D32" s="88">
        <f t="shared" si="165"/>
        <v>273.95905449510434</v>
      </c>
      <c r="E32" s="88">
        <f t="shared" ref="E32:F34" si="169">E31/(1+P31)</f>
        <v>451.01699911565294</v>
      </c>
      <c r="F32" s="88">
        <f t="shared" si="169"/>
        <v>244.38119540681129</v>
      </c>
      <c r="G32" s="1772"/>
      <c r="H32" s="94">
        <v>3</v>
      </c>
      <c r="I32" s="94">
        <v>1.65</v>
      </c>
      <c r="J32" s="94">
        <v>0.92</v>
      </c>
      <c r="K32" s="94">
        <v>1.88</v>
      </c>
      <c r="L32" s="131">
        <v>1.26</v>
      </c>
      <c r="N32" s="119">
        <f t="shared" si="167"/>
        <v>1.6500000000000001E-2</v>
      </c>
      <c r="O32" s="120">
        <f t="shared" si="163"/>
        <v>9.1999999999999998E-3</v>
      </c>
      <c r="P32" s="120">
        <f t="shared" si="163"/>
        <v>1.8799999999999997E-2</v>
      </c>
      <c r="Q32" s="120">
        <f t="shared" si="163"/>
        <v>1.26E-2</v>
      </c>
      <c r="R32" s="147"/>
      <c r="S32" s="119"/>
      <c r="T32" s="120"/>
      <c r="U32" s="120"/>
      <c r="V32" s="120"/>
    </row>
    <row r="33" spans="1:32">
      <c r="A33" s="83" t="s">
        <v>1242</v>
      </c>
      <c r="B33" s="88">
        <f t="shared" si="168"/>
        <v>322.34053690220776</v>
      </c>
      <c r="C33" s="88">
        <f t="shared" si="168"/>
        <v>271.46160770422546</v>
      </c>
      <c r="D33" s="88">
        <f t="shared" si="165"/>
        <v>271.46160770422546</v>
      </c>
      <c r="E33" s="88">
        <f t="shared" si="169"/>
        <v>442.69434542172456</v>
      </c>
      <c r="F33" s="88">
        <f t="shared" si="169"/>
        <v>241.34030753190925</v>
      </c>
      <c r="G33" s="1772"/>
      <c r="H33" s="90">
        <v>2</v>
      </c>
      <c r="I33" s="90">
        <v>0.77</v>
      </c>
      <c r="J33" s="90">
        <v>0.69</v>
      </c>
      <c r="K33" s="90">
        <v>0.8</v>
      </c>
      <c r="L33" s="127">
        <v>0.88</v>
      </c>
      <c r="N33" s="119">
        <f t="shared" si="167"/>
        <v>7.7000000000000002E-3</v>
      </c>
      <c r="O33" s="120">
        <f t="shared" si="163"/>
        <v>6.8999999999999999E-3</v>
      </c>
      <c r="P33" s="120">
        <f t="shared" si="163"/>
        <v>8.0000000000000002E-3</v>
      </c>
      <c r="Q33" s="120">
        <f t="shared" si="163"/>
        <v>8.8000000000000005E-3</v>
      </c>
      <c r="R33" s="147"/>
      <c r="S33" s="119"/>
      <c r="T33" s="120"/>
      <c r="U33" s="120"/>
      <c r="V33" s="120"/>
    </row>
    <row r="34" spans="1:32">
      <c r="A34" s="83" t="s">
        <v>1243</v>
      </c>
      <c r="B34" s="88">
        <f t="shared" si="168"/>
        <v>319.87748030386797</v>
      </c>
      <c r="C34" s="88">
        <f t="shared" si="168"/>
        <v>269.60135833173649</v>
      </c>
      <c r="D34" s="88">
        <f t="shared" si="165"/>
        <v>269.60135833173649</v>
      </c>
      <c r="E34" s="88">
        <f t="shared" si="169"/>
        <v>439.18089823583784</v>
      </c>
      <c r="F34" s="88">
        <f t="shared" si="169"/>
        <v>239.23503918706311</v>
      </c>
      <c r="G34" s="1775"/>
      <c r="H34" s="87">
        <v>1</v>
      </c>
      <c r="I34" s="87">
        <v>0.51</v>
      </c>
      <c r="J34" s="87">
        <v>0.54</v>
      </c>
      <c r="K34" s="87">
        <v>0.48</v>
      </c>
      <c r="L34" s="126">
        <v>0.93</v>
      </c>
      <c r="N34" s="132">
        <f t="shared" si="167"/>
        <v>5.1000000000000004E-3</v>
      </c>
      <c r="O34" s="133">
        <f t="shared" si="163"/>
        <v>5.4000000000000003E-3</v>
      </c>
      <c r="P34" s="133">
        <f t="shared" si="163"/>
        <v>4.7999999999999996E-3</v>
      </c>
      <c r="Q34" s="133">
        <f t="shared" si="163"/>
        <v>9.300000000000001E-3</v>
      </c>
      <c r="R34" s="147"/>
      <c r="S34" s="132">
        <f>B34/B35-1</f>
        <v>5.9040261127922822E-3</v>
      </c>
      <c r="T34" s="133">
        <f>C34/C35-1</f>
        <v>5.9752176557332781E-3</v>
      </c>
      <c r="U34" s="133">
        <f>E34/E35-1</f>
        <v>4.9906138119859556E-3</v>
      </c>
      <c r="V34" s="133">
        <f>F34/F35-1</f>
        <v>9.4305450930933787E-3</v>
      </c>
      <c r="AC34" s="120"/>
      <c r="AD34" s="120"/>
      <c r="AE34" s="120"/>
      <c r="AF34" s="120"/>
    </row>
    <row r="35" spans="1:32">
      <c r="A35" s="83" t="s">
        <v>1244</v>
      </c>
      <c r="B35" s="95">
        <v>318</v>
      </c>
      <c r="C35" s="95">
        <v>268</v>
      </c>
      <c r="D35" s="95">
        <f t="shared" si="165"/>
        <v>268</v>
      </c>
      <c r="E35" s="95">
        <v>437</v>
      </c>
      <c r="F35" s="96">
        <v>237</v>
      </c>
      <c r="G35" s="1776">
        <v>2014</v>
      </c>
      <c r="H35" s="93">
        <v>4</v>
      </c>
      <c r="I35" s="93">
        <v>0.21</v>
      </c>
      <c r="J35" s="93">
        <v>0.41</v>
      </c>
      <c r="K35" s="93">
        <v>0.12</v>
      </c>
      <c r="L35" s="128">
        <v>0.89</v>
      </c>
      <c r="N35" s="119">
        <f t="shared" si="167"/>
        <v>2.0999999999999999E-3</v>
      </c>
      <c r="O35" s="120">
        <f t="shared" si="163"/>
        <v>4.0999999999999995E-3</v>
      </c>
      <c r="P35" s="120">
        <f t="shared" si="163"/>
        <v>1.1999999999999999E-3</v>
      </c>
      <c r="Q35" s="120">
        <f t="shared" si="163"/>
        <v>8.8999999999999999E-3</v>
      </c>
      <c r="R35" s="147"/>
      <c r="S35" s="148"/>
      <c r="T35" s="149"/>
      <c r="U35" s="149"/>
      <c r="V35" s="149"/>
      <c r="AC35" s="149"/>
      <c r="AD35" s="149"/>
      <c r="AE35" s="149"/>
      <c r="AF35" s="149"/>
    </row>
    <row r="36" spans="1:32">
      <c r="A36" s="83" t="s">
        <v>1030</v>
      </c>
      <c r="B36" s="88">
        <f t="shared" ref="B36:C38" si="170">B35/(1+N35)</f>
        <v>317.33359944117353</v>
      </c>
      <c r="C36" s="88">
        <f t="shared" si="170"/>
        <v>266.90568668459315</v>
      </c>
      <c r="D36" s="88">
        <f t="shared" si="165"/>
        <v>266.90568668459315</v>
      </c>
      <c r="E36" s="88">
        <f t="shared" ref="E36:F38" si="171">E35/(1+P35)</f>
        <v>436.47622852576905</v>
      </c>
      <c r="F36" s="88">
        <f t="shared" si="171"/>
        <v>234.90930716622066</v>
      </c>
      <c r="G36" s="1772"/>
      <c r="H36" s="97">
        <v>3</v>
      </c>
      <c r="I36" s="97">
        <v>0.83</v>
      </c>
      <c r="J36" s="97">
        <v>1.47</v>
      </c>
      <c r="K36" s="97">
        <v>0.65</v>
      </c>
      <c r="L36" s="134">
        <v>0.72</v>
      </c>
      <c r="N36" s="119">
        <f t="shared" si="167"/>
        <v>8.3000000000000001E-3</v>
      </c>
      <c r="O36" s="120">
        <f t="shared" si="163"/>
        <v>1.47E-2</v>
      </c>
      <c r="P36" s="120">
        <f t="shared" si="163"/>
        <v>6.5000000000000006E-3</v>
      </c>
      <c r="Q36" s="120">
        <f t="shared" si="163"/>
        <v>7.1999999999999998E-3</v>
      </c>
      <c r="R36" s="147"/>
      <c r="S36" s="119"/>
      <c r="T36" s="120"/>
      <c r="U36" s="120"/>
      <c r="V36" s="120"/>
    </row>
    <row r="37" spans="1:32">
      <c r="A37" s="83" t="s">
        <v>1245</v>
      </c>
      <c r="B37" s="88">
        <f t="shared" si="170"/>
        <v>314.72141172386546</v>
      </c>
      <c r="C37" s="88">
        <f t="shared" si="170"/>
        <v>263.03901319069001</v>
      </c>
      <c r="D37" s="88">
        <f t="shared" si="165"/>
        <v>263.03901319069001</v>
      </c>
      <c r="E37" s="88">
        <f t="shared" si="171"/>
        <v>433.65745506782821</v>
      </c>
      <c r="F37" s="88">
        <f t="shared" si="171"/>
        <v>233.23005080045735</v>
      </c>
      <c r="G37" s="1772"/>
      <c r="H37" s="93">
        <v>2</v>
      </c>
      <c r="I37" s="93">
        <v>2.4</v>
      </c>
      <c r="J37" s="93">
        <v>2.0299999999999998</v>
      </c>
      <c r="K37" s="93">
        <v>2.59</v>
      </c>
      <c r="L37" s="128">
        <v>1.52</v>
      </c>
      <c r="N37" s="119">
        <f t="shared" si="167"/>
        <v>2.4E-2</v>
      </c>
      <c r="O37" s="120">
        <f t="shared" si="163"/>
        <v>2.0299999999999999E-2</v>
      </c>
      <c r="P37" s="120">
        <f t="shared" si="163"/>
        <v>2.5899999999999999E-2</v>
      </c>
      <c r="Q37" s="120">
        <f t="shared" si="163"/>
        <v>1.52E-2</v>
      </c>
      <c r="R37" s="147"/>
      <c r="S37" s="119"/>
      <c r="T37" s="120"/>
      <c r="U37" s="120"/>
      <c r="V37" s="120"/>
    </row>
    <row r="38" spans="1:32" s="1641" customFormat="1">
      <c r="A38" s="83" t="s">
        <v>1246</v>
      </c>
      <c r="B38" s="1638">
        <f t="shared" si="170"/>
        <v>307.34512863658733</v>
      </c>
      <c r="C38" s="1638">
        <f t="shared" si="170"/>
        <v>257.80556031626975</v>
      </c>
      <c r="D38" s="1638">
        <f t="shared" si="165"/>
        <v>257.80556031626975</v>
      </c>
      <c r="E38" s="1638">
        <f t="shared" si="171"/>
        <v>422.70928459677179</v>
      </c>
      <c r="F38" s="1638">
        <f t="shared" si="171"/>
        <v>229.73803270336617</v>
      </c>
      <c r="G38" s="1775"/>
      <c r="H38" s="1639">
        <v>1</v>
      </c>
      <c r="I38" s="1639">
        <v>2.97</v>
      </c>
      <c r="J38" s="1639">
        <v>2.34</v>
      </c>
      <c r="K38" s="1639">
        <v>3.28</v>
      </c>
      <c r="L38" s="1640">
        <v>1.36</v>
      </c>
      <c r="N38" s="1642">
        <f t="shared" si="167"/>
        <v>2.9700000000000001E-2</v>
      </c>
      <c r="O38" s="1643">
        <f t="shared" si="163"/>
        <v>2.3399999999999997E-2</v>
      </c>
      <c r="P38" s="1643">
        <f t="shared" si="163"/>
        <v>3.2799999999999996E-2</v>
      </c>
      <c r="Q38" s="1643">
        <f t="shared" si="163"/>
        <v>1.3600000000000001E-2</v>
      </c>
      <c r="R38" s="1644"/>
      <c r="S38" s="1645">
        <f>B38/B39-1</f>
        <v>2.7910129219355539E-2</v>
      </c>
      <c r="T38" s="1646">
        <f>C38/C39-1</f>
        <v>2.3037937762975247E-2</v>
      </c>
      <c r="U38" s="1646">
        <f>E38/E39-1</f>
        <v>3.3519033243940788E-2</v>
      </c>
      <c r="V38" s="1646">
        <f>F38/F39-1</f>
        <v>1.2061818076502862E-2</v>
      </c>
      <c r="AC38" s="1643"/>
      <c r="AD38" s="1643"/>
      <c r="AE38" s="1643"/>
      <c r="AF38" s="1643"/>
    </row>
    <row r="39" spans="1:32">
      <c r="A39" s="83" t="s">
        <v>1247</v>
      </c>
      <c r="B39" s="91">
        <v>299</v>
      </c>
      <c r="C39" s="91">
        <v>252</v>
      </c>
      <c r="D39" s="91">
        <f t="shared" si="165"/>
        <v>252</v>
      </c>
      <c r="E39" s="91">
        <v>409</v>
      </c>
      <c r="F39" s="92">
        <v>227</v>
      </c>
      <c r="G39" s="1777">
        <v>2013</v>
      </c>
      <c r="H39" s="100">
        <v>4</v>
      </c>
      <c r="I39" s="100">
        <v>1.83</v>
      </c>
      <c r="J39" s="100">
        <v>1.68</v>
      </c>
      <c r="K39" s="100">
        <v>1.97</v>
      </c>
      <c r="L39" s="135">
        <v>0.87</v>
      </c>
      <c r="N39" s="129">
        <f t="shared" si="167"/>
        <v>1.83E-2</v>
      </c>
      <c r="O39" s="130">
        <f t="shared" si="163"/>
        <v>1.6799999999999999E-2</v>
      </c>
      <c r="P39" s="130">
        <f t="shared" si="163"/>
        <v>1.9699999999999999E-2</v>
      </c>
      <c r="Q39" s="130">
        <f t="shared" si="163"/>
        <v>8.6999999999999994E-3</v>
      </c>
      <c r="R39" s="147"/>
      <c r="S39" s="148"/>
      <c r="T39" s="149"/>
      <c r="U39" s="149"/>
      <c r="V39" s="149"/>
      <c r="AC39" s="149"/>
      <c r="AD39" s="149"/>
      <c r="AE39" s="149"/>
      <c r="AF39" s="149"/>
    </row>
    <row r="40" spans="1:32">
      <c r="A40" s="83" t="s">
        <v>1248</v>
      </c>
      <c r="B40" s="88">
        <f t="shared" ref="B40:C42" si="172">B39/(1+N39)</f>
        <v>293.62663262299913</v>
      </c>
      <c r="C40" s="88">
        <f t="shared" si="172"/>
        <v>247.83634933123525</v>
      </c>
      <c r="D40" s="88">
        <f t="shared" si="165"/>
        <v>247.83634933123525</v>
      </c>
      <c r="E40" s="88">
        <f t="shared" ref="E40:F42" si="173">E39/(1+P39)</f>
        <v>401.09836226341076</v>
      </c>
      <c r="F40" s="88">
        <f t="shared" si="173"/>
        <v>225.04213343908003</v>
      </c>
      <c r="G40" s="1778"/>
      <c r="H40" s="94">
        <v>3</v>
      </c>
      <c r="I40" s="94">
        <v>1.86</v>
      </c>
      <c r="J40" s="94">
        <v>1.72</v>
      </c>
      <c r="K40" s="94">
        <v>1.98</v>
      </c>
      <c r="L40" s="131">
        <v>0.88</v>
      </c>
      <c r="N40" s="119">
        <f t="shared" si="167"/>
        <v>1.8600000000000002E-2</v>
      </c>
      <c r="O40" s="120">
        <f t="shared" si="163"/>
        <v>1.72E-2</v>
      </c>
      <c r="P40" s="120">
        <f t="shared" si="163"/>
        <v>1.9799999999999998E-2</v>
      </c>
      <c r="Q40" s="120">
        <f t="shared" si="163"/>
        <v>8.8000000000000005E-3</v>
      </c>
      <c r="R40" s="147"/>
      <c r="S40" s="119"/>
      <c r="T40" s="120"/>
      <c r="U40" s="120"/>
      <c r="V40" s="120"/>
    </row>
    <row r="41" spans="1:32">
      <c r="A41" s="83" t="s">
        <v>1249</v>
      </c>
      <c r="B41" s="88">
        <f t="shared" si="172"/>
        <v>288.2649053828776</v>
      </c>
      <c r="C41" s="88">
        <f t="shared" si="172"/>
        <v>243.64564425013293</v>
      </c>
      <c r="D41" s="88">
        <f t="shared" si="165"/>
        <v>243.64564425013293</v>
      </c>
      <c r="E41" s="88">
        <f t="shared" si="173"/>
        <v>393.31080825986544</v>
      </c>
      <c r="F41" s="88">
        <f t="shared" si="173"/>
        <v>223.07903790551154</v>
      </c>
      <c r="G41" s="1778"/>
      <c r="H41" s="90">
        <v>2</v>
      </c>
      <c r="I41" s="90">
        <v>2.04</v>
      </c>
      <c r="J41" s="90">
        <v>2.33</v>
      </c>
      <c r="K41" s="90">
        <v>2.0699999999999998</v>
      </c>
      <c r="L41" s="127">
        <v>0.69</v>
      </c>
      <c r="N41" s="119">
        <f t="shared" si="167"/>
        <v>2.0400000000000001E-2</v>
      </c>
      <c r="O41" s="120">
        <f t="shared" si="163"/>
        <v>2.3300000000000001E-2</v>
      </c>
      <c r="P41" s="120">
        <f t="shared" si="163"/>
        <v>2.07E-2</v>
      </c>
      <c r="Q41" s="120">
        <f t="shared" si="163"/>
        <v>6.8999999999999999E-3</v>
      </c>
      <c r="R41" s="147"/>
      <c r="S41" s="119"/>
      <c r="T41" s="120"/>
      <c r="U41" s="120"/>
      <c r="V41" s="120"/>
    </row>
    <row r="42" spans="1:32">
      <c r="A42" s="83" t="s">
        <v>1250</v>
      </c>
      <c r="B42" s="88">
        <f t="shared" si="172"/>
        <v>282.50186729015837</v>
      </c>
      <c r="C42" s="88">
        <f t="shared" si="172"/>
        <v>238.09796174155468</v>
      </c>
      <c r="D42" s="88">
        <f t="shared" si="165"/>
        <v>238.09796174155468</v>
      </c>
      <c r="E42" s="88">
        <f t="shared" si="173"/>
        <v>385.33438646014054</v>
      </c>
      <c r="F42" s="88">
        <f t="shared" si="173"/>
        <v>221.55034055567739</v>
      </c>
      <c r="G42" s="1779"/>
      <c r="H42" s="87">
        <v>1</v>
      </c>
      <c r="I42" s="87">
        <v>1.67</v>
      </c>
      <c r="J42" s="87">
        <v>1.31</v>
      </c>
      <c r="K42" s="87">
        <v>1.85</v>
      </c>
      <c r="L42" s="126">
        <v>0.96</v>
      </c>
      <c r="N42" s="132">
        <f t="shared" si="167"/>
        <v>1.67E-2</v>
      </c>
      <c r="O42" s="133">
        <f t="shared" si="163"/>
        <v>1.3100000000000001E-2</v>
      </c>
      <c r="P42" s="133">
        <f t="shared" si="163"/>
        <v>1.8500000000000003E-2</v>
      </c>
      <c r="Q42" s="133">
        <f t="shared" si="163"/>
        <v>9.5999999999999992E-3</v>
      </c>
      <c r="R42" s="147"/>
      <c r="S42" s="132">
        <f>B42/B43-1</f>
        <v>1.6193767230785472E-2</v>
      </c>
      <c r="T42" s="133">
        <f>C42/C43-1</f>
        <v>1.7512657015190891E-2</v>
      </c>
      <c r="U42" s="133">
        <f>E42/E43-1</f>
        <v>1.6713420739157048E-2</v>
      </c>
      <c r="V42" s="133">
        <f>F42/F43-1</f>
        <v>7.0470025258062563E-3</v>
      </c>
      <c r="AC42" s="120"/>
      <c r="AD42" s="120"/>
      <c r="AE42" s="120"/>
      <c r="AF42" s="120"/>
    </row>
    <row r="43" spans="1:32">
      <c r="A43" s="83" t="s">
        <v>1251</v>
      </c>
      <c r="B43" s="101">
        <v>278</v>
      </c>
      <c r="C43" s="101">
        <v>234</v>
      </c>
      <c r="D43" s="101">
        <f t="shared" si="165"/>
        <v>234</v>
      </c>
      <c r="E43" s="101">
        <v>379</v>
      </c>
      <c r="F43" s="102">
        <v>220</v>
      </c>
      <c r="G43" s="1776">
        <v>2012</v>
      </c>
      <c r="H43" s="93">
        <v>4</v>
      </c>
      <c r="I43" s="93">
        <v>0.91</v>
      </c>
      <c r="J43" s="93">
        <v>0.68</v>
      </c>
      <c r="K43" s="93">
        <v>0.98</v>
      </c>
      <c r="L43" s="128">
        <v>0.9</v>
      </c>
      <c r="N43" s="119">
        <f t="shared" si="167"/>
        <v>9.1000000000000004E-3</v>
      </c>
      <c r="O43" s="120">
        <f t="shared" si="167"/>
        <v>6.8000000000000005E-3</v>
      </c>
      <c r="P43" s="120">
        <f t="shared" si="167"/>
        <v>9.7999999999999997E-3</v>
      </c>
      <c r="Q43" s="120">
        <f t="shared" si="167"/>
        <v>9.0000000000000011E-3</v>
      </c>
      <c r="R43" s="147"/>
      <c r="S43" s="148"/>
      <c r="T43" s="149"/>
      <c r="U43" s="149"/>
      <c r="V43" s="149"/>
      <c r="AC43" s="149"/>
      <c r="AD43" s="149"/>
      <c r="AE43" s="149"/>
      <c r="AF43" s="149"/>
    </row>
    <row r="44" spans="1:32">
      <c r="A44" s="83" t="s">
        <v>1252</v>
      </c>
      <c r="B44" s="88">
        <f>B43/(1+N43)</f>
        <v>275.49301357645425</v>
      </c>
      <c r="C44" s="88">
        <f>C43/(1+O43)</f>
        <v>232.41954707985698</v>
      </c>
      <c r="D44" s="88">
        <f t="shared" si="165"/>
        <v>232.41954707985698</v>
      </c>
      <c r="E44" s="88">
        <f t="shared" ref="E44:F46" si="174">E43/(1+P43)</f>
        <v>375.32184591008121</v>
      </c>
      <c r="F44" s="88">
        <f t="shared" si="174"/>
        <v>218.03766105054513</v>
      </c>
      <c r="G44" s="1772"/>
      <c r="H44" s="94">
        <v>3</v>
      </c>
      <c r="I44" s="94">
        <v>0.09</v>
      </c>
      <c r="J44" s="94">
        <v>0.28999999999999998</v>
      </c>
      <c r="K44" s="94">
        <v>-0.01</v>
      </c>
      <c r="L44" s="131">
        <v>0.57999999999999996</v>
      </c>
      <c r="N44" s="119">
        <f t="shared" si="167"/>
        <v>8.9999999999999998E-4</v>
      </c>
      <c r="O44" s="120">
        <f t="shared" si="167"/>
        <v>2.8999999999999998E-3</v>
      </c>
      <c r="P44" s="120">
        <f t="shared" si="167"/>
        <v>-1E-4</v>
      </c>
      <c r="Q44" s="120">
        <f t="shared" si="167"/>
        <v>5.7999999999999996E-3</v>
      </c>
      <c r="R44" s="147"/>
      <c r="S44" s="119"/>
      <c r="T44" s="120"/>
      <c r="U44" s="120"/>
      <c r="V44" s="120"/>
    </row>
    <row r="45" spans="1:32">
      <c r="A45" s="83" t="s">
        <v>1253</v>
      </c>
      <c r="B45" s="88">
        <f>B44/(1+N44)</f>
        <v>275.24529281292263</v>
      </c>
      <c r="C45" s="88">
        <f>C44/(1+O44)</f>
        <v>231.74747938962707</v>
      </c>
      <c r="D45" s="88">
        <f t="shared" si="165"/>
        <v>231.74747938962707</v>
      </c>
      <c r="E45" s="88">
        <f t="shared" si="174"/>
        <v>375.35938184826603</v>
      </c>
      <c r="F45" s="88">
        <f t="shared" si="174"/>
        <v>216.78033510692495</v>
      </c>
      <c r="G45" s="1772"/>
      <c r="H45" s="90">
        <v>2</v>
      </c>
      <c r="I45" s="90">
        <v>0.02</v>
      </c>
      <c r="J45" s="90">
        <v>0.12</v>
      </c>
      <c r="K45" s="90">
        <v>-0.08</v>
      </c>
      <c r="L45" s="127">
        <v>1.24</v>
      </c>
      <c r="N45" s="119">
        <f t="shared" si="167"/>
        <v>2.0000000000000001E-4</v>
      </c>
      <c r="O45" s="120">
        <f t="shared" si="167"/>
        <v>1.1999999999999999E-3</v>
      </c>
      <c r="P45" s="120">
        <f t="shared" si="167"/>
        <v>-8.0000000000000004E-4</v>
      </c>
      <c r="Q45" s="120">
        <f t="shared" si="167"/>
        <v>1.24E-2</v>
      </c>
      <c r="R45" s="147"/>
      <c r="S45" s="119"/>
      <c r="T45" s="120"/>
      <c r="U45" s="120"/>
      <c r="V45" s="120"/>
    </row>
    <row r="46" spans="1:32">
      <c r="A46" s="83" t="s">
        <v>1254</v>
      </c>
      <c r="B46" s="88">
        <f>B45/(1+N45)</f>
        <v>275.19025476197027</v>
      </c>
      <c r="C46" s="103">
        <v>232</v>
      </c>
      <c r="D46" s="103">
        <f t="shared" si="165"/>
        <v>232</v>
      </c>
      <c r="E46" s="88">
        <f t="shared" si="174"/>
        <v>375.65990977608692</v>
      </c>
      <c r="F46" s="88">
        <f t="shared" si="174"/>
        <v>214.12518283971252</v>
      </c>
      <c r="G46" s="1775"/>
      <c r="H46" s="87">
        <v>1</v>
      </c>
      <c r="I46" s="87">
        <v>0.02</v>
      </c>
      <c r="J46" s="87">
        <v>0.13</v>
      </c>
      <c r="K46" s="87">
        <v>-0.04</v>
      </c>
      <c r="L46" s="126">
        <v>0.46</v>
      </c>
      <c r="N46" s="119">
        <f t="shared" si="167"/>
        <v>2.0000000000000001E-4</v>
      </c>
      <c r="O46" s="120">
        <f t="shared" si="167"/>
        <v>1.2999999999999999E-3</v>
      </c>
      <c r="P46" s="120">
        <f t="shared" si="167"/>
        <v>-4.0000000000000002E-4</v>
      </c>
      <c r="Q46" s="120">
        <f t="shared" si="167"/>
        <v>4.5999999999999999E-3</v>
      </c>
      <c r="R46" s="147"/>
      <c r="S46" s="132">
        <f>B46/B47-1</f>
        <v>6.9183549807361189E-4</v>
      </c>
      <c r="T46" s="133">
        <f>C46/C47-1</f>
        <v>0</v>
      </c>
      <c r="U46" s="133">
        <f>E46/E47-1</f>
        <v>-9.0449527636460303E-4</v>
      </c>
      <c r="V46" s="133">
        <f>F46/F47-1</f>
        <v>5.2825485432512753E-3</v>
      </c>
      <c r="AC46" s="120"/>
      <c r="AD46" s="120"/>
      <c r="AE46" s="120"/>
      <c r="AF46" s="120"/>
    </row>
    <row r="47" spans="1:32">
      <c r="A47" s="83" t="s">
        <v>1255</v>
      </c>
      <c r="B47" s="91">
        <v>275</v>
      </c>
      <c r="C47" s="91">
        <v>232</v>
      </c>
      <c r="D47" s="91">
        <f t="shared" si="165"/>
        <v>232</v>
      </c>
      <c r="E47" s="91">
        <v>376</v>
      </c>
      <c r="F47" s="92">
        <v>213</v>
      </c>
      <c r="G47" s="1776">
        <v>2011</v>
      </c>
      <c r="H47" s="93">
        <v>4</v>
      </c>
      <c r="I47" s="93">
        <v>-0.2</v>
      </c>
      <c r="J47" s="93">
        <v>0.04</v>
      </c>
      <c r="K47" s="93">
        <v>-0.34</v>
      </c>
      <c r="L47" s="128">
        <v>0.46</v>
      </c>
      <c r="N47" s="129">
        <f t="shared" si="167"/>
        <v>-2E-3</v>
      </c>
      <c r="O47" s="130">
        <f t="shared" si="167"/>
        <v>4.0000000000000002E-4</v>
      </c>
      <c r="P47" s="130">
        <f t="shared" si="167"/>
        <v>-3.4000000000000002E-3</v>
      </c>
      <c r="Q47" s="130">
        <f t="shared" si="167"/>
        <v>4.5999999999999999E-3</v>
      </c>
      <c r="R47" s="147"/>
      <c r="S47" s="148"/>
      <c r="T47" s="149"/>
      <c r="U47" s="149"/>
      <c r="V47" s="149"/>
      <c r="AC47" s="149"/>
      <c r="AD47" s="149"/>
      <c r="AE47" s="149"/>
      <c r="AF47" s="149"/>
    </row>
    <row r="48" spans="1:32">
      <c r="A48" s="83" t="s">
        <v>1256</v>
      </c>
      <c r="B48" s="88">
        <f t="shared" ref="B48:C50" si="175">B47/(1+N47)</f>
        <v>275.55110220440883</v>
      </c>
      <c r="C48" s="88">
        <f t="shared" si="175"/>
        <v>231.90723710515795</v>
      </c>
      <c r="D48" s="88">
        <f t="shared" si="165"/>
        <v>231.90723710515795</v>
      </c>
      <c r="E48" s="88">
        <f t="shared" ref="E48:F50" si="176">E47/(1+P47)</f>
        <v>377.28276138872161</v>
      </c>
      <c r="F48" s="88">
        <f t="shared" si="176"/>
        <v>212.02468644236512</v>
      </c>
      <c r="G48" s="1772">
        <v>2011</v>
      </c>
      <c r="H48" s="94">
        <v>3</v>
      </c>
      <c r="I48" s="94">
        <v>0.13</v>
      </c>
      <c r="J48" s="94">
        <v>0.75</v>
      </c>
      <c r="K48" s="94">
        <v>-0.08</v>
      </c>
      <c r="L48" s="131">
        <v>0.53</v>
      </c>
      <c r="N48" s="119">
        <f t="shared" si="167"/>
        <v>1.2999999999999999E-3</v>
      </c>
      <c r="O48" s="120">
        <f t="shared" si="167"/>
        <v>7.4999999999999997E-3</v>
      </c>
      <c r="P48" s="120">
        <f t="shared" si="167"/>
        <v>-8.0000000000000004E-4</v>
      </c>
      <c r="Q48" s="120">
        <f t="shared" si="167"/>
        <v>5.3E-3</v>
      </c>
      <c r="R48" s="147"/>
      <c r="S48" s="119"/>
      <c r="T48" s="120"/>
      <c r="U48" s="120"/>
      <c r="V48" s="120"/>
    </row>
    <row r="49" spans="1:32">
      <c r="A49" s="83" t="s">
        <v>1257</v>
      </c>
      <c r="B49" s="88">
        <f t="shared" si="175"/>
        <v>275.19335084830601</v>
      </c>
      <c r="C49" s="88">
        <f t="shared" si="175"/>
        <v>230.18088050139744</v>
      </c>
      <c r="D49" s="88">
        <f t="shared" si="165"/>
        <v>230.18088050139744</v>
      </c>
      <c r="E49" s="88">
        <f t="shared" si="176"/>
        <v>377.58482925212331</v>
      </c>
      <c r="F49" s="88">
        <f t="shared" si="176"/>
        <v>210.90687997847917</v>
      </c>
      <c r="G49" s="1772">
        <v>2011</v>
      </c>
      <c r="H49" s="90">
        <v>2</v>
      </c>
      <c r="I49" s="90">
        <v>-0.4</v>
      </c>
      <c r="J49" s="90">
        <v>0.17</v>
      </c>
      <c r="K49" s="90">
        <v>-0.57999999999999996</v>
      </c>
      <c r="L49" s="127">
        <v>-0.2</v>
      </c>
      <c r="N49" s="119">
        <f t="shared" si="167"/>
        <v>-4.0000000000000001E-3</v>
      </c>
      <c r="O49" s="120">
        <f t="shared" si="167"/>
        <v>1.7000000000000001E-3</v>
      </c>
      <c r="P49" s="120">
        <f t="shared" si="167"/>
        <v>-5.7999999999999996E-3</v>
      </c>
      <c r="Q49" s="120">
        <f t="shared" si="167"/>
        <v>-2E-3</v>
      </c>
      <c r="R49" s="147"/>
      <c r="S49" s="119"/>
      <c r="T49" s="120"/>
      <c r="U49" s="120"/>
      <c r="V49" s="120"/>
    </row>
    <row r="50" spans="1:32">
      <c r="A50" s="83" t="s">
        <v>1258</v>
      </c>
      <c r="B50" s="88">
        <f t="shared" si="175"/>
        <v>276.29854502841971</v>
      </c>
      <c r="C50" s="88">
        <f t="shared" si="175"/>
        <v>229.79023709833027</v>
      </c>
      <c r="D50" s="88">
        <f t="shared" si="165"/>
        <v>229.79023709833027</v>
      </c>
      <c r="E50" s="88">
        <f t="shared" si="176"/>
        <v>379.78759731655936</v>
      </c>
      <c r="F50" s="88">
        <f t="shared" si="176"/>
        <v>211.32953905659235</v>
      </c>
      <c r="G50" s="1775">
        <v>2011</v>
      </c>
      <c r="H50" s="87">
        <v>1</v>
      </c>
      <c r="I50" s="87">
        <v>2.65</v>
      </c>
      <c r="J50" s="87">
        <v>3.76</v>
      </c>
      <c r="K50" s="87">
        <v>1.89</v>
      </c>
      <c r="L50" s="126">
        <v>7.95</v>
      </c>
      <c r="N50" s="132">
        <f t="shared" si="167"/>
        <v>2.6499999999999999E-2</v>
      </c>
      <c r="O50" s="133">
        <f t="shared" si="167"/>
        <v>3.7599999999999995E-2</v>
      </c>
      <c r="P50" s="133">
        <f t="shared" si="167"/>
        <v>1.89E-2</v>
      </c>
      <c r="Q50" s="133">
        <f t="shared" si="167"/>
        <v>7.9500000000000001E-2</v>
      </c>
      <c r="R50" s="147"/>
      <c r="S50" s="132">
        <f>B50/B51-1</f>
        <v>2.713213765211786E-2</v>
      </c>
      <c r="T50" s="133">
        <f>C50/C51-1</f>
        <v>3.9774828499231862E-2</v>
      </c>
      <c r="U50" s="133">
        <f>E50/E51-1</f>
        <v>1.8197311840641772E-2</v>
      </c>
      <c r="V50" s="133">
        <f>F50/F51-1</f>
        <v>7.8211933962205826E-2</v>
      </c>
      <c r="AC50" s="120"/>
      <c r="AD50" s="120"/>
      <c r="AE50" s="120"/>
      <c r="AF50" s="120"/>
    </row>
    <row r="51" spans="1:32">
      <c r="A51" s="83" t="s">
        <v>1259</v>
      </c>
      <c r="B51" s="91">
        <v>269</v>
      </c>
      <c r="C51" s="91">
        <v>221</v>
      </c>
      <c r="D51" s="91">
        <f t="shared" si="165"/>
        <v>221</v>
      </c>
      <c r="E51" s="91">
        <v>373</v>
      </c>
      <c r="F51" s="92">
        <v>196</v>
      </c>
      <c r="G51" s="1776">
        <v>2010</v>
      </c>
      <c r="H51" s="93">
        <v>4</v>
      </c>
      <c r="I51" s="93">
        <v>5.72</v>
      </c>
      <c r="J51" s="93">
        <v>6.57</v>
      </c>
      <c r="K51" s="93">
        <v>5.72</v>
      </c>
      <c r="L51" s="128">
        <v>2.72</v>
      </c>
      <c r="N51" s="119">
        <f t="shared" si="167"/>
        <v>5.7200000000000001E-2</v>
      </c>
      <c r="O51" s="120">
        <f t="shared" si="167"/>
        <v>6.5700000000000008E-2</v>
      </c>
      <c r="P51" s="120">
        <f t="shared" si="167"/>
        <v>5.7200000000000001E-2</v>
      </c>
      <c r="Q51" s="120">
        <f t="shared" si="167"/>
        <v>2.7200000000000002E-2</v>
      </c>
      <c r="R51" s="147"/>
      <c r="S51" s="148"/>
      <c r="T51" s="149"/>
      <c r="U51" s="149"/>
      <c r="V51" s="149"/>
      <c r="AC51" s="149"/>
      <c r="AD51" s="149"/>
      <c r="AE51" s="149"/>
      <c r="AF51" s="149"/>
    </row>
    <row r="52" spans="1:32">
      <c r="A52" s="83" t="s">
        <v>1260</v>
      </c>
      <c r="B52" s="88">
        <f t="shared" ref="B52:C54" si="177">B51/(1+N51)</f>
        <v>254.44570563753314</v>
      </c>
      <c r="C52" s="88">
        <f t="shared" si="177"/>
        <v>207.37543398705074</v>
      </c>
      <c r="D52" s="88">
        <f t="shared" si="165"/>
        <v>207.37543398705074</v>
      </c>
      <c r="E52" s="88">
        <f t="shared" ref="E52:F54" si="178">E51/(1+P51)</f>
        <v>352.81876655315932</v>
      </c>
      <c r="F52" s="88">
        <f t="shared" si="178"/>
        <v>190.809968847352</v>
      </c>
      <c r="G52" s="1772">
        <v>2010</v>
      </c>
      <c r="H52" s="94">
        <v>3</v>
      </c>
      <c r="I52" s="94">
        <v>4.7300000000000004</v>
      </c>
      <c r="J52" s="94">
        <v>3.9</v>
      </c>
      <c r="K52" s="94">
        <v>5.03</v>
      </c>
      <c r="L52" s="131">
        <v>4.21</v>
      </c>
      <c r="N52" s="119">
        <f t="shared" si="167"/>
        <v>4.7300000000000002E-2</v>
      </c>
      <c r="O52" s="120">
        <f t="shared" si="167"/>
        <v>3.9E-2</v>
      </c>
      <c r="P52" s="120">
        <f t="shared" si="167"/>
        <v>5.0300000000000004E-2</v>
      </c>
      <c r="Q52" s="120">
        <f t="shared" si="167"/>
        <v>4.2099999999999999E-2</v>
      </c>
      <c r="R52" s="147"/>
      <c r="S52" s="119"/>
      <c r="T52" s="120"/>
      <c r="U52" s="120"/>
      <c r="V52" s="120"/>
    </row>
    <row r="53" spans="1:32">
      <c r="A53" s="83" t="s">
        <v>1261</v>
      </c>
      <c r="B53" s="88">
        <f t="shared" si="177"/>
        <v>242.95398227588385</v>
      </c>
      <c r="C53" s="88">
        <f t="shared" si="177"/>
        <v>199.59137053614126</v>
      </c>
      <c r="D53" s="88">
        <f t="shared" si="165"/>
        <v>199.59137053614126</v>
      </c>
      <c r="E53" s="88">
        <f t="shared" si="178"/>
        <v>335.92189522342125</v>
      </c>
      <c r="F53" s="88">
        <f t="shared" si="178"/>
        <v>183.10139991109489</v>
      </c>
      <c r="G53" s="1772">
        <v>2010</v>
      </c>
      <c r="H53" s="90">
        <v>2</v>
      </c>
      <c r="I53" s="90">
        <v>4.6900000000000004</v>
      </c>
      <c r="J53" s="90">
        <v>3.55</v>
      </c>
      <c r="K53" s="90">
        <v>5.07</v>
      </c>
      <c r="L53" s="127">
        <v>4.2300000000000004</v>
      </c>
      <c r="N53" s="119">
        <f t="shared" si="167"/>
        <v>4.6900000000000004E-2</v>
      </c>
      <c r="O53" s="120">
        <f t="shared" si="167"/>
        <v>3.5499999999999997E-2</v>
      </c>
      <c r="P53" s="120">
        <f t="shared" si="167"/>
        <v>5.0700000000000002E-2</v>
      </c>
      <c r="Q53" s="120">
        <f t="shared" si="167"/>
        <v>4.2300000000000004E-2</v>
      </c>
      <c r="R53" s="147"/>
      <c r="S53" s="119"/>
      <c r="T53" s="120"/>
      <c r="U53" s="120"/>
      <c r="V53" s="120"/>
    </row>
    <row r="54" spans="1:32">
      <c r="A54" s="83" t="s">
        <v>1262</v>
      </c>
      <c r="B54" s="88">
        <f t="shared" si="177"/>
        <v>232.06990378821649</v>
      </c>
      <c r="C54" s="88">
        <f t="shared" si="177"/>
        <v>192.74878854286936</v>
      </c>
      <c r="D54" s="88">
        <f t="shared" si="165"/>
        <v>192.74878854286936</v>
      </c>
      <c r="E54" s="88">
        <f t="shared" si="178"/>
        <v>319.71247284992984</v>
      </c>
      <c r="F54" s="88">
        <f t="shared" si="178"/>
        <v>175.67053622862409</v>
      </c>
      <c r="G54" s="1775">
        <v>2010</v>
      </c>
      <c r="H54" s="87">
        <v>1</v>
      </c>
      <c r="I54" s="87">
        <v>5.4</v>
      </c>
      <c r="J54" s="87">
        <v>3.2</v>
      </c>
      <c r="K54" s="87">
        <v>6.16</v>
      </c>
      <c r="L54" s="126">
        <v>4.51</v>
      </c>
      <c r="N54" s="119">
        <f t="shared" si="167"/>
        <v>5.4000000000000006E-2</v>
      </c>
      <c r="O54" s="120">
        <f t="shared" si="167"/>
        <v>3.2000000000000001E-2</v>
      </c>
      <c r="P54" s="120">
        <f t="shared" si="167"/>
        <v>6.1600000000000002E-2</v>
      </c>
      <c r="Q54" s="120">
        <f t="shared" si="167"/>
        <v>4.5100000000000001E-2</v>
      </c>
      <c r="R54" s="147"/>
      <c r="S54" s="132">
        <f>B54/B55-1</f>
        <v>5.4863199037347599E-2</v>
      </c>
      <c r="T54" s="133">
        <f>C54/C55-1</f>
        <v>3.0742184721226584E-2</v>
      </c>
      <c r="U54" s="133">
        <f>E54/E55-1</f>
        <v>6.2167683886810154E-2</v>
      </c>
      <c r="V54" s="133">
        <f>F54/F55-1</f>
        <v>4.5657953741810031E-2</v>
      </c>
      <c r="AC54" s="120"/>
      <c r="AD54" s="120"/>
      <c r="AE54" s="120"/>
      <c r="AF54" s="120"/>
    </row>
    <row r="55" spans="1:32">
      <c r="A55" s="83" t="s">
        <v>1263</v>
      </c>
      <c r="B55" s="91">
        <v>220</v>
      </c>
      <c r="C55" s="91">
        <v>187</v>
      </c>
      <c r="D55" s="91">
        <f t="shared" si="165"/>
        <v>187</v>
      </c>
      <c r="E55" s="91">
        <v>301</v>
      </c>
      <c r="F55" s="92">
        <v>168</v>
      </c>
      <c r="G55" s="1776">
        <v>2009</v>
      </c>
      <c r="H55" s="93">
        <v>4</v>
      </c>
      <c r="I55" s="93">
        <v>2.2999999999999998</v>
      </c>
      <c r="J55" s="93">
        <v>1.04</v>
      </c>
      <c r="K55" s="93">
        <v>2.84</v>
      </c>
      <c r="L55" s="128">
        <v>0.67</v>
      </c>
      <c r="N55" s="129">
        <f t="shared" si="167"/>
        <v>2.3E-2</v>
      </c>
      <c r="O55" s="130">
        <f t="shared" si="167"/>
        <v>1.04E-2</v>
      </c>
      <c r="P55" s="130">
        <f t="shared" si="167"/>
        <v>2.8399999999999998E-2</v>
      </c>
      <c r="Q55" s="130">
        <f t="shared" si="167"/>
        <v>6.7000000000000002E-3</v>
      </c>
      <c r="R55" s="147"/>
      <c r="S55" s="148"/>
      <c r="T55" s="149"/>
      <c r="U55" s="149"/>
      <c r="V55" s="149"/>
      <c r="AC55" s="149"/>
      <c r="AD55" s="149"/>
      <c r="AE55" s="149"/>
      <c r="AF55" s="149"/>
    </row>
    <row r="56" spans="1:32">
      <c r="A56" s="83" t="s">
        <v>1264</v>
      </c>
      <c r="B56" s="88">
        <f t="shared" ref="B56:C58" si="179">B55/(1+N55)</f>
        <v>215.05376344086022</v>
      </c>
      <c r="C56" s="88">
        <f t="shared" si="179"/>
        <v>185.0752177355503</v>
      </c>
      <c r="D56" s="88">
        <f t="shared" si="165"/>
        <v>185.0752177355503</v>
      </c>
      <c r="E56" s="88">
        <f t="shared" ref="E56:F58" si="180">E55/(1+P55)</f>
        <v>292.68767016725008</v>
      </c>
      <c r="F56" s="88">
        <f t="shared" si="180"/>
        <v>166.88189132810174</v>
      </c>
      <c r="G56" s="1772">
        <v>2009</v>
      </c>
      <c r="H56" s="94">
        <v>3</v>
      </c>
      <c r="I56" s="94">
        <v>2.1</v>
      </c>
      <c r="J56" s="94">
        <v>1.86</v>
      </c>
      <c r="K56" s="94">
        <v>2.29</v>
      </c>
      <c r="L56" s="131">
        <v>0.85</v>
      </c>
      <c r="N56" s="119">
        <f t="shared" si="167"/>
        <v>2.1000000000000001E-2</v>
      </c>
      <c r="O56" s="120">
        <f t="shared" si="167"/>
        <v>1.8600000000000002E-2</v>
      </c>
      <c r="P56" s="120">
        <f t="shared" si="167"/>
        <v>2.29E-2</v>
      </c>
      <c r="Q56" s="120">
        <f t="shared" si="167"/>
        <v>8.5000000000000006E-3</v>
      </c>
      <c r="R56" s="147"/>
      <c r="S56" s="119"/>
      <c r="T56" s="120"/>
      <c r="U56" s="120"/>
      <c r="V56" s="120"/>
    </row>
    <row r="57" spans="1:32">
      <c r="A57" s="83" t="s">
        <v>1265</v>
      </c>
      <c r="B57" s="88">
        <f t="shared" si="179"/>
        <v>210.630522469011</v>
      </c>
      <c r="C57" s="88">
        <f t="shared" si="179"/>
        <v>181.69567812247232</v>
      </c>
      <c r="D57" s="88">
        <f t="shared" si="165"/>
        <v>181.69567812247232</v>
      </c>
      <c r="E57" s="88">
        <f t="shared" si="180"/>
        <v>286.13517466736738</v>
      </c>
      <c r="F57" s="88">
        <f t="shared" si="180"/>
        <v>165.47535084591149</v>
      </c>
      <c r="G57" s="1772">
        <v>2009</v>
      </c>
      <c r="H57" s="90">
        <v>2</v>
      </c>
      <c r="I57" s="90">
        <v>0.86</v>
      </c>
      <c r="J57" s="90">
        <v>-1.1299999999999999</v>
      </c>
      <c r="K57" s="90">
        <v>1.79</v>
      </c>
      <c r="L57" s="127">
        <v>-2.0699999999999998</v>
      </c>
      <c r="N57" s="119">
        <f t="shared" si="167"/>
        <v>8.6E-3</v>
      </c>
      <c r="O57" s="120">
        <f t="shared" si="167"/>
        <v>-1.1299999999999999E-2</v>
      </c>
      <c r="P57" s="120">
        <f t="shared" si="167"/>
        <v>1.7899999999999999E-2</v>
      </c>
      <c r="Q57" s="120">
        <f t="shared" si="167"/>
        <v>-2.07E-2</v>
      </c>
      <c r="R57" s="147"/>
      <c r="S57" s="119"/>
      <c r="T57" s="120"/>
      <c r="U57" s="120"/>
      <c r="V57" s="120"/>
    </row>
    <row r="58" spans="1:32">
      <c r="A58" s="83" t="s">
        <v>1266</v>
      </c>
      <c r="B58" s="88">
        <f t="shared" si="179"/>
        <v>208.83454537875372</v>
      </c>
      <c r="C58" s="88">
        <f t="shared" si="179"/>
        <v>183.77230517090351</v>
      </c>
      <c r="D58" s="88">
        <f t="shared" si="165"/>
        <v>183.77230517090351</v>
      </c>
      <c r="E58" s="88">
        <f t="shared" si="180"/>
        <v>281.10342338870947</v>
      </c>
      <c r="F58" s="88">
        <f t="shared" si="180"/>
        <v>168.97309388942256</v>
      </c>
      <c r="G58" s="1775">
        <v>2009</v>
      </c>
      <c r="H58" s="87">
        <v>1</v>
      </c>
      <c r="I58" s="87">
        <v>-2.64</v>
      </c>
      <c r="J58" s="87">
        <v>-2.5299999999999998</v>
      </c>
      <c r="K58" s="87">
        <v>-3.02</v>
      </c>
      <c r="L58" s="126">
        <v>1.52</v>
      </c>
      <c r="N58" s="132">
        <f t="shared" si="167"/>
        <v>-2.64E-2</v>
      </c>
      <c r="O58" s="133">
        <f t="shared" si="167"/>
        <v>-2.53E-2</v>
      </c>
      <c r="P58" s="133">
        <f t="shared" si="167"/>
        <v>-3.0200000000000001E-2</v>
      </c>
      <c r="Q58" s="133">
        <f t="shared" si="167"/>
        <v>1.52E-2</v>
      </c>
      <c r="R58" s="147"/>
      <c r="S58" s="132">
        <f>B58/B59-1</f>
        <v>-2.4137638417038754E-2</v>
      </c>
      <c r="T58" s="133">
        <f>C58/C59-1</f>
        <v>-2.248773845264096E-2</v>
      </c>
      <c r="U58" s="133">
        <f>E58/E59-1</f>
        <v>-2.7323794502735366E-2</v>
      </c>
      <c r="V58" s="133">
        <f>F58/F59-1</f>
        <v>1.7910204153148035E-2</v>
      </c>
      <c r="AC58" s="120"/>
      <c r="AD58" s="120"/>
      <c r="AE58" s="120"/>
      <c r="AF58" s="120"/>
    </row>
    <row r="59" spans="1:32">
      <c r="A59" s="83" t="s">
        <v>1267</v>
      </c>
      <c r="B59" s="101">
        <v>214</v>
      </c>
      <c r="C59" s="101">
        <v>188</v>
      </c>
      <c r="D59" s="101">
        <f t="shared" si="165"/>
        <v>188</v>
      </c>
      <c r="E59" s="101">
        <v>289</v>
      </c>
      <c r="F59" s="102">
        <v>166</v>
      </c>
      <c r="G59" s="1776">
        <v>2008</v>
      </c>
      <c r="H59" s="93">
        <v>4</v>
      </c>
      <c r="I59" s="93">
        <v>1.73</v>
      </c>
      <c r="J59" s="93">
        <v>0.03</v>
      </c>
      <c r="K59" s="93">
        <v>2.59</v>
      </c>
      <c r="L59" s="128">
        <v>-1.66</v>
      </c>
      <c r="N59" s="119">
        <f t="shared" si="167"/>
        <v>1.7299999999999999E-2</v>
      </c>
      <c r="O59" s="120">
        <f t="shared" si="167"/>
        <v>2.9999999999999997E-4</v>
      </c>
      <c r="P59" s="120">
        <f t="shared" si="167"/>
        <v>2.5899999999999999E-2</v>
      </c>
      <c r="Q59" s="120">
        <f t="shared" si="167"/>
        <v>-1.66E-2</v>
      </c>
      <c r="R59" s="147"/>
      <c r="S59" s="148"/>
      <c r="T59" s="149"/>
      <c r="U59" s="149"/>
      <c r="V59" s="149"/>
      <c r="AC59" s="149"/>
      <c r="AD59" s="149"/>
      <c r="AE59" s="149"/>
      <c r="AF59" s="149"/>
    </row>
    <row r="60" spans="1:32">
      <c r="A60" s="83" t="s">
        <v>1268</v>
      </c>
      <c r="B60" s="88">
        <f t="shared" ref="B60:C62" si="181">B59/(1+N59)</f>
        <v>210.36075887152265</v>
      </c>
      <c r="C60" s="88">
        <f t="shared" si="181"/>
        <v>187.94361691492554</v>
      </c>
      <c r="D60" s="88">
        <f t="shared" si="165"/>
        <v>187.94361691492554</v>
      </c>
      <c r="E60" s="88">
        <f t="shared" ref="E60:F62" si="182">E59/(1+P59)</f>
        <v>281.70386977288234</v>
      </c>
      <c r="F60" s="88">
        <f t="shared" si="182"/>
        <v>168.80211511083994</v>
      </c>
      <c r="G60" s="1772">
        <v>2008</v>
      </c>
      <c r="H60" s="94">
        <v>3</v>
      </c>
      <c r="I60" s="94">
        <v>1.96</v>
      </c>
      <c r="J60" s="94">
        <v>2.36</v>
      </c>
      <c r="K60" s="94">
        <v>1.82</v>
      </c>
      <c r="L60" s="131">
        <v>2.2200000000000002</v>
      </c>
      <c r="N60" s="119">
        <f t="shared" si="167"/>
        <v>1.9599999999999999E-2</v>
      </c>
      <c r="O60" s="120">
        <f t="shared" si="167"/>
        <v>2.3599999999999999E-2</v>
      </c>
      <c r="P60" s="120">
        <f t="shared" si="167"/>
        <v>1.8200000000000001E-2</v>
      </c>
      <c r="Q60" s="120">
        <f t="shared" si="167"/>
        <v>2.2200000000000001E-2</v>
      </c>
      <c r="R60" s="147"/>
      <c r="S60" s="119"/>
      <c r="T60" s="120"/>
      <c r="U60" s="120"/>
      <c r="V60" s="120"/>
    </row>
    <row r="61" spans="1:32">
      <c r="A61" s="83" t="s">
        <v>1269</v>
      </c>
      <c r="B61" s="88">
        <f t="shared" si="181"/>
        <v>206.31694671589116</v>
      </c>
      <c r="C61" s="88">
        <f t="shared" si="181"/>
        <v>183.61041121036101</v>
      </c>
      <c r="D61" s="88">
        <f t="shared" si="165"/>
        <v>183.61041121036101</v>
      </c>
      <c r="E61" s="88">
        <f t="shared" si="182"/>
        <v>276.66850301795557</v>
      </c>
      <c r="F61" s="88">
        <f t="shared" si="182"/>
        <v>165.1360938278614</v>
      </c>
      <c r="G61" s="1772">
        <v>2008</v>
      </c>
      <c r="H61" s="90">
        <v>2</v>
      </c>
      <c r="I61" s="90">
        <v>4.93</v>
      </c>
      <c r="J61" s="90">
        <v>7.38</v>
      </c>
      <c r="K61" s="90">
        <v>3.98</v>
      </c>
      <c r="L61" s="127">
        <v>6.86</v>
      </c>
      <c r="N61" s="119">
        <f t="shared" si="167"/>
        <v>4.9299999999999997E-2</v>
      </c>
      <c r="O61" s="120">
        <f t="shared" si="167"/>
        <v>7.3800000000000004E-2</v>
      </c>
      <c r="P61" s="120">
        <f t="shared" si="167"/>
        <v>3.9800000000000002E-2</v>
      </c>
      <c r="Q61" s="120">
        <f t="shared" si="167"/>
        <v>6.8600000000000008E-2</v>
      </c>
      <c r="R61" s="147"/>
      <c r="S61" s="119"/>
      <c r="T61" s="120"/>
      <c r="U61" s="120"/>
      <c r="V61" s="120"/>
    </row>
    <row r="62" spans="1:32" s="64" customFormat="1">
      <c r="A62" s="83" t="s">
        <v>1270</v>
      </c>
      <c r="B62" s="104">
        <f t="shared" si="181"/>
        <v>196.62341248059772</v>
      </c>
      <c r="C62" s="104">
        <f t="shared" si="181"/>
        <v>170.99125648199012</v>
      </c>
      <c r="D62" s="104">
        <f t="shared" si="165"/>
        <v>170.99125648199012</v>
      </c>
      <c r="E62" s="104">
        <f t="shared" si="182"/>
        <v>266.07857570490052</v>
      </c>
      <c r="F62" s="104">
        <f t="shared" si="182"/>
        <v>154.53499328828505</v>
      </c>
      <c r="G62" s="1775">
        <v>2008</v>
      </c>
      <c r="H62" s="105">
        <v>1</v>
      </c>
      <c r="I62" s="105">
        <v>4.1399999999999997</v>
      </c>
      <c r="J62" s="105">
        <v>3.45</v>
      </c>
      <c r="K62" s="105">
        <v>4.95</v>
      </c>
      <c r="L62" s="136">
        <v>4.82</v>
      </c>
      <c r="N62" s="137">
        <f t="shared" si="167"/>
        <v>4.1399999999999999E-2</v>
      </c>
      <c r="O62" s="138">
        <f t="shared" si="167"/>
        <v>3.4500000000000003E-2</v>
      </c>
      <c r="P62" s="138">
        <f t="shared" si="167"/>
        <v>4.9500000000000002E-2</v>
      </c>
      <c r="Q62" s="138">
        <f t="shared" si="167"/>
        <v>4.82E-2</v>
      </c>
      <c r="R62" s="152"/>
      <c r="S62" s="137">
        <f>B62/B63-1</f>
        <v>4.5869215322328349E-2</v>
      </c>
      <c r="T62" s="138">
        <f>C62/C63-1</f>
        <v>3.6310645345394743E-2</v>
      </c>
      <c r="U62" s="138">
        <f>E62/E63-1</f>
        <v>4.7553447657088688E-2</v>
      </c>
      <c r="V62" s="138">
        <f>F62/F63-1</f>
        <v>4.4155360055980086E-2</v>
      </c>
      <c r="AC62" s="138"/>
      <c r="AD62" s="138"/>
      <c r="AE62" s="138"/>
      <c r="AF62" s="138"/>
    </row>
    <row r="63" spans="1:32">
      <c r="A63" s="83" t="s">
        <v>1271</v>
      </c>
      <c r="B63" s="91">
        <v>188</v>
      </c>
      <c r="C63" s="91">
        <v>165</v>
      </c>
      <c r="D63" s="91">
        <f t="shared" si="165"/>
        <v>165</v>
      </c>
      <c r="E63" s="91">
        <v>254</v>
      </c>
      <c r="F63" s="92">
        <v>148</v>
      </c>
      <c r="G63" s="1776">
        <v>2007</v>
      </c>
      <c r="H63" s="106">
        <v>4</v>
      </c>
      <c r="I63" s="106">
        <v>5.51</v>
      </c>
      <c r="J63" s="106">
        <v>4.8899999999999997</v>
      </c>
      <c r="K63" s="106">
        <v>6.43</v>
      </c>
      <c r="L63" s="139">
        <v>5.36</v>
      </c>
      <c r="N63" s="140">
        <f t="shared" ref="N63:O66" si="183">B63/B64-1</f>
        <v>4.1339718365245526E-2</v>
      </c>
      <c r="O63" s="141">
        <f t="shared" si="183"/>
        <v>4.0324492593776018E-2</v>
      </c>
      <c r="P63" s="141">
        <f t="shared" ref="P63:Q66" si="184">E63/E64-1</f>
        <v>6.1625555347990968E-2</v>
      </c>
      <c r="Q63" s="141">
        <f t="shared" si="184"/>
        <v>4.6757569250590603E-2</v>
      </c>
      <c r="R63" s="147"/>
      <c r="S63" s="148"/>
      <c r="T63" s="149"/>
      <c r="U63" s="149"/>
      <c r="V63" s="149"/>
      <c r="AC63" s="149"/>
      <c r="AD63" s="149"/>
      <c r="AE63" s="149"/>
      <c r="AF63" s="149"/>
    </row>
    <row r="64" spans="1:32">
      <c r="A64" s="83" t="s">
        <v>1272</v>
      </c>
      <c r="B64" s="88">
        <f t="shared" ref="B64:C66" si="185">B65+(B$63-B$67)*I64/SUM(I$63:I$66)</f>
        <v>180.5366651097618</v>
      </c>
      <c r="C64" s="88">
        <f t="shared" si="185"/>
        <v>158.60435967302453</v>
      </c>
      <c r="D64" s="88">
        <f t="shared" si="165"/>
        <v>158.60435967302453</v>
      </c>
      <c r="E64" s="88">
        <f t="shared" ref="E64:F66" si="186">E65+(E$63-E$67)*K64/SUM(K$63:K$66)</f>
        <v>239.25573260785075</v>
      </c>
      <c r="F64" s="88">
        <f t="shared" si="186"/>
        <v>141.38899430740037</v>
      </c>
      <c r="G64" s="1772">
        <v>2007</v>
      </c>
      <c r="H64" s="94">
        <v>3</v>
      </c>
      <c r="I64" s="94">
        <v>8.65</v>
      </c>
      <c r="J64" s="94">
        <v>8.06</v>
      </c>
      <c r="K64" s="94">
        <v>9.94</v>
      </c>
      <c r="L64" s="131">
        <v>5.8</v>
      </c>
      <c r="N64" s="140">
        <f t="shared" si="183"/>
        <v>6.940217571740015E-2</v>
      </c>
      <c r="O64" s="141">
        <f t="shared" si="183"/>
        <v>7.1197482471153428E-2</v>
      </c>
      <c r="P64" s="141">
        <f t="shared" si="184"/>
        <v>0.10529679922579582</v>
      </c>
      <c r="Q64" s="141">
        <f t="shared" si="184"/>
        <v>5.3292245059512133E-2</v>
      </c>
      <c r="R64" s="147"/>
      <c r="S64" s="119"/>
      <c r="T64" s="120"/>
      <c r="U64" s="120"/>
      <c r="V64" s="120"/>
      <c r="AC64" s="154"/>
      <c r="AD64" s="154"/>
      <c r="AE64" s="154"/>
      <c r="AF64" s="154"/>
    </row>
    <row r="65" spans="1:32">
      <c r="A65" s="83" t="s">
        <v>1273</v>
      </c>
      <c r="B65" s="88">
        <f t="shared" si="185"/>
        <v>168.82017748715555</v>
      </c>
      <c r="C65" s="88">
        <f t="shared" si="185"/>
        <v>148.06267029972753</v>
      </c>
      <c r="D65" s="88">
        <f t="shared" si="165"/>
        <v>148.06267029972753</v>
      </c>
      <c r="E65" s="88">
        <f t="shared" si="186"/>
        <v>216.46288379323747</v>
      </c>
      <c r="F65" s="88">
        <f t="shared" si="186"/>
        <v>134.23529411764704</v>
      </c>
      <c r="G65" s="1772">
        <v>2007</v>
      </c>
      <c r="H65" s="90">
        <v>2</v>
      </c>
      <c r="I65" s="90">
        <v>3.67</v>
      </c>
      <c r="J65" s="90">
        <v>2.3199999999999998</v>
      </c>
      <c r="K65" s="90">
        <v>5.0199999999999996</v>
      </c>
      <c r="L65" s="127">
        <v>6.71</v>
      </c>
      <c r="N65" s="140">
        <f t="shared" si="183"/>
        <v>3.0339138143848032E-2</v>
      </c>
      <c r="O65" s="141">
        <f t="shared" si="183"/>
        <v>2.0922341588790472E-2</v>
      </c>
      <c r="P65" s="141">
        <f t="shared" si="184"/>
        <v>5.6164796592717003E-2</v>
      </c>
      <c r="Q65" s="141">
        <f t="shared" si="184"/>
        <v>6.5704536723887319E-2</v>
      </c>
      <c r="R65" s="147"/>
      <c r="S65" s="119"/>
      <c r="T65" s="120"/>
      <c r="U65" s="120"/>
      <c r="V65" s="120"/>
      <c r="AC65" s="154"/>
      <c r="AD65" s="154"/>
      <c r="AE65" s="154"/>
      <c r="AF65" s="154"/>
    </row>
    <row r="66" spans="1:32">
      <c r="A66" s="83" t="s">
        <v>1274</v>
      </c>
      <c r="B66" s="88">
        <f t="shared" si="185"/>
        <v>163.84913591779542</v>
      </c>
      <c r="C66" s="88">
        <f t="shared" si="185"/>
        <v>145.0283378746594</v>
      </c>
      <c r="D66" s="88">
        <f t="shared" si="165"/>
        <v>145.0283378746594</v>
      </c>
      <c r="E66" s="88">
        <f t="shared" si="186"/>
        <v>204.95180722891567</v>
      </c>
      <c r="F66" s="88">
        <f t="shared" si="186"/>
        <v>125.95920303605313</v>
      </c>
      <c r="G66" s="1775">
        <v>2007</v>
      </c>
      <c r="H66" s="87">
        <v>1</v>
      </c>
      <c r="I66" s="87">
        <v>3.58</v>
      </c>
      <c r="J66" s="87">
        <v>3.08</v>
      </c>
      <c r="K66" s="87">
        <v>4.34</v>
      </c>
      <c r="L66" s="126">
        <v>3.21</v>
      </c>
      <c r="N66" s="167">
        <f t="shared" si="183"/>
        <v>3.0497710174814063E-2</v>
      </c>
      <c r="O66" s="168">
        <f t="shared" si="183"/>
        <v>2.8569772160704998E-2</v>
      </c>
      <c r="P66" s="168">
        <f t="shared" si="184"/>
        <v>5.1034908866234296E-2</v>
      </c>
      <c r="Q66" s="168">
        <f t="shared" si="184"/>
        <v>3.245248390207478E-2</v>
      </c>
      <c r="R66" s="147"/>
      <c r="S66" s="132">
        <f>B66/B67-1</f>
        <v>3.0497710174814063E-2</v>
      </c>
      <c r="T66" s="133">
        <f>C66/C67-1</f>
        <v>2.8569772160704998E-2</v>
      </c>
      <c r="U66" s="133">
        <f>E66/E67-1</f>
        <v>5.1034908866234296E-2</v>
      </c>
      <c r="V66" s="133">
        <f>F66/F67-1</f>
        <v>3.245248390207478E-2</v>
      </c>
      <c r="AC66" s="154"/>
      <c r="AD66" s="154"/>
      <c r="AE66" s="154"/>
      <c r="AF66" s="154"/>
    </row>
    <row r="67" spans="1:32">
      <c r="A67" s="83" t="s">
        <v>1275</v>
      </c>
      <c r="B67" s="95">
        <v>159</v>
      </c>
      <c r="C67" s="95">
        <v>141</v>
      </c>
      <c r="D67" s="95">
        <f t="shared" si="165"/>
        <v>141</v>
      </c>
      <c r="E67" s="95">
        <v>195</v>
      </c>
      <c r="F67" s="96">
        <v>122</v>
      </c>
      <c r="G67" s="1776">
        <v>2006</v>
      </c>
      <c r="H67" s="93">
        <v>4</v>
      </c>
      <c r="I67" s="93">
        <v>3.79</v>
      </c>
      <c r="J67" s="93">
        <v>2.21</v>
      </c>
      <c r="K67" s="93">
        <v>5.65</v>
      </c>
      <c r="L67" s="128">
        <v>5.41</v>
      </c>
      <c r="N67" s="140">
        <f t="shared" ref="N67:O70" si="187">I67/SUM(I$67:I$70)*(B$67/B$71-1)</f>
        <v>7.245466462748526E-2</v>
      </c>
      <c r="O67" s="141">
        <f t="shared" si="187"/>
        <v>2.3237230038062766E-2</v>
      </c>
      <c r="P67" s="141">
        <f t="shared" ref="P67:Q70" si="188">K67/SUM(K$67:K$70)*(E$67/E$71-1)</f>
        <v>0.16146893866323722</v>
      </c>
      <c r="Q67" s="141">
        <f t="shared" si="188"/>
        <v>5.0755230321793784E-2</v>
      </c>
      <c r="R67" s="147"/>
      <c r="S67" s="148"/>
      <c r="T67" s="149"/>
      <c r="U67" s="149"/>
      <c r="V67" s="149"/>
      <c r="AC67" s="154"/>
      <c r="AD67" s="154"/>
      <c r="AE67" s="154"/>
      <c r="AF67" s="154"/>
    </row>
    <row r="68" spans="1:32">
      <c r="A68" s="83" t="s">
        <v>1276</v>
      </c>
      <c r="B68" s="88">
        <f t="shared" ref="B68:C70" si="189">B69+(B$67-B$71)*I68/SUM(I$67:I$70)</f>
        <v>149.00125628140702</v>
      </c>
      <c r="C68" s="88">
        <f t="shared" si="189"/>
        <v>137.95592286501378</v>
      </c>
      <c r="D68" s="88">
        <f t="shared" si="165"/>
        <v>137.95592286501378</v>
      </c>
      <c r="E68" s="88">
        <f t="shared" ref="E68:F70" si="190">E69+(E$67-E$71)*K68/SUM(K$67:K$70)</f>
        <v>169.97231450719823</v>
      </c>
      <c r="F68" s="88">
        <f t="shared" si="190"/>
        <v>116.21390374331551</v>
      </c>
      <c r="G68" s="1772">
        <v>2006</v>
      </c>
      <c r="H68" s="94">
        <v>3</v>
      </c>
      <c r="I68" s="94">
        <v>0.92</v>
      </c>
      <c r="J68" s="94">
        <v>1.08</v>
      </c>
      <c r="K68" s="94">
        <v>0.73</v>
      </c>
      <c r="L68" s="131">
        <v>1.08</v>
      </c>
      <c r="N68" s="140">
        <f t="shared" si="187"/>
        <v>1.7587939698492462E-2</v>
      </c>
      <c r="O68" s="141">
        <f t="shared" si="187"/>
        <v>1.1355750425840628E-2</v>
      </c>
      <c r="P68" s="141">
        <f t="shared" si="188"/>
        <v>2.0862358446754544E-2</v>
      </c>
      <c r="Q68" s="141">
        <f t="shared" si="188"/>
        <v>1.0132282578103011E-2</v>
      </c>
      <c r="R68" s="147"/>
      <c r="S68" s="119"/>
      <c r="T68" s="120"/>
      <c r="U68" s="120"/>
      <c r="V68" s="120"/>
      <c r="AC68" s="154"/>
      <c r="AD68" s="154"/>
      <c r="AE68" s="154"/>
      <c r="AF68" s="154"/>
    </row>
    <row r="69" spans="1:32">
      <c r="A69" s="83" t="s">
        <v>1277</v>
      </c>
      <c r="B69" s="88">
        <f t="shared" si="189"/>
        <v>146.57412060301507</v>
      </c>
      <c r="C69" s="88">
        <f t="shared" si="189"/>
        <v>136.46831955922866</v>
      </c>
      <c r="D69" s="88">
        <f t="shared" si="165"/>
        <v>136.46831955922866</v>
      </c>
      <c r="E69" s="99">
        <f t="shared" si="190"/>
        <v>166.73864894795128</v>
      </c>
      <c r="F69" s="88">
        <f t="shared" si="190"/>
        <v>115.05882352941177</v>
      </c>
      <c r="G69" s="1772">
        <v>2006</v>
      </c>
      <c r="H69" s="90">
        <v>2</v>
      </c>
      <c r="I69" s="90">
        <v>0.96</v>
      </c>
      <c r="J69" s="90">
        <v>0.25</v>
      </c>
      <c r="K69" s="90">
        <v>1.9</v>
      </c>
      <c r="L69" s="127">
        <v>0.95</v>
      </c>
      <c r="N69" s="140">
        <f t="shared" si="187"/>
        <v>1.8352632728861701E-2</v>
      </c>
      <c r="O69" s="141">
        <f t="shared" si="187"/>
        <v>2.6286459319075526E-3</v>
      </c>
      <c r="P69" s="141">
        <f t="shared" si="188"/>
        <v>5.4299289107991269E-2</v>
      </c>
      <c r="Q69" s="141">
        <f t="shared" si="188"/>
        <v>8.9126559714794995E-3</v>
      </c>
      <c r="R69" s="147"/>
      <c r="S69" s="119"/>
      <c r="T69" s="120"/>
      <c r="U69" s="120"/>
      <c r="V69" s="120"/>
      <c r="AC69" s="154"/>
      <c r="AD69" s="154"/>
      <c r="AE69" s="154"/>
      <c r="AF69" s="154"/>
    </row>
    <row r="70" spans="1:32">
      <c r="A70" s="83" t="s">
        <v>1278</v>
      </c>
      <c r="B70" s="88">
        <f t="shared" si="189"/>
        <v>144.04145728643215</v>
      </c>
      <c r="C70" s="88">
        <f t="shared" si="189"/>
        <v>136.12396694214877</v>
      </c>
      <c r="D70" s="88">
        <f t="shared" si="165"/>
        <v>136.12396694214877</v>
      </c>
      <c r="E70" s="88">
        <f t="shared" si="190"/>
        <v>158.32225913621264</v>
      </c>
      <c r="F70" s="88">
        <f t="shared" si="190"/>
        <v>114.04278074866311</v>
      </c>
      <c r="G70" s="1775">
        <v>2006</v>
      </c>
      <c r="H70" s="87">
        <v>1</v>
      </c>
      <c r="I70" s="87">
        <v>2.29</v>
      </c>
      <c r="J70" s="87">
        <v>3.72</v>
      </c>
      <c r="K70" s="87">
        <v>0.75</v>
      </c>
      <c r="L70" s="126">
        <v>0.04</v>
      </c>
      <c r="N70" s="167">
        <f t="shared" si="187"/>
        <v>4.3778675988638847E-2</v>
      </c>
      <c r="O70" s="168">
        <f t="shared" si="187"/>
        <v>3.9114251466784385E-2</v>
      </c>
      <c r="P70" s="168">
        <f t="shared" si="188"/>
        <v>2.1433929911049188E-2</v>
      </c>
      <c r="Q70" s="168">
        <f t="shared" si="188"/>
        <v>3.7526972511492629E-4</v>
      </c>
      <c r="R70" s="147"/>
      <c r="S70" s="132">
        <f>B70/B71-1</f>
        <v>4.3778675988638716E-2</v>
      </c>
      <c r="T70" s="133">
        <f>C70/C71-1</f>
        <v>3.91142514667846E-2</v>
      </c>
      <c r="U70" s="133">
        <f>E70/E71-1</f>
        <v>2.143392991104931E-2</v>
      </c>
      <c r="V70" s="133">
        <f>F70/F71-1</f>
        <v>3.7526972511492396E-4</v>
      </c>
      <c r="AC70" s="154"/>
      <c r="AD70" s="154"/>
      <c r="AE70" s="154"/>
      <c r="AF70" s="154"/>
    </row>
    <row r="71" spans="1:32">
      <c r="A71" s="83" t="s">
        <v>1279</v>
      </c>
      <c r="B71" s="95">
        <v>138</v>
      </c>
      <c r="C71" s="95">
        <v>131</v>
      </c>
      <c r="D71" s="95">
        <f t="shared" si="165"/>
        <v>131</v>
      </c>
      <c r="E71" s="95">
        <v>155</v>
      </c>
      <c r="F71" s="96">
        <v>114</v>
      </c>
      <c r="G71" s="1776">
        <v>2005</v>
      </c>
      <c r="H71" s="93">
        <v>4</v>
      </c>
      <c r="I71" s="93">
        <v>3.29</v>
      </c>
      <c r="J71" s="93">
        <v>1.44</v>
      </c>
      <c r="K71" s="93">
        <v>0.66</v>
      </c>
      <c r="L71" s="128">
        <v>7.78</v>
      </c>
      <c r="N71" s="140">
        <f t="shared" ref="N71:O74" si="191">I71/SUM(I$71:I$74)*(B$71/B$75-1)</f>
        <v>9.9404603216919935E-2</v>
      </c>
      <c r="O71" s="141">
        <f t="shared" si="191"/>
        <v>4.7636550760861554E-2</v>
      </c>
      <c r="P71" s="141">
        <f t="shared" ref="P71:Q74" si="192">K71/SUM(K$71:K$74)*(E$71/E$75-1)</f>
        <v>8.3756345177664976E-2</v>
      </c>
      <c r="Q71" s="141">
        <f t="shared" si="192"/>
        <v>5.2148766661559584E-2</v>
      </c>
      <c r="R71" s="147"/>
      <c r="S71" s="148"/>
      <c r="T71" s="149"/>
      <c r="U71" s="149"/>
      <c r="V71" s="149"/>
      <c r="AC71" s="154"/>
      <c r="AD71" s="154"/>
      <c r="AE71" s="154"/>
      <c r="AF71" s="154"/>
    </row>
    <row r="72" spans="1:32">
      <c r="A72" s="83" t="s">
        <v>1280</v>
      </c>
      <c r="B72" s="88">
        <f t="shared" ref="B72:C74" si="193">B73+(B$71-B$75)*I72/SUM(I$71:I$74)</f>
        <v>125.9720430107527</v>
      </c>
      <c r="C72" s="88">
        <f t="shared" si="193"/>
        <v>125.1883408071749</v>
      </c>
      <c r="D72" s="88">
        <f t="shared" si="165"/>
        <v>125.1883408071749</v>
      </c>
      <c r="E72" s="88">
        <f t="shared" ref="E72:F74" si="194">E73+(E$71-E$75)*K72/SUM(K$71:K$74)</f>
        <v>144.61421319796952</v>
      </c>
      <c r="F72" s="88">
        <f t="shared" si="194"/>
        <v>108.42008196721311</v>
      </c>
      <c r="G72" s="1772">
        <v>2005</v>
      </c>
      <c r="H72" s="94">
        <v>3</v>
      </c>
      <c r="I72" s="94">
        <v>0.46</v>
      </c>
      <c r="J72" s="94">
        <v>0.32</v>
      </c>
      <c r="K72" s="94">
        <v>0.42</v>
      </c>
      <c r="L72" s="131">
        <v>0.64</v>
      </c>
      <c r="N72" s="140">
        <f t="shared" si="191"/>
        <v>1.3898515951301874E-2</v>
      </c>
      <c r="O72" s="141">
        <f t="shared" si="191"/>
        <v>1.0585900169080346E-2</v>
      </c>
      <c r="P72" s="141">
        <f t="shared" si="192"/>
        <v>5.3299492385786795E-2</v>
      </c>
      <c r="Q72" s="141">
        <f t="shared" si="192"/>
        <v>4.2898728359123568E-3</v>
      </c>
      <c r="R72" s="147"/>
      <c r="S72" s="119"/>
      <c r="T72" s="120"/>
      <c r="U72" s="120"/>
      <c r="V72" s="120"/>
      <c r="AC72" s="154"/>
      <c r="AD72" s="154"/>
      <c r="AE72" s="154"/>
      <c r="AF72" s="154"/>
    </row>
    <row r="73" spans="1:32">
      <c r="A73" s="83" t="s">
        <v>1281</v>
      </c>
      <c r="B73" s="88">
        <f t="shared" si="193"/>
        <v>124.29032258064517</v>
      </c>
      <c r="C73" s="88">
        <f t="shared" si="193"/>
        <v>123.8968609865471</v>
      </c>
      <c r="D73" s="88">
        <f t="shared" si="165"/>
        <v>123.8968609865471</v>
      </c>
      <c r="E73" s="88">
        <f t="shared" si="194"/>
        <v>138.00507614213197</v>
      </c>
      <c r="F73" s="88">
        <f t="shared" si="194"/>
        <v>107.96106557377048</v>
      </c>
      <c r="G73" s="1772">
        <v>2005</v>
      </c>
      <c r="H73" s="90">
        <v>2</v>
      </c>
      <c r="I73" s="90">
        <v>0.47</v>
      </c>
      <c r="J73" s="90">
        <v>0.1</v>
      </c>
      <c r="K73" s="90">
        <v>0.52</v>
      </c>
      <c r="L73" s="127">
        <v>0.79</v>
      </c>
      <c r="N73" s="140">
        <f t="shared" si="191"/>
        <v>1.420065760241713E-2</v>
      </c>
      <c r="O73" s="141">
        <f t="shared" si="191"/>
        <v>3.3080938028376083E-3</v>
      </c>
      <c r="P73" s="141">
        <f t="shared" si="192"/>
        <v>6.598984771573603E-2</v>
      </c>
      <c r="Q73" s="141">
        <f t="shared" si="192"/>
        <v>5.2953117818293153E-3</v>
      </c>
      <c r="R73" s="147"/>
      <c r="S73" s="119"/>
      <c r="T73" s="120"/>
      <c r="U73" s="120"/>
      <c r="V73" s="120"/>
      <c r="AC73" s="154"/>
      <c r="AD73" s="154"/>
      <c r="AE73" s="154"/>
      <c r="AF73" s="154"/>
    </row>
    <row r="74" spans="1:32">
      <c r="A74" s="83" t="s">
        <v>1282</v>
      </c>
      <c r="B74" s="88">
        <f t="shared" si="193"/>
        <v>122.57204301075269</v>
      </c>
      <c r="C74" s="88">
        <f t="shared" si="193"/>
        <v>123.4932735426009</v>
      </c>
      <c r="D74" s="88">
        <f t="shared" si="165"/>
        <v>123.4932735426009</v>
      </c>
      <c r="E74" s="88">
        <f t="shared" si="194"/>
        <v>129.82233502538071</v>
      </c>
      <c r="F74" s="88">
        <f t="shared" si="194"/>
        <v>107.39446721311475</v>
      </c>
      <c r="G74" s="1775">
        <v>2005</v>
      </c>
      <c r="H74" s="87">
        <v>1</v>
      </c>
      <c r="I74" s="87">
        <v>0.43</v>
      </c>
      <c r="J74" s="87">
        <v>0.37</v>
      </c>
      <c r="K74" s="87">
        <v>0.37</v>
      </c>
      <c r="L74" s="126">
        <v>0.55000000000000004</v>
      </c>
      <c r="N74" s="167">
        <f t="shared" si="191"/>
        <v>1.2992090997956099E-2</v>
      </c>
      <c r="O74" s="168">
        <f t="shared" si="191"/>
        <v>1.2239947070499151E-2</v>
      </c>
      <c r="P74" s="168">
        <f t="shared" si="192"/>
        <v>4.6954314720812178E-2</v>
      </c>
      <c r="Q74" s="168">
        <f t="shared" si="192"/>
        <v>3.6866094683621815E-3</v>
      </c>
      <c r="R74" s="147"/>
      <c r="S74" s="132">
        <f>B74/B75-1</f>
        <v>1.2992090997956174E-2</v>
      </c>
      <c r="T74" s="133">
        <f>C74/C75-1</f>
        <v>1.2239947070499246E-2</v>
      </c>
      <c r="U74" s="133">
        <f>E74/E75-1</f>
        <v>4.695431472081224E-2</v>
      </c>
      <c r="V74" s="133">
        <f>F74/F75-1</f>
        <v>3.6866094683620787E-3</v>
      </c>
      <c r="AC74" s="154"/>
      <c r="AD74" s="154"/>
      <c r="AE74" s="154"/>
      <c r="AF74" s="154"/>
    </row>
    <row r="75" spans="1:32">
      <c r="A75" s="83" t="s">
        <v>1283</v>
      </c>
      <c r="B75" s="101">
        <v>121</v>
      </c>
      <c r="C75" s="101">
        <v>122</v>
      </c>
      <c r="D75" s="101">
        <f t="shared" si="165"/>
        <v>122</v>
      </c>
      <c r="E75" s="101">
        <v>124</v>
      </c>
      <c r="F75" s="102">
        <v>107</v>
      </c>
      <c r="G75" s="1776">
        <v>2004</v>
      </c>
      <c r="H75" s="93">
        <v>4</v>
      </c>
      <c r="I75" s="93">
        <v>0.33</v>
      </c>
      <c r="J75" s="93">
        <v>0.5</v>
      </c>
      <c r="K75" s="93">
        <v>0.5</v>
      </c>
      <c r="L75" s="128">
        <v>0</v>
      </c>
      <c r="N75" s="140">
        <f t="shared" ref="N75:O78" si="195">I75/SUM(I$75:I$78)*(B$75/B$79-1)</f>
        <v>1.3391770148526898E-2</v>
      </c>
      <c r="O75" s="141">
        <f t="shared" si="195"/>
        <v>1.063264221158958E-2</v>
      </c>
      <c r="P75" s="141">
        <f t="shared" ref="P75:Q78" si="196">K75/SUM(K$75:K$78)*(E$75/E$79-1)</f>
        <v>2.2244466688911134E-2</v>
      </c>
      <c r="Q75" s="141">
        <f t="shared" si="196"/>
        <v>0</v>
      </c>
      <c r="R75" s="147"/>
      <c r="S75" s="148"/>
      <c r="T75" s="149"/>
      <c r="U75" s="149"/>
      <c r="V75" s="149"/>
      <c r="AC75" s="154"/>
      <c r="AD75" s="154"/>
      <c r="AE75" s="154"/>
      <c r="AF75" s="154"/>
    </row>
    <row r="76" spans="1:32">
      <c r="A76" s="83" t="s">
        <v>1284</v>
      </c>
      <c r="B76" s="88">
        <f t="shared" ref="B76:C78" si="197">B77+(B$75-B$79)*I76/SUM(I$75:I$78)</f>
        <v>119.51351351351352</v>
      </c>
      <c r="C76" s="88">
        <f t="shared" si="197"/>
        <v>120.7878787878788</v>
      </c>
      <c r="D76" s="88">
        <f t="shared" si="165"/>
        <v>120.7878787878788</v>
      </c>
      <c r="E76" s="88">
        <f t="shared" ref="E76:F78" si="198">E77+(E$75-E$79)*K76/SUM(K$75:K$78)</f>
        <v>121.5975975975976</v>
      </c>
      <c r="F76" s="88">
        <f t="shared" si="198"/>
        <v>107</v>
      </c>
      <c r="G76" s="1772">
        <v>2004</v>
      </c>
      <c r="H76" s="94">
        <v>3</v>
      </c>
      <c r="I76" s="94">
        <v>0.56000000000000005</v>
      </c>
      <c r="J76" s="94">
        <v>0.8</v>
      </c>
      <c r="K76" s="94">
        <v>0.83</v>
      </c>
      <c r="L76" s="131">
        <v>0.06</v>
      </c>
      <c r="N76" s="140">
        <f t="shared" si="195"/>
        <v>2.2725428130833527E-2</v>
      </c>
      <c r="O76" s="141">
        <f t="shared" si="195"/>
        <v>1.7012227538543329E-2</v>
      </c>
      <c r="P76" s="141">
        <f t="shared" si="196"/>
        <v>3.6925814703592477E-2</v>
      </c>
      <c r="Q76" s="141">
        <f t="shared" si="196"/>
        <v>2.8846153846153744E-2</v>
      </c>
      <c r="R76" s="147"/>
      <c r="S76" s="119"/>
      <c r="T76" s="120"/>
      <c r="U76" s="120"/>
      <c r="V76" s="120"/>
      <c r="AC76" s="154"/>
      <c r="AD76" s="154"/>
      <c r="AE76" s="154"/>
      <c r="AF76" s="154"/>
    </row>
    <row r="77" spans="1:32">
      <c r="A77" s="83" t="s">
        <v>1285</v>
      </c>
      <c r="B77" s="88">
        <f t="shared" si="197"/>
        <v>116.99099099099099</v>
      </c>
      <c r="C77" s="88">
        <f t="shared" si="197"/>
        <v>118.84848484848486</v>
      </c>
      <c r="D77" s="88">
        <f t="shared" si="165"/>
        <v>118.84848484848486</v>
      </c>
      <c r="E77" s="88">
        <f t="shared" si="198"/>
        <v>117.60960960960961</v>
      </c>
      <c r="F77" s="88">
        <f t="shared" si="198"/>
        <v>104</v>
      </c>
      <c r="G77" s="1772">
        <v>2004</v>
      </c>
      <c r="H77" s="90">
        <v>2</v>
      </c>
      <c r="I77" s="90">
        <v>1</v>
      </c>
      <c r="J77" s="90">
        <v>1.5</v>
      </c>
      <c r="K77" s="90">
        <v>1.5</v>
      </c>
      <c r="L77" s="127">
        <v>0</v>
      </c>
      <c r="N77" s="140">
        <f t="shared" si="195"/>
        <v>4.0581121662202721E-2</v>
      </c>
      <c r="O77" s="141">
        <f t="shared" si="195"/>
        <v>3.1897926634768738E-2</v>
      </c>
      <c r="P77" s="141">
        <f t="shared" si="196"/>
        <v>6.6733400066733395E-2</v>
      </c>
      <c r="Q77" s="141">
        <f t="shared" si="196"/>
        <v>0</v>
      </c>
      <c r="R77" s="147"/>
      <c r="S77" s="119"/>
      <c r="T77" s="120"/>
      <c r="U77" s="120"/>
      <c r="V77" s="120"/>
      <c r="AC77" s="154"/>
      <c r="AD77" s="154"/>
      <c r="AE77" s="154"/>
      <c r="AF77" s="154"/>
    </row>
    <row r="78" spans="1:32" s="64" customFormat="1">
      <c r="A78" s="83" t="s">
        <v>1286</v>
      </c>
      <c r="B78" s="104">
        <f t="shared" si="197"/>
        <v>112.48648648648648</v>
      </c>
      <c r="C78" s="104">
        <f t="shared" si="197"/>
        <v>115.21212121212122</v>
      </c>
      <c r="D78" s="104">
        <f t="shared" si="165"/>
        <v>115.21212121212122</v>
      </c>
      <c r="E78" s="104">
        <f t="shared" si="198"/>
        <v>110.4024024024024</v>
      </c>
      <c r="F78" s="104">
        <f t="shared" si="198"/>
        <v>104</v>
      </c>
      <c r="G78" s="1775">
        <v>2004</v>
      </c>
      <c r="H78" s="105">
        <v>1</v>
      </c>
      <c r="I78" s="105">
        <v>0.33</v>
      </c>
      <c r="J78" s="105">
        <v>0.5</v>
      </c>
      <c r="K78" s="105">
        <v>0.5</v>
      </c>
      <c r="L78" s="136">
        <v>0</v>
      </c>
      <c r="N78" s="169">
        <f t="shared" si="195"/>
        <v>1.3391770148526898E-2</v>
      </c>
      <c r="O78" s="170">
        <f t="shared" si="195"/>
        <v>1.063264221158958E-2</v>
      </c>
      <c r="P78" s="170">
        <f t="shared" si="196"/>
        <v>2.2244466688911134E-2</v>
      </c>
      <c r="Q78" s="170">
        <f t="shared" si="196"/>
        <v>0</v>
      </c>
      <c r="R78" s="152"/>
      <c r="S78" s="137">
        <f>B78/B79-1</f>
        <v>1.3391770148526883E-2</v>
      </c>
      <c r="T78" s="138">
        <f>C78/C79-1</f>
        <v>1.063264221158966E-2</v>
      </c>
      <c r="U78" s="138">
        <f>E78/E79-1</f>
        <v>2.2244466688911224E-2</v>
      </c>
      <c r="V78" s="138">
        <f>F78/F79-1</f>
        <v>0</v>
      </c>
      <c r="AC78" s="185"/>
      <c r="AD78" s="185"/>
      <c r="AE78" s="185"/>
      <c r="AF78" s="185"/>
    </row>
    <row r="79" spans="1:32">
      <c r="A79" s="83" t="s">
        <v>1287</v>
      </c>
      <c r="B79" s="155">
        <v>111</v>
      </c>
      <c r="C79" s="155">
        <v>114</v>
      </c>
      <c r="D79" s="155">
        <f t="shared" si="165"/>
        <v>114</v>
      </c>
      <c r="E79" s="155">
        <v>108</v>
      </c>
      <c r="F79" s="156">
        <v>104</v>
      </c>
      <c r="G79" s="1776">
        <v>2003</v>
      </c>
      <c r="H79" s="106">
        <v>4</v>
      </c>
      <c r="I79" s="171"/>
      <c r="J79" s="171"/>
      <c r="K79" s="171"/>
      <c r="L79" s="171"/>
      <c r="N79" s="172"/>
      <c r="O79" s="171"/>
      <c r="P79" s="171"/>
      <c r="Q79" s="171"/>
      <c r="S79" s="172"/>
      <c r="T79" s="171"/>
      <c r="U79" s="171"/>
      <c r="V79" s="171"/>
      <c r="AC79" s="154"/>
      <c r="AD79" s="154"/>
      <c r="AE79" s="154"/>
      <c r="AF79" s="154"/>
    </row>
    <row r="80" spans="1:32">
      <c r="A80" s="83" t="s">
        <v>1288</v>
      </c>
      <c r="B80" s="157">
        <f t="shared" ref="B80:C82" si="199">B81+(B$79-B$83)/4</f>
        <v>109.75</v>
      </c>
      <c r="C80" s="157">
        <f t="shared" si="199"/>
        <v>112.25</v>
      </c>
      <c r="D80" s="157">
        <f t="shared" si="165"/>
        <v>112.25</v>
      </c>
      <c r="E80" s="157">
        <f t="shared" ref="E80:F82" si="200">E81+(E$79-E$83)/4</f>
        <v>107.25</v>
      </c>
      <c r="F80" s="157">
        <f t="shared" si="200"/>
        <v>103.5</v>
      </c>
      <c r="G80" s="1772">
        <v>2003</v>
      </c>
      <c r="H80" s="94">
        <v>3</v>
      </c>
      <c r="I80" s="171"/>
      <c r="J80" s="171"/>
      <c r="K80" s="171"/>
      <c r="L80" s="171"/>
      <c r="AC80" s="154"/>
      <c r="AD80" s="154"/>
      <c r="AE80" s="154"/>
      <c r="AF80" s="154"/>
    </row>
    <row r="81" spans="1:32">
      <c r="A81" s="83" t="s">
        <v>1289</v>
      </c>
      <c r="B81" s="157">
        <f t="shared" si="199"/>
        <v>108.5</v>
      </c>
      <c r="C81" s="157">
        <f t="shared" si="199"/>
        <v>110.5</v>
      </c>
      <c r="D81" s="157">
        <f t="shared" si="165"/>
        <v>110.5</v>
      </c>
      <c r="E81" s="157">
        <f t="shared" si="200"/>
        <v>106.5</v>
      </c>
      <c r="F81" s="157">
        <f t="shared" si="200"/>
        <v>103</v>
      </c>
      <c r="G81" s="1772">
        <v>2003</v>
      </c>
      <c r="H81" s="90">
        <v>2</v>
      </c>
      <c r="I81" s="171"/>
      <c r="J81" s="171"/>
      <c r="K81" s="171"/>
      <c r="L81" s="171"/>
      <c r="AC81" s="154"/>
      <c r="AD81" s="154"/>
      <c r="AE81" s="154"/>
      <c r="AF81" s="154"/>
    </row>
    <row r="82" spans="1:32">
      <c r="A82" s="83" t="s">
        <v>1290</v>
      </c>
      <c r="B82" s="157">
        <f t="shared" si="199"/>
        <v>107.25</v>
      </c>
      <c r="C82" s="157">
        <f t="shared" si="199"/>
        <v>108.75</v>
      </c>
      <c r="D82" s="157">
        <f t="shared" si="165"/>
        <v>108.75</v>
      </c>
      <c r="E82" s="157">
        <f t="shared" si="200"/>
        <v>105.75</v>
      </c>
      <c r="F82" s="157">
        <f t="shared" si="200"/>
        <v>102.5</v>
      </c>
      <c r="G82" s="1775">
        <v>2003</v>
      </c>
      <c r="H82" s="158">
        <v>1</v>
      </c>
      <c r="I82" s="171"/>
      <c r="J82" s="171"/>
      <c r="K82" s="171"/>
      <c r="L82" s="171"/>
      <c r="S82" s="119"/>
      <c r="T82" s="120"/>
      <c r="U82" s="120"/>
      <c r="AC82" s="154"/>
      <c r="AD82" s="154"/>
      <c r="AE82" s="154"/>
      <c r="AF82" s="154"/>
    </row>
    <row r="83" spans="1:32">
      <c r="A83" s="83" t="s">
        <v>1291</v>
      </c>
      <c r="B83" s="159">
        <v>106</v>
      </c>
      <c r="C83" s="159">
        <v>107</v>
      </c>
      <c r="D83" s="159">
        <f t="shared" si="165"/>
        <v>107</v>
      </c>
      <c r="E83" s="159">
        <v>105</v>
      </c>
      <c r="F83" s="160">
        <v>102</v>
      </c>
      <c r="G83" s="1776">
        <v>2002</v>
      </c>
      <c r="H83" s="93">
        <v>4</v>
      </c>
      <c r="I83" s="171"/>
      <c r="J83" s="171"/>
      <c r="K83" s="171"/>
      <c r="L83" s="171"/>
      <c r="N83" s="172"/>
      <c r="O83" s="171"/>
      <c r="P83" s="171"/>
      <c r="Q83" s="171"/>
      <c r="S83" s="172"/>
      <c r="T83" s="171"/>
      <c r="U83" s="171"/>
      <c r="V83" s="171"/>
      <c r="AC83" s="154"/>
      <c r="AD83" s="154"/>
      <c r="AE83" s="154"/>
      <c r="AF83" s="154"/>
    </row>
    <row r="84" spans="1:32">
      <c r="A84" s="83" t="s">
        <v>1292</v>
      </c>
      <c r="B84" s="157">
        <f t="shared" ref="B84:C86" si="201">B85+(B$83-B$87)/4</f>
        <v>105</v>
      </c>
      <c r="C84" s="157">
        <f t="shared" si="201"/>
        <v>106</v>
      </c>
      <c r="D84" s="157">
        <f t="shared" si="165"/>
        <v>106</v>
      </c>
      <c r="E84" s="157">
        <f t="shared" ref="E84:F86" si="202">E85+(E$83-E$87)/4</f>
        <v>104.5</v>
      </c>
      <c r="F84" s="157">
        <f t="shared" si="202"/>
        <v>101.5</v>
      </c>
      <c r="G84" s="1772">
        <v>2002</v>
      </c>
      <c r="H84" s="94">
        <v>3</v>
      </c>
      <c r="I84" s="171"/>
      <c r="J84" s="171"/>
      <c r="K84" s="171"/>
      <c r="L84" s="171"/>
      <c r="AC84" s="154"/>
      <c r="AD84" s="154"/>
      <c r="AE84" s="154"/>
      <c r="AF84" s="154"/>
    </row>
    <row r="85" spans="1:32">
      <c r="A85" s="83" t="s">
        <v>1293</v>
      </c>
      <c r="B85" s="157">
        <f t="shared" si="201"/>
        <v>104</v>
      </c>
      <c r="C85" s="157">
        <f t="shared" si="201"/>
        <v>105</v>
      </c>
      <c r="D85" s="157">
        <f t="shared" si="165"/>
        <v>105</v>
      </c>
      <c r="E85" s="157">
        <f t="shared" si="202"/>
        <v>104</v>
      </c>
      <c r="F85" s="157">
        <f t="shared" si="202"/>
        <v>101</v>
      </c>
      <c r="G85" s="1772">
        <v>2002</v>
      </c>
      <c r="H85" s="90">
        <v>2</v>
      </c>
      <c r="I85" s="171"/>
      <c r="J85" s="171"/>
      <c r="K85" s="171"/>
      <c r="L85" s="171"/>
      <c r="AC85" s="154"/>
      <c r="AD85" s="154"/>
      <c r="AE85" s="154"/>
      <c r="AF85" s="154"/>
    </row>
    <row r="86" spans="1:32" s="63" customFormat="1">
      <c r="A86" s="98" t="s">
        <v>1294</v>
      </c>
      <c r="B86" s="151">
        <f t="shared" si="201"/>
        <v>103</v>
      </c>
      <c r="C86" s="151">
        <f t="shared" si="201"/>
        <v>104</v>
      </c>
      <c r="D86" s="151">
        <f t="shared" si="165"/>
        <v>104</v>
      </c>
      <c r="E86" s="151">
        <f t="shared" si="202"/>
        <v>103.5</v>
      </c>
      <c r="F86" s="151">
        <f t="shared" si="202"/>
        <v>100.5</v>
      </c>
      <c r="G86" s="1775">
        <v>2002</v>
      </c>
      <c r="H86" s="161">
        <v>1</v>
      </c>
      <c r="I86" s="173"/>
      <c r="J86" s="173"/>
      <c r="K86" s="173"/>
      <c r="L86" s="173"/>
      <c r="N86" s="174"/>
      <c r="S86" s="174"/>
      <c r="AC86" s="186"/>
      <c r="AD86" s="186"/>
      <c r="AE86" s="186"/>
      <c r="AF86" s="186"/>
    </row>
    <row r="87" spans="1:32">
      <c r="B87" s="162">
        <v>102</v>
      </c>
      <c r="C87" s="163">
        <v>103</v>
      </c>
      <c r="D87" s="163">
        <f t="shared" si="165"/>
        <v>103</v>
      </c>
      <c r="E87" s="163">
        <v>103</v>
      </c>
      <c r="F87" s="164">
        <v>100</v>
      </c>
      <c r="I87" s="171"/>
      <c r="J87" s="171"/>
      <c r="K87" s="171"/>
      <c r="L87" s="171"/>
      <c r="N87" s="172"/>
      <c r="O87" s="171"/>
      <c r="P87" s="171"/>
      <c r="Q87" s="171"/>
      <c r="S87" s="172"/>
      <c r="T87" s="171"/>
      <c r="U87" s="171"/>
      <c r="V87" s="171"/>
      <c r="AC87" s="149"/>
      <c r="AD87" s="149"/>
      <c r="AE87" s="149"/>
      <c r="AF87" s="149"/>
    </row>
    <row r="89" spans="1:32" s="65" customFormat="1">
      <c r="A89" s="165" t="s">
        <v>1295</v>
      </c>
      <c r="G89" s="166"/>
      <c r="N89" s="166"/>
      <c r="S89" s="166"/>
    </row>
    <row r="90" spans="1:32" s="65" customFormat="1">
      <c r="A90" s="65" t="s">
        <v>1296</v>
      </c>
      <c r="G90" s="166"/>
      <c r="N90" s="166"/>
      <c r="S90" s="166"/>
    </row>
    <row r="91" spans="1:32" s="65" customFormat="1">
      <c r="A91" s="65" t="s">
        <v>1297</v>
      </c>
      <c r="G91" s="166"/>
      <c r="I91" s="175"/>
      <c r="J91" s="175"/>
      <c r="K91" s="175"/>
      <c r="L91" s="175"/>
      <c r="N91" s="176"/>
      <c r="O91" s="175"/>
      <c r="P91" s="175"/>
      <c r="Q91" s="175"/>
      <c r="S91" s="176"/>
      <c r="T91" s="175"/>
      <c r="U91" s="175"/>
      <c r="V91" s="175"/>
    </row>
    <row r="92" spans="1:32" s="65" customFormat="1">
      <c r="A92" s="65" t="s">
        <v>1298</v>
      </c>
      <c r="G92" s="166"/>
      <c r="N92" s="166"/>
      <c r="S92" s="166"/>
    </row>
    <row r="100" spans="14:29" ht="24">
      <c r="S100" s="177" t="s">
        <v>1299</v>
      </c>
      <c r="T100" s="94" t="s">
        <v>1300</v>
      </c>
      <c r="U100" s="94" t="s">
        <v>1301</v>
      </c>
      <c r="V100" s="94" t="s">
        <v>1302</v>
      </c>
      <c r="W100" s="131" t="s">
        <v>1303</v>
      </c>
      <c r="X100" s="178">
        <v>2006</v>
      </c>
      <c r="Y100" s="89">
        <v>4</v>
      </c>
      <c r="Z100" s="89">
        <v>3.79</v>
      </c>
      <c r="AA100" s="89">
        <v>2.21</v>
      </c>
      <c r="AB100" s="89">
        <v>5.65</v>
      </c>
      <c r="AC100" s="123">
        <v>5.41</v>
      </c>
    </row>
    <row r="101" spans="14:29">
      <c r="N101" s="148"/>
      <c r="O101" s="149"/>
      <c r="P101" s="149"/>
      <c r="Q101" s="149"/>
      <c r="S101" s="179">
        <v>2006</v>
      </c>
      <c r="T101" s="90">
        <v>15.1</v>
      </c>
      <c r="U101" s="90">
        <v>7.43</v>
      </c>
      <c r="V101" s="90">
        <v>26.26</v>
      </c>
      <c r="W101" s="127">
        <v>7.6</v>
      </c>
      <c r="X101" s="180">
        <v>2006</v>
      </c>
      <c r="Y101" s="87">
        <v>3</v>
      </c>
      <c r="Z101" s="87">
        <v>0.92</v>
      </c>
      <c r="AA101" s="87">
        <v>1.08</v>
      </c>
      <c r="AB101" s="87">
        <v>0.73</v>
      </c>
      <c r="AC101" s="126">
        <v>1.08</v>
      </c>
    </row>
    <row r="102" spans="14:29">
      <c r="N102" s="148"/>
      <c r="O102" s="149"/>
      <c r="P102" s="149"/>
      <c r="Q102" s="149"/>
      <c r="S102" s="181">
        <v>2005</v>
      </c>
      <c r="T102" s="87">
        <v>13.9</v>
      </c>
      <c r="U102" s="87">
        <v>7.49</v>
      </c>
      <c r="V102" s="87">
        <v>24.92</v>
      </c>
      <c r="W102" s="126">
        <v>6.51</v>
      </c>
      <c r="X102" s="182">
        <v>2006</v>
      </c>
      <c r="Y102" s="90">
        <v>2</v>
      </c>
      <c r="Z102" s="90">
        <v>0.96</v>
      </c>
      <c r="AA102" s="90">
        <v>0.25</v>
      </c>
      <c r="AB102" s="90">
        <v>1.9</v>
      </c>
      <c r="AC102" s="127">
        <v>0.95</v>
      </c>
    </row>
    <row r="103" spans="14:29">
      <c r="N103" s="148"/>
      <c r="O103" s="149"/>
      <c r="P103" s="149"/>
      <c r="Q103" s="149"/>
      <c r="S103" s="179">
        <v>2004</v>
      </c>
      <c r="T103" s="90">
        <v>9.48</v>
      </c>
      <c r="U103" s="90">
        <v>7.2</v>
      </c>
      <c r="V103" s="90">
        <v>14.68</v>
      </c>
      <c r="W103" s="127">
        <v>2.2000000000000002</v>
      </c>
      <c r="X103" s="183">
        <v>2006</v>
      </c>
      <c r="Y103" s="158">
        <v>1</v>
      </c>
      <c r="Z103" s="158">
        <v>2.29</v>
      </c>
      <c r="AA103" s="158">
        <v>3.72</v>
      </c>
      <c r="AB103" s="158">
        <v>0.75</v>
      </c>
      <c r="AC103" s="187">
        <v>0.04</v>
      </c>
    </row>
    <row r="104" spans="14:29">
      <c r="N104" s="148"/>
      <c r="O104" s="149"/>
      <c r="P104" s="149"/>
      <c r="Q104" s="149"/>
      <c r="S104" s="181">
        <v>2003</v>
      </c>
      <c r="T104" s="87">
        <v>4.5</v>
      </c>
      <c r="U104" s="87">
        <v>6.12</v>
      </c>
      <c r="V104" s="87">
        <v>2.34</v>
      </c>
      <c r="W104" s="126">
        <v>2.36</v>
      </c>
    </row>
    <row r="105" spans="14:29">
      <c r="N105" s="148"/>
      <c r="O105" s="149"/>
      <c r="P105" s="149"/>
      <c r="Q105" s="149"/>
      <c r="S105" s="184">
        <v>2002</v>
      </c>
      <c r="T105" s="93">
        <v>3.59</v>
      </c>
      <c r="U105" s="93">
        <v>4.54</v>
      </c>
      <c r="V105" s="93">
        <v>2.5499999999999998</v>
      </c>
      <c r="W105" s="128">
        <v>1.52</v>
      </c>
    </row>
    <row r="106" spans="14:29">
      <c r="N106" s="148"/>
      <c r="O106" s="149"/>
      <c r="P106" s="149"/>
      <c r="Q106" s="149"/>
    </row>
    <row r="107" spans="14:29">
      <c r="N107" s="148"/>
      <c r="O107" s="149"/>
      <c r="P107" s="149"/>
      <c r="Q107" s="149"/>
    </row>
    <row r="108" spans="14:29">
      <c r="N108" s="148"/>
      <c r="O108" s="149"/>
      <c r="P108" s="149"/>
      <c r="Q108" s="149"/>
    </row>
    <row r="109" spans="14:29">
      <c r="N109" s="148"/>
      <c r="O109" s="149"/>
      <c r="P109" s="149"/>
      <c r="Q109" s="149"/>
    </row>
    <row r="110" spans="14:29">
      <c r="N110" s="148"/>
      <c r="O110" s="149"/>
      <c r="P110" s="149"/>
      <c r="Q110" s="149"/>
    </row>
    <row r="111" spans="14:29">
      <c r="N111" s="148"/>
      <c r="O111" s="149"/>
      <c r="P111" s="149"/>
      <c r="Q111" s="149"/>
    </row>
    <row r="112" spans="14:29">
      <c r="N112" s="148"/>
      <c r="O112" s="149"/>
      <c r="P112" s="149"/>
      <c r="Q112" s="149"/>
    </row>
    <row r="113" spans="14:17">
      <c r="N113" s="148"/>
      <c r="O113" s="149"/>
      <c r="P113" s="149"/>
      <c r="Q113" s="149"/>
    </row>
    <row r="114" spans="14:17">
      <c r="N114" s="148"/>
      <c r="O114" s="149"/>
      <c r="P114" s="149"/>
      <c r="Q114" s="149"/>
    </row>
    <row r="115" spans="14:17">
      <c r="N115" s="148"/>
      <c r="O115" s="149"/>
      <c r="P115" s="149"/>
      <c r="Q115" s="149"/>
    </row>
    <row r="116" spans="14:17">
      <c r="N116" s="148"/>
      <c r="O116" s="149"/>
      <c r="P116" s="149"/>
      <c r="Q116" s="149"/>
    </row>
    <row r="117" spans="14:17">
      <c r="N117" s="148"/>
      <c r="O117" s="149"/>
      <c r="P117" s="149"/>
      <c r="Q117" s="149"/>
    </row>
    <row r="118" spans="14:17">
      <c r="N118" s="148"/>
      <c r="O118" s="149"/>
      <c r="P118" s="149"/>
      <c r="Q118" s="149"/>
    </row>
    <row r="119" spans="14:17">
      <c r="N119" s="148"/>
      <c r="O119" s="149"/>
      <c r="P119" s="149"/>
      <c r="Q119" s="149"/>
    </row>
    <row r="120" spans="14:17">
      <c r="N120" s="148"/>
      <c r="O120" s="149"/>
      <c r="P120" s="149"/>
      <c r="Q120" s="149"/>
    </row>
    <row r="121" spans="14:17">
      <c r="N121" s="148"/>
      <c r="O121" s="149"/>
      <c r="P121" s="149"/>
      <c r="Q121" s="149"/>
    </row>
  </sheetData>
  <sheetProtection sheet="1" objects="1" scenarios="1" formatCells="0" formatColumns="0" formatRows="0"/>
  <mergeCells count="20">
    <mergeCell ref="G67:G70"/>
    <mergeCell ref="G71:G74"/>
    <mergeCell ref="G75:G78"/>
    <mergeCell ref="G79:G82"/>
    <mergeCell ref="G83:G86"/>
    <mergeCell ref="G47:G50"/>
    <mergeCell ref="G51:G54"/>
    <mergeCell ref="G55:G58"/>
    <mergeCell ref="G59:G62"/>
    <mergeCell ref="G63:G66"/>
    <mergeCell ref="G27:G30"/>
    <mergeCell ref="G31:G34"/>
    <mergeCell ref="G35:G38"/>
    <mergeCell ref="G39:G42"/>
    <mergeCell ref="G43:G46"/>
    <mergeCell ref="G2:L2"/>
    <mergeCell ref="N2:Q2"/>
    <mergeCell ref="S2:V2"/>
    <mergeCell ref="G19:G22"/>
    <mergeCell ref="G23:G2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602" customWidth="1"/>
    <col min="2" max="2" width="18.625" style="1603" customWidth="1"/>
    <col min="3" max="3" width="13" style="1022" customWidth="1"/>
    <col min="4" max="4" width="5.75" style="1604" customWidth="1"/>
    <col min="5" max="5" width="7.125" style="1604" customWidth="1"/>
    <col min="6" max="6" width="10.625" style="1604" customWidth="1"/>
    <col min="7" max="7" width="7.5" style="1604" customWidth="1"/>
    <col min="8" max="8" width="9" style="1022" customWidth="1"/>
    <col min="9" max="9" width="11.625" style="1022" customWidth="1"/>
    <col min="10" max="10" width="9" style="1022" customWidth="1"/>
    <col min="11" max="17" width="9" style="1604" customWidth="1"/>
    <col min="18" max="18" width="9" style="1605" customWidth="1"/>
    <col min="19" max="19" width="9" style="1604" customWidth="1"/>
    <col min="20" max="25" width="9" style="1022" customWidth="1"/>
    <col min="26" max="16384" width="9" style="1603"/>
  </cols>
  <sheetData>
    <row r="1" spans="1:25" s="1601" customFormat="1" ht="27">
      <c r="A1" s="1606" t="s">
        <v>23</v>
      </c>
      <c r="B1" s="1607" t="s">
        <v>24</v>
      </c>
      <c r="C1" s="1608" t="s">
        <v>25</v>
      </c>
      <c r="D1" s="1609" t="s">
        <v>26</v>
      </c>
      <c r="E1" s="1609" t="s">
        <v>27</v>
      </c>
      <c r="F1" s="1609" t="s">
        <v>28</v>
      </c>
      <c r="G1" s="1609" t="s">
        <v>29</v>
      </c>
      <c r="H1" s="1609" t="s">
        <v>30</v>
      </c>
      <c r="I1" s="1609" t="s">
        <v>31</v>
      </c>
      <c r="J1" s="1609" t="s">
        <v>32</v>
      </c>
      <c r="K1" s="1609" t="s">
        <v>33</v>
      </c>
      <c r="L1" s="1609" t="s">
        <v>34</v>
      </c>
      <c r="M1" s="1609" t="s">
        <v>35</v>
      </c>
      <c r="N1" s="1609" t="s">
        <v>36</v>
      </c>
      <c r="O1" s="1609" t="s">
        <v>37</v>
      </c>
      <c r="P1" s="1619" t="s">
        <v>38</v>
      </c>
      <c r="Q1" s="1619" t="s">
        <v>39</v>
      </c>
      <c r="R1" s="1620" t="s">
        <v>40</v>
      </c>
      <c r="S1" s="1609" t="s">
        <v>41</v>
      </c>
      <c r="T1" s="600" t="s">
        <v>42</v>
      </c>
      <c r="U1" s="1609" t="s">
        <v>43</v>
      </c>
      <c r="V1" s="1609" t="s">
        <v>44</v>
      </c>
      <c r="W1" s="1620" t="s">
        <v>45</v>
      </c>
      <c r="X1" s="1620" t="s">
        <v>46</v>
      </c>
      <c r="Y1" s="1620" t="s">
        <v>47</v>
      </c>
    </row>
    <row r="2" spans="1:25">
      <c r="A2" s="1610" t="s">
        <v>48</v>
      </c>
      <c r="B2" s="1610" t="s">
        <v>17</v>
      </c>
      <c r="C2" s="1611" t="s">
        <v>49</v>
      </c>
      <c r="D2" s="1604" t="s">
        <v>50</v>
      </c>
      <c r="E2" s="1604" t="s">
        <v>51</v>
      </c>
      <c r="F2" s="1604" t="s">
        <v>52</v>
      </c>
      <c r="G2" s="1604">
        <v>40</v>
      </c>
      <c r="H2" s="1612" t="s">
        <v>53</v>
      </c>
      <c r="I2" s="1604" t="s">
        <v>54</v>
      </c>
      <c r="J2" s="1604" t="s">
        <v>55</v>
      </c>
      <c r="K2" s="1604" t="s">
        <v>56</v>
      </c>
      <c r="L2" s="1604" t="s">
        <v>56</v>
      </c>
      <c r="M2" s="1604" t="s">
        <v>56</v>
      </c>
      <c r="N2" s="1604" t="s">
        <v>56</v>
      </c>
      <c r="O2" s="1604" t="s">
        <v>56</v>
      </c>
      <c r="P2" s="1604" t="s">
        <v>56</v>
      </c>
      <c r="Q2" s="1604" t="s">
        <v>56</v>
      </c>
      <c r="R2" s="1605" t="s">
        <v>57</v>
      </c>
      <c r="S2" s="1604" t="s">
        <v>56</v>
      </c>
      <c r="T2" s="1604" t="s">
        <v>58</v>
      </c>
      <c r="U2" s="1604" t="s">
        <v>56</v>
      </c>
      <c r="V2" s="1604" t="s">
        <v>59</v>
      </c>
      <c r="W2" s="1604" t="s">
        <v>56</v>
      </c>
      <c r="X2" s="1492" t="s">
        <v>60</v>
      </c>
      <c r="Y2" s="1605" t="s">
        <v>61</v>
      </c>
    </row>
    <row r="3" spans="1:25">
      <c r="A3" s="1610" t="s">
        <v>62</v>
      </c>
      <c r="B3" s="1610" t="s">
        <v>18</v>
      </c>
      <c r="C3" s="1611" t="s">
        <v>63</v>
      </c>
      <c r="D3" s="1604" t="s">
        <v>64</v>
      </c>
      <c r="E3" s="1604" t="s">
        <v>48</v>
      </c>
      <c r="F3" s="1604" t="s">
        <v>65</v>
      </c>
      <c r="G3" s="1604">
        <v>50</v>
      </c>
      <c r="H3" s="1604" t="s">
        <v>65</v>
      </c>
      <c r="I3" s="1604" t="s">
        <v>66</v>
      </c>
      <c r="J3" s="1604" t="s">
        <v>67</v>
      </c>
      <c r="K3" s="1604" t="s">
        <v>68</v>
      </c>
      <c r="L3" s="1604" t="s">
        <v>68</v>
      </c>
      <c r="M3" s="1604" t="s">
        <v>68</v>
      </c>
      <c r="N3" s="1604" t="s">
        <v>68</v>
      </c>
      <c r="O3" s="1604" t="s">
        <v>68</v>
      </c>
      <c r="P3" s="1604" t="s">
        <v>68</v>
      </c>
      <c r="Q3" s="1604" t="s">
        <v>68</v>
      </c>
      <c r="R3" s="1605" t="s">
        <v>69</v>
      </c>
      <c r="S3" s="1604" t="s">
        <v>68</v>
      </c>
      <c r="T3" s="1604" t="s">
        <v>70</v>
      </c>
      <c r="U3" s="1604" t="s">
        <v>68</v>
      </c>
      <c r="V3" s="1604" t="s">
        <v>71</v>
      </c>
      <c r="W3" s="1604" t="s">
        <v>68</v>
      </c>
      <c r="X3" s="1492" t="s">
        <v>72</v>
      </c>
      <c r="Y3" s="1605" t="s">
        <v>73</v>
      </c>
    </row>
    <row r="4" spans="1:25">
      <c r="A4" s="1610" t="s">
        <v>74</v>
      </c>
      <c r="B4" s="1610" t="s">
        <v>19</v>
      </c>
      <c r="C4" s="1611" t="s">
        <v>75</v>
      </c>
      <c r="D4" s="1604" t="s">
        <v>48</v>
      </c>
      <c r="E4" s="1604" t="s">
        <v>76</v>
      </c>
      <c r="F4" s="1604" t="s">
        <v>77</v>
      </c>
      <c r="G4" s="1604">
        <v>70</v>
      </c>
      <c r="H4" s="1612" t="s">
        <v>78</v>
      </c>
      <c r="I4" s="1604" t="s">
        <v>79</v>
      </c>
      <c r="K4" s="1604" t="s">
        <v>80</v>
      </c>
      <c r="L4" s="1604" t="s">
        <v>80</v>
      </c>
      <c r="M4" s="1604" t="s">
        <v>80</v>
      </c>
      <c r="N4" s="1604" t="s">
        <v>80</v>
      </c>
      <c r="O4" s="1604" t="s">
        <v>80</v>
      </c>
      <c r="P4" s="1604" t="s">
        <v>80</v>
      </c>
      <c r="Q4" s="1604" t="s">
        <v>80</v>
      </c>
      <c r="R4" s="1605" t="s">
        <v>81</v>
      </c>
      <c r="S4" s="1604" t="s">
        <v>80</v>
      </c>
      <c r="T4" s="1604" t="s">
        <v>82</v>
      </c>
      <c r="U4" s="1604" t="s">
        <v>80</v>
      </c>
      <c r="W4" s="1604" t="s">
        <v>80</v>
      </c>
      <c r="X4" s="1492" t="s">
        <v>83</v>
      </c>
      <c r="Y4" s="1605" t="s">
        <v>84</v>
      </c>
    </row>
    <row r="5" spans="1:25">
      <c r="A5" s="1610" t="s">
        <v>85</v>
      </c>
      <c r="B5" s="1613" t="s">
        <v>86</v>
      </c>
      <c r="C5" s="1611" t="s">
        <v>87</v>
      </c>
      <c r="F5" s="1604" t="s">
        <v>88</v>
      </c>
      <c r="H5" s="1604" t="s">
        <v>88</v>
      </c>
      <c r="I5" s="1604" t="s">
        <v>89</v>
      </c>
      <c r="K5" s="1604" t="s">
        <v>90</v>
      </c>
      <c r="L5" s="1604" t="s">
        <v>90</v>
      </c>
      <c r="M5" s="1604" t="s">
        <v>90</v>
      </c>
      <c r="N5" s="1604" t="s">
        <v>90</v>
      </c>
      <c r="O5" s="1604" t="s">
        <v>90</v>
      </c>
      <c r="P5" s="1604" t="s">
        <v>90</v>
      </c>
      <c r="Q5" s="1604" t="s">
        <v>90</v>
      </c>
      <c r="R5" s="1605" t="s">
        <v>91</v>
      </c>
      <c r="S5" s="1604" t="s">
        <v>90</v>
      </c>
      <c r="T5" s="1604" t="s">
        <v>92</v>
      </c>
      <c r="U5" s="1604" t="s">
        <v>90</v>
      </c>
      <c r="W5" s="1604" t="s">
        <v>90</v>
      </c>
      <c r="X5" s="1492" t="s">
        <v>93</v>
      </c>
      <c r="Y5" s="1618"/>
    </row>
    <row r="6" spans="1:25">
      <c r="A6" s="1610" t="s">
        <v>94</v>
      </c>
      <c r="B6" s="1614" t="s">
        <v>95</v>
      </c>
      <c r="C6" s="1615" t="s">
        <v>96</v>
      </c>
      <c r="F6" s="1604" t="s">
        <v>97</v>
      </c>
      <c r="H6" s="1604"/>
      <c r="I6" s="1604" t="s">
        <v>98</v>
      </c>
      <c r="K6" s="1604" t="s">
        <v>99</v>
      </c>
      <c r="L6" s="1604" t="s">
        <v>99</v>
      </c>
      <c r="M6" s="1604" t="s">
        <v>99</v>
      </c>
      <c r="N6" s="1604" t="s">
        <v>99</v>
      </c>
      <c r="O6" s="1604" t="s">
        <v>99</v>
      </c>
      <c r="P6" s="1604" t="s">
        <v>99</v>
      </c>
      <c r="Q6" s="1604" t="s">
        <v>99</v>
      </c>
      <c r="R6" s="1605" t="s">
        <v>100</v>
      </c>
      <c r="S6" s="1604" t="s">
        <v>99</v>
      </c>
      <c r="T6" s="1604"/>
      <c r="U6" s="1604" t="s">
        <v>99</v>
      </c>
      <c r="W6" s="1604" t="s">
        <v>99</v>
      </c>
      <c r="X6" s="1492" t="s">
        <v>101</v>
      </c>
      <c r="Y6" s="1618"/>
    </row>
    <row r="7" spans="1:25">
      <c r="A7" s="1610" t="s">
        <v>102</v>
      </c>
      <c r="B7" s="1614" t="s">
        <v>95</v>
      </c>
      <c r="C7" s="1611" t="s">
        <v>103</v>
      </c>
      <c r="F7" s="1604" t="s">
        <v>104</v>
      </c>
      <c r="H7" s="1604"/>
      <c r="I7" s="1604" t="s">
        <v>105</v>
      </c>
      <c r="X7" s="1492" t="s">
        <v>106</v>
      </c>
    </row>
    <row r="8" spans="1:25">
      <c r="A8" s="1610" t="s">
        <v>107</v>
      </c>
      <c r="B8" s="1614" t="s">
        <v>95</v>
      </c>
      <c r="C8" s="1611" t="s">
        <v>108</v>
      </c>
      <c r="F8" s="1604" t="s">
        <v>109</v>
      </c>
      <c r="H8" s="1604"/>
      <c r="I8" s="1604" t="s">
        <v>110</v>
      </c>
      <c r="X8" s="1492" t="s">
        <v>111</v>
      </c>
    </row>
    <row r="9" spans="1:25">
      <c r="A9" s="1610" t="s">
        <v>112</v>
      </c>
      <c r="B9" s="1614" t="s">
        <v>95</v>
      </c>
      <c r="C9" s="1611" t="s">
        <v>113</v>
      </c>
      <c r="F9" s="1604" t="s">
        <v>114</v>
      </c>
      <c r="H9" s="1604"/>
    </row>
    <row r="10" spans="1:25">
      <c r="A10" s="1610" t="s">
        <v>115</v>
      </c>
      <c r="B10" s="1614" t="s">
        <v>95</v>
      </c>
      <c r="C10" s="1611" t="s">
        <v>116</v>
      </c>
      <c r="F10" s="1604" t="s">
        <v>48</v>
      </c>
    </row>
    <row r="11" spans="1:25">
      <c r="A11" s="1610" t="s">
        <v>117</v>
      </c>
      <c r="B11" s="1614" t="s">
        <v>95</v>
      </c>
      <c r="C11" s="1611" t="s">
        <v>118</v>
      </c>
    </row>
    <row r="12" spans="1:25">
      <c r="A12" s="1610" t="s">
        <v>119</v>
      </c>
      <c r="B12" s="1614" t="s">
        <v>95</v>
      </c>
      <c r="C12" s="1611" t="s">
        <v>120</v>
      </c>
    </row>
    <row r="13" spans="1:25">
      <c r="A13" s="1610" t="s">
        <v>121</v>
      </c>
      <c r="B13" s="1614" t="s">
        <v>95</v>
      </c>
      <c r="C13" s="1611" t="s">
        <v>122</v>
      </c>
    </row>
    <row r="14" spans="1:25">
      <c r="A14" s="1610" t="s">
        <v>123</v>
      </c>
      <c r="B14" s="1614" t="s">
        <v>95</v>
      </c>
      <c r="C14" s="1616"/>
    </row>
    <row r="15" spans="1:25">
      <c r="A15" s="1610" t="s">
        <v>124</v>
      </c>
      <c r="B15" s="1614" t="s">
        <v>95</v>
      </c>
      <c r="C15" s="1616"/>
    </row>
    <row r="16" spans="1:25">
      <c r="A16" s="1610" t="s">
        <v>125</v>
      </c>
      <c r="B16" s="1614" t="s">
        <v>95</v>
      </c>
      <c r="C16" s="1616"/>
    </row>
    <row r="17" spans="1:3">
      <c r="A17" s="1610" t="s">
        <v>126</v>
      </c>
      <c r="B17" s="1614" t="s">
        <v>95</v>
      </c>
      <c r="C17" s="1616"/>
    </row>
    <row r="18" spans="1:3">
      <c r="A18" s="1610" t="s">
        <v>127</v>
      </c>
      <c r="B18" s="1614" t="s">
        <v>95</v>
      </c>
      <c r="C18" s="1616"/>
    </row>
    <row r="19" spans="1:3">
      <c r="A19" s="1610" t="s">
        <v>128</v>
      </c>
      <c r="B19" s="1614" t="s">
        <v>95</v>
      </c>
      <c r="C19" s="1616"/>
    </row>
    <row r="20" spans="1:3">
      <c r="A20" s="1610" t="s">
        <v>129</v>
      </c>
      <c r="B20" s="1614" t="s">
        <v>95</v>
      </c>
      <c r="C20" s="1616"/>
    </row>
    <row r="21" spans="1:3">
      <c r="A21" s="1610" t="s">
        <v>97</v>
      </c>
      <c r="B21" s="1614" t="s">
        <v>95</v>
      </c>
      <c r="C21" s="1616"/>
    </row>
    <row r="22" spans="1:3">
      <c r="A22" s="1610" t="s">
        <v>130</v>
      </c>
      <c r="B22" s="1614" t="s">
        <v>95</v>
      </c>
      <c r="C22" s="1616"/>
    </row>
    <row r="23" spans="1:3">
      <c r="A23" s="1610" t="s">
        <v>131</v>
      </c>
      <c r="B23" s="1614" t="s">
        <v>95</v>
      </c>
      <c r="C23" s="1616"/>
    </row>
    <row r="24" spans="1:3">
      <c r="A24" s="1610" t="s">
        <v>132</v>
      </c>
      <c r="B24" s="1614" t="s">
        <v>95</v>
      </c>
      <c r="C24" s="1616"/>
    </row>
    <row r="25" spans="1:3">
      <c r="A25" s="1610" t="s">
        <v>133</v>
      </c>
      <c r="B25" s="1614" t="s">
        <v>95</v>
      </c>
      <c r="C25" s="1616"/>
    </row>
    <row r="26" spans="1:3">
      <c r="A26" s="1610" t="s">
        <v>134</v>
      </c>
      <c r="B26" s="1614" t="s">
        <v>95</v>
      </c>
      <c r="C26" s="1616"/>
    </row>
    <row r="27" spans="1:3">
      <c r="A27" s="1614" t="s">
        <v>95</v>
      </c>
      <c r="B27" s="1614" t="s">
        <v>95</v>
      </c>
      <c r="C27" s="1616"/>
    </row>
    <row r="28" spans="1:3">
      <c r="A28" s="1614" t="s">
        <v>95</v>
      </c>
      <c r="B28" s="1614" t="s">
        <v>95</v>
      </c>
      <c r="C28" s="1616"/>
    </row>
    <row r="29" spans="1:3">
      <c r="A29" s="1614" t="s">
        <v>95</v>
      </c>
      <c r="B29" s="1614" t="s">
        <v>95</v>
      </c>
      <c r="C29" s="1616"/>
    </row>
    <row r="30" spans="1:3">
      <c r="A30" s="1614" t="s">
        <v>95</v>
      </c>
      <c r="B30" s="1614" t="s">
        <v>95</v>
      </c>
      <c r="C30" s="1616"/>
    </row>
    <row r="31" spans="1:3">
      <c r="A31" s="1614" t="s">
        <v>95</v>
      </c>
      <c r="B31" s="1614" t="s">
        <v>95</v>
      </c>
      <c r="C31" s="1616"/>
    </row>
    <row r="32" spans="1:3">
      <c r="A32" s="1614" t="s">
        <v>95</v>
      </c>
      <c r="B32" s="1614" t="s">
        <v>95</v>
      </c>
      <c r="C32" s="1616"/>
    </row>
    <row r="33" spans="1:3">
      <c r="A33" s="1614" t="s">
        <v>95</v>
      </c>
      <c r="B33" s="1614" t="s">
        <v>95</v>
      </c>
      <c r="C33" s="1616"/>
    </row>
    <row r="34" spans="1:3">
      <c r="A34" s="1614" t="s">
        <v>95</v>
      </c>
      <c r="B34" s="1614" t="s">
        <v>95</v>
      </c>
      <c r="C34" s="1616"/>
    </row>
    <row r="35" spans="1:3">
      <c r="A35" s="1614" t="s">
        <v>95</v>
      </c>
      <c r="B35" s="1614" t="s">
        <v>95</v>
      </c>
      <c r="C35" s="1616"/>
    </row>
    <row r="36" spans="1:3">
      <c r="A36" s="1614" t="s">
        <v>95</v>
      </c>
      <c r="B36" s="1614" t="s">
        <v>95</v>
      </c>
      <c r="C36" s="1616"/>
    </row>
    <row r="37" spans="1:3">
      <c r="A37" s="1614" t="s">
        <v>95</v>
      </c>
      <c r="B37" s="1614" t="s">
        <v>95</v>
      </c>
      <c r="C37" s="1616"/>
    </row>
    <row r="38" spans="1:3">
      <c r="A38" s="1614" t="s">
        <v>95</v>
      </c>
      <c r="B38" s="1614" t="s">
        <v>95</v>
      </c>
      <c r="C38" s="1616"/>
    </row>
    <row r="39" spans="1:3">
      <c r="A39" s="1614" t="s">
        <v>95</v>
      </c>
      <c r="B39" s="1614" t="s">
        <v>95</v>
      </c>
      <c r="C39" s="1616"/>
    </row>
    <row r="40" spans="1:3">
      <c r="A40" s="1614" t="s">
        <v>95</v>
      </c>
      <c r="B40" s="1614" t="s">
        <v>95</v>
      </c>
      <c r="C40" s="1616"/>
    </row>
    <row r="41" spans="1:3">
      <c r="A41" s="1614" t="s">
        <v>95</v>
      </c>
      <c r="B41" s="1614" t="s">
        <v>95</v>
      </c>
      <c r="C41" s="1616"/>
    </row>
    <row r="42" spans="1:3">
      <c r="A42" s="1614" t="s">
        <v>95</v>
      </c>
      <c r="B42" s="1614" t="s">
        <v>95</v>
      </c>
      <c r="C42" s="1616"/>
    </row>
    <row r="43" spans="1:3">
      <c r="A43" s="1614" t="s">
        <v>95</v>
      </c>
      <c r="B43" s="1614" t="s">
        <v>95</v>
      </c>
      <c r="C43" s="1616"/>
    </row>
    <row r="44" spans="1:3">
      <c r="A44" s="1614" t="s">
        <v>95</v>
      </c>
      <c r="B44" s="1614" t="s">
        <v>95</v>
      </c>
      <c r="C44" s="1616"/>
    </row>
    <row r="45" spans="1:3">
      <c r="A45" s="1614" t="s">
        <v>95</v>
      </c>
      <c r="B45" s="1614" t="s">
        <v>95</v>
      </c>
      <c r="C45" s="1616"/>
    </row>
    <row r="46" spans="1:3">
      <c r="A46" s="1614" t="s">
        <v>95</v>
      </c>
      <c r="B46" s="1614" t="s">
        <v>95</v>
      </c>
      <c r="C46" s="1616"/>
    </row>
    <row r="47" spans="1:3">
      <c r="A47" s="1614" t="s">
        <v>95</v>
      </c>
      <c r="B47" s="1614" t="s">
        <v>95</v>
      </c>
      <c r="C47" s="1616"/>
    </row>
    <row r="48" spans="1:3">
      <c r="A48" s="1614" t="s">
        <v>95</v>
      </c>
      <c r="B48" s="1614" t="s">
        <v>95</v>
      </c>
      <c r="C48" s="1616"/>
    </row>
    <row r="49" spans="1:3">
      <c r="A49" s="1614" t="s">
        <v>95</v>
      </c>
      <c r="B49" s="1614" t="s">
        <v>95</v>
      </c>
      <c r="C49" s="1616"/>
    </row>
    <row r="50" spans="1:3">
      <c r="A50" s="1614" t="s">
        <v>95</v>
      </c>
      <c r="B50" s="1614" t="s">
        <v>95</v>
      </c>
      <c r="C50" s="1616"/>
    </row>
    <row r="51" spans="1:3">
      <c r="A51" s="1617"/>
      <c r="B51" s="1618"/>
      <c r="C51" s="1618"/>
    </row>
    <row r="52" spans="1:3">
      <c r="A52" s="1617"/>
      <c r="B52" s="1618"/>
      <c r="C52" s="1618"/>
    </row>
    <row r="53" spans="1:3">
      <c r="A53" s="1605"/>
      <c r="B53" s="1618"/>
      <c r="C53" s="1618"/>
    </row>
    <row r="54" spans="1:3">
      <c r="A54" s="1605"/>
      <c r="B54" s="1618"/>
      <c r="C54" s="1618"/>
    </row>
    <row r="55" spans="1:3">
      <c r="A55" s="1605"/>
      <c r="B55" s="1618"/>
      <c r="C55" s="1618"/>
    </row>
    <row r="56" spans="1:3">
      <c r="A56" s="1605"/>
      <c r="B56" s="1618"/>
      <c r="C56" s="1618"/>
    </row>
    <row r="57" spans="1:3">
      <c r="A57" s="1605"/>
      <c r="B57" s="1618"/>
      <c r="C57" s="1618"/>
    </row>
    <row r="58" spans="1:3">
      <c r="A58" s="1605"/>
      <c r="B58" s="1618"/>
      <c r="C58" s="1618"/>
    </row>
    <row r="59" spans="1:3">
      <c r="A59" s="1605"/>
      <c r="B59" s="1618"/>
      <c r="C59" s="1618"/>
    </row>
    <row r="60" spans="1:3">
      <c r="A60" s="1605"/>
      <c r="B60" s="1618"/>
      <c r="C60" s="1618"/>
    </row>
    <row r="61" spans="1:3">
      <c r="A61" s="1605"/>
      <c r="B61" s="1618"/>
      <c r="C61" s="1618"/>
    </row>
    <row r="62" spans="1:3">
      <c r="A62" s="1605"/>
      <c r="B62" s="1618"/>
      <c r="C62" s="1618"/>
    </row>
    <row r="63" spans="1:3">
      <c r="A63" s="1605"/>
      <c r="B63" s="1618"/>
      <c r="C63" s="1618"/>
    </row>
    <row r="64" spans="1:3">
      <c r="A64" s="1605"/>
      <c r="B64" s="1618"/>
      <c r="C64" s="1618"/>
    </row>
    <row r="65" spans="1:3">
      <c r="A65" s="1605"/>
      <c r="B65" s="1618"/>
      <c r="C65" s="1618"/>
    </row>
    <row r="66" spans="1:3">
      <c r="A66" s="1605"/>
      <c r="B66" s="1618"/>
      <c r="C66" s="1618"/>
    </row>
    <row r="67" spans="1:3">
      <c r="A67" s="1605"/>
      <c r="B67" s="1618"/>
      <c r="C67" s="1618"/>
    </row>
    <row r="68" spans="1:3">
      <c r="A68" s="1605"/>
      <c r="B68" s="1618"/>
      <c r="C68" s="1618"/>
    </row>
    <row r="69" spans="1:3">
      <c r="A69" s="1605"/>
      <c r="B69" s="1618"/>
      <c r="C69" s="1618"/>
    </row>
    <row r="70" spans="1:3">
      <c r="A70" s="1605"/>
      <c r="B70" s="1618"/>
      <c r="C70" s="1618"/>
    </row>
    <row r="71" spans="1:3">
      <c r="A71" s="1605"/>
      <c r="B71" s="1618"/>
      <c r="C71" s="1618"/>
    </row>
    <row r="72" spans="1:3">
      <c r="A72" s="1605"/>
      <c r="B72" s="1618"/>
      <c r="C72" s="1618"/>
    </row>
    <row r="73" spans="1:3">
      <c r="A73" s="1605"/>
      <c r="B73" s="1618"/>
      <c r="C73" s="1618"/>
    </row>
    <row r="74" spans="1:3">
      <c r="A74" s="1605"/>
      <c r="B74" s="1618"/>
      <c r="C74" s="1618"/>
    </row>
    <row r="75" spans="1:3">
      <c r="A75" s="1605"/>
      <c r="B75" s="1618"/>
      <c r="C75" s="1618"/>
    </row>
    <row r="76" spans="1:3">
      <c r="A76" s="1605"/>
      <c r="B76" s="1618"/>
      <c r="C76" s="1618"/>
    </row>
    <row r="77" spans="1:3">
      <c r="A77" s="1605"/>
      <c r="B77" s="1618"/>
      <c r="C77" s="1618"/>
    </row>
    <row r="78" spans="1:3">
      <c r="A78" s="1605"/>
      <c r="B78" s="1618"/>
      <c r="C78" s="1618"/>
    </row>
    <row r="79" spans="1:3">
      <c r="A79" s="1605"/>
      <c r="B79" s="1618"/>
      <c r="C79" s="1618"/>
    </row>
    <row r="80" spans="1:3">
      <c r="A80" s="1605"/>
      <c r="B80" s="1618"/>
      <c r="C80" s="1618"/>
    </row>
    <row r="81" spans="1:3">
      <c r="A81" s="1605"/>
      <c r="B81" s="1618"/>
      <c r="C81" s="1618"/>
    </row>
    <row r="82" spans="1:3">
      <c r="A82" s="1605"/>
      <c r="B82" s="1618"/>
      <c r="C82" s="1618"/>
    </row>
    <row r="83" spans="1:3">
      <c r="A83" s="1605"/>
      <c r="B83" s="1618"/>
      <c r="C83" s="1618"/>
    </row>
    <row r="84" spans="1:3">
      <c r="A84" s="1605"/>
      <c r="B84" s="1618"/>
      <c r="C84" s="1618"/>
    </row>
    <row r="85" spans="1:3">
      <c r="A85" s="1605"/>
      <c r="B85" s="1618"/>
      <c r="C85" s="1618"/>
    </row>
    <row r="86" spans="1:3">
      <c r="A86" s="1605"/>
      <c r="B86" s="1618"/>
      <c r="C86" s="1618"/>
    </row>
    <row r="87" spans="1:3">
      <c r="A87" s="1605"/>
      <c r="B87" s="1618"/>
      <c r="C87" s="1618"/>
    </row>
    <row r="88" spans="1:3">
      <c r="A88" s="1605"/>
      <c r="B88" s="1618"/>
      <c r="C88" s="1618"/>
    </row>
    <row r="89" spans="1:3">
      <c r="A89" s="1605"/>
      <c r="B89" s="1618"/>
      <c r="C89" s="1618"/>
    </row>
    <row r="90" spans="1:3">
      <c r="A90" s="1605"/>
      <c r="B90" s="1618"/>
      <c r="C90" s="1618"/>
    </row>
    <row r="91" spans="1:3">
      <c r="A91" s="1605"/>
      <c r="B91" s="1618"/>
      <c r="C91" s="1618"/>
    </row>
    <row r="92" spans="1:3">
      <c r="A92" s="1605"/>
      <c r="B92" s="1618"/>
      <c r="C92" s="1618"/>
    </row>
    <row r="93" spans="1:3">
      <c r="A93" s="1605"/>
      <c r="B93" s="1618"/>
      <c r="C93" s="1618"/>
    </row>
    <row r="94" spans="1:3">
      <c r="A94" s="1605"/>
      <c r="B94" s="1618"/>
      <c r="C94" s="1618"/>
    </row>
    <row r="95" spans="1:3">
      <c r="A95" s="1605"/>
      <c r="B95" s="1618"/>
      <c r="C95" s="1618"/>
    </row>
    <row r="96" spans="1:3">
      <c r="A96" s="1605"/>
      <c r="B96" s="1618"/>
      <c r="C96" s="1618"/>
    </row>
    <row r="97" spans="1:3">
      <c r="A97" s="1605"/>
      <c r="B97" s="1618"/>
      <c r="C97" s="1618"/>
    </row>
    <row r="98" spans="1:3">
      <c r="A98" s="1605"/>
      <c r="B98" s="1618"/>
      <c r="C98" s="1618"/>
    </row>
    <row r="99" spans="1:3">
      <c r="A99" s="1605"/>
      <c r="B99" s="1618"/>
      <c r="C99" s="1618"/>
    </row>
    <row r="100" spans="1:3">
      <c r="A100" s="1605"/>
      <c r="B100" s="1618"/>
      <c r="C100" s="1618"/>
    </row>
    <row r="101" spans="1:3">
      <c r="A101" s="1605"/>
      <c r="B101" s="1618"/>
      <c r="C101" s="1618"/>
    </row>
    <row r="102" spans="1:3">
      <c r="A102" s="1605"/>
      <c r="B102" s="1618"/>
      <c r="C102" s="1618"/>
    </row>
    <row r="103" spans="1:3">
      <c r="A103" s="1605"/>
      <c r="B103" s="1618"/>
      <c r="C103" s="1618"/>
    </row>
    <row r="104" spans="1:3">
      <c r="A104" s="1604"/>
      <c r="B104" s="1022"/>
    </row>
    <row r="105" spans="1:3">
      <c r="A105" s="1604"/>
      <c r="B105" s="1022"/>
    </row>
    <row r="106" spans="1:3">
      <c r="A106" s="1604"/>
      <c r="B106" s="1022"/>
    </row>
    <row r="107" spans="1:3">
      <c r="A107" s="1604"/>
      <c r="B107" s="1022"/>
    </row>
    <row r="108" spans="1:3">
      <c r="A108" s="1604"/>
      <c r="B108" s="1022"/>
    </row>
    <row r="109" spans="1:3">
      <c r="A109" s="1604"/>
      <c r="B109" s="1022"/>
    </row>
    <row r="110" spans="1:3">
      <c r="A110" s="1604"/>
      <c r="B110" s="1022"/>
    </row>
    <row r="111" spans="1:3">
      <c r="A111" s="1604"/>
      <c r="B111" s="1022"/>
    </row>
    <row r="112" spans="1:3">
      <c r="A112" s="1604"/>
      <c r="B112" s="1022"/>
    </row>
    <row r="113" spans="1:2">
      <c r="A113" s="1604"/>
      <c r="B113" s="1022"/>
    </row>
    <row r="114" spans="1:2">
      <c r="A114" s="1604"/>
      <c r="B114" s="1022"/>
    </row>
    <row r="115" spans="1:2">
      <c r="A115" s="1604"/>
      <c r="B115" s="1022"/>
    </row>
    <row r="116" spans="1:2">
      <c r="A116" s="1604"/>
      <c r="B116" s="1022"/>
    </row>
    <row r="117" spans="1:2">
      <c r="A117" s="1604"/>
      <c r="B117" s="1022"/>
    </row>
    <row r="118" spans="1:2">
      <c r="A118" s="1604"/>
      <c r="B118" s="1022"/>
    </row>
    <row r="119" spans="1:2">
      <c r="A119" s="1604"/>
      <c r="B119" s="1022"/>
    </row>
    <row r="120" spans="1:2">
      <c r="A120" s="1604"/>
      <c r="B120" s="1022"/>
    </row>
    <row r="121" spans="1:2">
      <c r="A121" s="1604"/>
      <c r="B121" s="1022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topLeftCell="F43" workbookViewId="0">
      <selection activeCell="B26" sqref="B26"/>
    </sheetView>
  </sheetViews>
  <sheetFormatPr defaultColWidth="9" defaultRowHeight="13.5"/>
  <sheetData/>
  <phoneticPr fontId="142" type="noConversion"/>
  <pageMargins left="0.7" right="0.7" top="0.75" bottom="0.75" header="0.3" footer="0.3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 ht="14.25">
      <c r="G1" s="3" t="s">
        <v>375</v>
      </c>
      <c r="H1" s="4">
        <f>'2014基准地价'!M18</f>
        <v>40</v>
      </c>
      <c r="I1" s="3" t="s">
        <v>1304</v>
      </c>
      <c r="J1" s="20" t="str">
        <f>'2014基准地价'!N19</f>
        <v>2017-1</v>
      </c>
      <c r="K1" s="21"/>
      <c r="L1" s="22" t="s">
        <v>375</v>
      </c>
      <c r="M1" s="4">
        <f>'2002基准地价'!B24</f>
        <v>8</v>
      </c>
      <c r="N1" s="3" t="s">
        <v>1304</v>
      </c>
      <c r="O1" s="20" t="str">
        <f>'2002基准地价'!C25</f>
        <v>2014-3</v>
      </c>
      <c r="P1" s="23"/>
    </row>
    <row r="2" spans="1:23">
      <c r="G2" s="5">
        <f ca="1">ROUND(SUMIF(季度2014,$J$1,G4:G19),4)</f>
        <v>0</v>
      </c>
      <c r="H2" s="5">
        <f ca="1">ROUND(SUMIF(季度2014,$J$1,H4:H19),4)</f>
        <v>0</v>
      </c>
      <c r="I2" s="5">
        <f ca="1">ROUND(SUMIF(季度2014,$J$1,I4:I19),4)</f>
        <v>0</v>
      </c>
      <c r="J2" s="5">
        <f ca="1">ROUND(SUMIF(季度2014,$J$1,J4:J19),4)</f>
        <v>0</v>
      </c>
      <c r="K2" s="24">
        <f ca="1">ROUND(SUMIF(季度2014,$J$1,K4:K19),4)</f>
        <v>0</v>
      </c>
      <c r="L2" s="25">
        <f>ROUND(SUMIF($A$17:$A$67,$O$1,L17:L67),4)</f>
        <v>1.9300000000000001E-2</v>
      </c>
      <c r="M2" s="5">
        <f>ROUND(SUMIF($A$17:$A$67,$O$1,M17:M67),4)</f>
        <v>1.78E-2</v>
      </c>
      <c r="N2" s="5">
        <f>ROUND(SUMIF($A$17:$A$67,$O$1,N17:N67),4)</f>
        <v>1.78E-2</v>
      </c>
      <c r="O2" s="5">
        <f>ROUND(SUMIF($A$17:$A$67,$O$1,O17:O67),4)</f>
        <v>1.9900000000000001E-2</v>
      </c>
      <c r="P2" s="5">
        <f>ROUND(SUMIF($A$17:$A$67,$O$1,P17:P67),4)</f>
        <v>1.7899999999999999E-2</v>
      </c>
    </row>
    <row r="3" spans="1:23">
      <c r="A3" s="6" t="s">
        <v>382</v>
      </c>
      <c r="B3" s="7" t="s">
        <v>388</v>
      </c>
      <c r="C3" s="7" t="s">
        <v>377</v>
      </c>
      <c r="D3" s="7" t="s">
        <v>78</v>
      </c>
      <c r="E3" s="7" t="s">
        <v>53</v>
      </c>
      <c r="F3" s="8" t="s">
        <v>137</v>
      </c>
      <c r="G3" s="9" t="s">
        <v>388</v>
      </c>
      <c r="H3" s="7" t="s">
        <v>377</v>
      </c>
      <c r="I3" s="7" t="s">
        <v>78</v>
      </c>
      <c r="J3" s="7" t="s">
        <v>53</v>
      </c>
      <c r="K3" s="8" t="s">
        <v>137</v>
      </c>
      <c r="L3" s="9" t="s">
        <v>388</v>
      </c>
      <c r="M3" s="7" t="s">
        <v>377</v>
      </c>
      <c r="N3" s="7" t="s">
        <v>78</v>
      </c>
      <c r="O3" s="7" t="s">
        <v>53</v>
      </c>
      <c r="P3" s="7" t="s">
        <v>137</v>
      </c>
    </row>
    <row r="4" spans="1:23">
      <c r="A4" s="10" t="s">
        <v>1233</v>
      </c>
      <c r="B4" s="11"/>
      <c r="C4" s="11"/>
      <c r="D4" s="11"/>
      <c r="E4" s="11"/>
      <c r="F4" s="12"/>
      <c r="G4" s="13">
        <f>AVERAGE(B4:B$18)</f>
        <v>2.2381818181818183E-2</v>
      </c>
      <c r="H4" s="5">
        <f>AVERAGE(C4:C$18)</f>
        <v>1.4727272727272726E-2</v>
      </c>
      <c r="I4" s="5">
        <f>AVERAGE(D4:D$18)</f>
        <v>1.4727272727272726E-2</v>
      </c>
      <c r="J4" s="5">
        <f>AVERAGE(E4:E$18)</f>
        <v>2.4927272727272728E-2</v>
      </c>
      <c r="K4" s="24">
        <f>AVERAGE(F4:F$18)</f>
        <v>1.32E-2</v>
      </c>
      <c r="L4" s="13"/>
      <c r="M4" s="5"/>
      <c r="N4" s="5"/>
      <c r="O4" s="5"/>
      <c r="P4" s="5"/>
    </row>
    <row r="5" spans="1:23">
      <c r="A5" s="10" t="s">
        <v>1234</v>
      </c>
      <c r="B5" s="11"/>
      <c r="C5" s="11"/>
      <c r="D5" s="11"/>
      <c r="E5" s="11"/>
      <c r="F5" s="12"/>
      <c r="G5" s="13">
        <f>AVERAGE(B5:B$18)</f>
        <v>2.2381818181818183E-2</v>
      </c>
      <c r="H5" s="5">
        <f>AVERAGE(C5:C$18)</f>
        <v>1.4727272727272726E-2</v>
      </c>
      <c r="I5" s="5">
        <f>AVERAGE(D5:D$18)</f>
        <v>1.4727272727272726E-2</v>
      </c>
      <c r="J5" s="5">
        <f>AVERAGE(E5:E$18)</f>
        <v>2.4927272727272728E-2</v>
      </c>
      <c r="K5" s="24">
        <f>AVERAGE(F5:F$18)</f>
        <v>1.32E-2</v>
      </c>
      <c r="L5" s="13"/>
      <c r="M5" s="5"/>
      <c r="N5" s="5"/>
      <c r="O5" s="5"/>
      <c r="P5" s="5"/>
    </row>
    <row r="6" spans="1:23">
      <c r="A6" s="10" t="s">
        <v>1235</v>
      </c>
      <c r="B6" s="11"/>
      <c r="C6" s="11"/>
      <c r="D6" s="11"/>
      <c r="E6" s="11"/>
      <c r="F6" s="12"/>
      <c r="G6" s="13">
        <f>AVERAGE(B6:B$18)</f>
        <v>2.2381818181818183E-2</v>
      </c>
      <c r="H6" s="5">
        <f>AVERAGE(C6:C$18)</f>
        <v>1.4727272727272726E-2</v>
      </c>
      <c r="I6" s="5">
        <f>AVERAGE(D6:D$18)</f>
        <v>1.4727272727272726E-2</v>
      </c>
      <c r="J6" s="5">
        <f>AVERAGE(E6:E$18)</f>
        <v>2.4927272727272728E-2</v>
      </c>
      <c r="K6" s="24">
        <f>AVERAGE(F6:F$18)</f>
        <v>1.32E-2</v>
      </c>
      <c r="L6" s="13"/>
      <c r="M6" s="5"/>
      <c r="N6" s="5"/>
      <c r="O6" s="5"/>
      <c r="P6" s="5"/>
    </row>
    <row r="7" spans="1:23">
      <c r="A7" s="10" t="s">
        <v>384</v>
      </c>
      <c r="B7" s="11"/>
      <c r="C7" s="11"/>
      <c r="D7" s="11"/>
      <c r="E7" s="11"/>
      <c r="F7" s="12"/>
      <c r="G7" s="13">
        <f>AVERAGE(B7:B$18)</f>
        <v>2.2381818181818183E-2</v>
      </c>
      <c r="H7" s="5">
        <f>AVERAGE(C7:C$18)</f>
        <v>1.4727272727272726E-2</v>
      </c>
      <c r="I7" s="5">
        <f>AVERAGE(D7:D$18)</f>
        <v>1.4727272727272726E-2</v>
      </c>
      <c r="J7" s="5">
        <f>AVERAGE(E7:E$18)</f>
        <v>2.4927272727272728E-2</v>
      </c>
      <c r="K7" s="24">
        <f>AVERAGE(F7:F$18)</f>
        <v>1.32E-2</v>
      </c>
      <c r="L7" s="13"/>
      <c r="M7" s="5"/>
      <c r="N7" s="5"/>
      <c r="O7" s="5"/>
      <c r="P7" s="5"/>
    </row>
    <row r="8" spans="1:23" ht="14.25">
      <c r="A8" s="10" t="s">
        <v>1236</v>
      </c>
      <c r="B8" s="14">
        <f>T8/100</f>
        <v>4.5599999999999995E-2</v>
      </c>
      <c r="C8" s="14">
        <f>U8/100</f>
        <v>2.1499999999999998E-2</v>
      </c>
      <c r="D8" s="14">
        <f>C8</f>
        <v>2.1499999999999998E-2</v>
      </c>
      <c r="E8" s="5">
        <f>V8/100</f>
        <v>5.3200000000000004E-2</v>
      </c>
      <c r="F8" s="15">
        <f>W8/100</f>
        <v>1.5700000000000002E-2</v>
      </c>
      <c r="G8" s="13">
        <f>AVERAGE(B8:B$18)</f>
        <v>2.2381818181818183E-2</v>
      </c>
      <c r="H8" s="5">
        <f>AVERAGE(C8:C$18)</f>
        <v>1.4727272727272726E-2</v>
      </c>
      <c r="I8" s="5">
        <f>AVERAGE(D8:D$18)</f>
        <v>1.4727272727272726E-2</v>
      </c>
      <c r="J8" s="5">
        <f>AVERAGE(E8:E$18)</f>
        <v>2.4927272727272728E-2</v>
      </c>
      <c r="K8" s="24">
        <f>AVERAGE(F8:F$18)</f>
        <v>1.32E-2</v>
      </c>
      <c r="L8" s="13"/>
      <c r="M8" s="5"/>
      <c r="N8" s="5"/>
      <c r="O8" s="5"/>
      <c r="P8" s="5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30">
        <v>1.57</v>
      </c>
    </row>
    <row r="9" spans="1:23" ht="14.25">
      <c r="A9" s="10" t="s">
        <v>1237</v>
      </c>
      <c r="B9" s="14">
        <f t="shared" ref="B9:B59" si="0">T9/100</f>
        <v>4.1200000000000001E-2</v>
      </c>
      <c r="C9" s="14">
        <f t="shared" ref="C9:C59" si="1">U9/100</f>
        <v>0.02</v>
      </c>
      <c r="D9" s="14">
        <f t="shared" ref="D9:D67" si="2">C9</f>
        <v>0.02</v>
      </c>
      <c r="E9" s="5">
        <f t="shared" ref="E9:E59" si="3">V9/100</f>
        <v>4.7899999999999998E-2</v>
      </c>
      <c r="F9" s="15">
        <f t="shared" ref="F9:F59" si="4">W9/100</f>
        <v>1.9699999999999999E-2</v>
      </c>
      <c r="G9" s="13">
        <f>AVERAGE(B9:B$18)</f>
        <v>2.0059999999999998E-2</v>
      </c>
      <c r="H9" s="5">
        <f>AVERAGE(C9:C$18)</f>
        <v>1.4050000000000002E-2</v>
      </c>
      <c r="I9" s="5">
        <f>AVERAGE(D9:D$18)</f>
        <v>1.4050000000000002E-2</v>
      </c>
      <c r="J9" s="5">
        <f>AVERAGE(E9:E$18)</f>
        <v>2.2100000000000002E-2</v>
      </c>
      <c r="K9" s="24">
        <f>AVERAGE(F9:F$18)</f>
        <v>1.295E-2</v>
      </c>
      <c r="L9" s="13"/>
      <c r="M9" s="5"/>
      <c r="N9" s="5"/>
      <c r="O9" s="5"/>
      <c r="P9" s="5"/>
      <c r="R9" s="31">
        <v>2016</v>
      </c>
      <c r="S9" s="32">
        <v>3</v>
      </c>
      <c r="T9" s="32">
        <v>4.12</v>
      </c>
      <c r="U9" s="32">
        <v>2</v>
      </c>
      <c r="V9" s="32">
        <v>4.79</v>
      </c>
      <c r="W9" s="33">
        <v>1.97</v>
      </c>
    </row>
    <row r="10" spans="1:23" ht="14.25">
      <c r="A10" s="10" t="s">
        <v>1238</v>
      </c>
      <c r="B10" s="14">
        <f t="shared" si="0"/>
        <v>3.85E-2</v>
      </c>
      <c r="C10" s="14">
        <f t="shared" si="1"/>
        <v>1.95E-2</v>
      </c>
      <c r="D10" s="14">
        <f t="shared" si="2"/>
        <v>1.95E-2</v>
      </c>
      <c r="E10" s="5">
        <f t="shared" si="3"/>
        <v>4.4800000000000006E-2</v>
      </c>
      <c r="F10" s="15">
        <f t="shared" si="4"/>
        <v>1.41E-2</v>
      </c>
      <c r="G10" s="13">
        <f>AVERAGE(B10:B$18)</f>
        <v>1.7711111111111108E-2</v>
      </c>
      <c r="H10" s="5">
        <f>AVERAGE(C10:C$18)</f>
        <v>1.3388888888888888E-2</v>
      </c>
      <c r="I10" s="5">
        <f>AVERAGE(D10:D$18)</f>
        <v>1.3388888888888888E-2</v>
      </c>
      <c r="J10" s="5">
        <f>AVERAGE(E10:E$18)</f>
        <v>1.9233333333333335E-2</v>
      </c>
      <c r="K10" s="24">
        <f>AVERAGE(F10:F$18)</f>
        <v>1.2200000000000001E-2</v>
      </c>
      <c r="L10" s="13"/>
      <c r="M10" s="5"/>
      <c r="N10" s="5"/>
      <c r="O10" s="5"/>
      <c r="P10" s="5"/>
      <c r="R10" s="34">
        <v>2016</v>
      </c>
      <c r="S10" s="35">
        <v>2</v>
      </c>
      <c r="T10" s="35">
        <v>3.85</v>
      </c>
      <c r="U10" s="35">
        <v>1.95</v>
      </c>
      <c r="V10" s="35">
        <v>4.4800000000000004</v>
      </c>
      <c r="W10" s="36">
        <v>1.41</v>
      </c>
    </row>
    <row r="11" spans="1:23" ht="14.25">
      <c r="A11" s="10" t="s">
        <v>1239</v>
      </c>
      <c r="B11" s="14">
        <f t="shared" si="0"/>
        <v>4.0899999999999999E-2</v>
      </c>
      <c r="C11" s="14">
        <f t="shared" si="1"/>
        <v>2.9300000000000003E-2</v>
      </c>
      <c r="D11" s="14">
        <f t="shared" si="2"/>
        <v>2.9300000000000003E-2</v>
      </c>
      <c r="E11" s="5">
        <f t="shared" si="3"/>
        <v>4.5400000000000003E-2</v>
      </c>
      <c r="F11" s="15">
        <f t="shared" si="4"/>
        <v>1.4800000000000001E-2</v>
      </c>
      <c r="G11" s="13">
        <f>AVERAGE(B11:B$18)</f>
        <v>1.5112500000000001E-2</v>
      </c>
      <c r="H11" s="5">
        <f>AVERAGE(C11:C$18)</f>
        <v>1.2625000000000001E-2</v>
      </c>
      <c r="I11" s="5">
        <f>AVERAGE(D11:D$18)</f>
        <v>1.2625000000000001E-2</v>
      </c>
      <c r="J11" s="5">
        <f>AVERAGE(E11:E$18)</f>
        <v>1.6037500000000003E-2</v>
      </c>
      <c r="K11" s="24">
        <f>AVERAGE(F11:F$18)</f>
        <v>1.1962500000000001E-2</v>
      </c>
      <c r="L11" s="13"/>
      <c r="M11" s="5"/>
      <c r="N11" s="5"/>
      <c r="O11" s="5"/>
      <c r="P11" s="5"/>
      <c r="R11" s="31">
        <v>2016</v>
      </c>
      <c r="S11" s="32">
        <v>1</v>
      </c>
      <c r="T11" s="32">
        <v>4.09</v>
      </c>
      <c r="U11" s="32">
        <v>2.93</v>
      </c>
      <c r="V11" s="32">
        <v>4.54</v>
      </c>
      <c r="W11" s="33">
        <v>1.48</v>
      </c>
    </row>
    <row r="12" spans="1:23" ht="14.25">
      <c r="A12" s="10" t="s">
        <v>1240</v>
      </c>
      <c r="B12" s="14">
        <f t="shared" si="0"/>
        <v>1.6299999999999999E-2</v>
      </c>
      <c r="C12" s="14">
        <f t="shared" si="1"/>
        <v>1.11E-2</v>
      </c>
      <c r="D12" s="14">
        <f t="shared" si="2"/>
        <v>1.11E-2</v>
      </c>
      <c r="E12" s="5">
        <f t="shared" si="3"/>
        <v>1.77E-2</v>
      </c>
      <c r="F12" s="15">
        <f t="shared" si="4"/>
        <v>1.89E-2</v>
      </c>
      <c r="G12" s="13">
        <f>AVERAGE(B12:B$18)</f>
        <v>1.1428571428571427E-2</v>
      </c>
      <c r="H12" s="5">
        <f>AVERAGE(C12:C$18)</f>
        <v>1.024285714285714E-2</v>
      </c>
      <c r="I12" s="5">
        <f>AVERAGE(D12:D$18)</f>
        <v>1.024285714285714E-2</v>
      </c>
      <c r="J12" s="5">
        <f>AVERAGE(E12:E$18)</f>
        <v>1.1842857142857143E-2</v>
      </c>
      <c r="K12" s="24">
        <f>AVERAGE(F12:F$18)</f>
        <v>1.155714285714286E-2</v>
      </c>
      <c r="L12" s="13"/>
      <c r="M12" s="5"/>
      <c r="N12" s="5"/>
      <c r="O12" s="5"/>
      <c r="P12" s="5"/>
      <c r="R12" s="37">
        <v>2015</v>
      </c>
      <c r="S12" s="38">
        <v>4</v>
      </c>
      <c r="T12" s="38">
        <v>1.63</v>
      </c>
      <c r="U12" s="38">
        <v>1.1100000000000001</v>
      </c>
      <c r="V12" s="38">
        <v>1.77</v>
      </c>
      <c r="W12" s="39">
        <v>1.89</v>
      </c>
    </row>
    <row r="13" spans="1:23" ht="14.25">
      <c r="A13" s="10" t="s">
        <v>1241</v>
      </c>
      <c r="B13" s="14">
        <f t="shared" si="0"/>
        <v>1.6500000000000001E-2</v>
      </c>
      <c r="C13" s="14">
        <f t="shared" si="1"/>
        <v>9.1999999999999998E-3</v>
      </c>
      <c r="D13" s="14">
        <f t="shared" si="2"/>
        <v>9.1999999999999998E-3</v>
      </c>
      <c r="E13" s="5">
        <f t="shared" si="3"/>
        <v>1.8799999999999997E-2</v>
      </c>
      <c r="F13" s="15">
        <f t="shared" si="4"/>
        <v>1.26E-2</v>
      </c>
      <c r="G13" s="13">
        <f>AVERAGE(B13:B$18)</f>
        <v>1.0616666666666668E-2</v>
      </c>
      <c r="H13" s="5">
        <f>AVERAGE(C13:C$18)</f>
        <v>1.01E-2</v>
      </c>
      <c r="I13" s="5">
        <f>AVERAGE(D13:D$18)</f>
        <v>1.01E-2</v>
      </c>
      <c r="J13" s="5">
        <f>AVERAGE(E13:E$18)</f>
        <v>1.0866666666666665E-2</v>
      </c>
      <c r="K13" s="24">
        <f>AVERAGE(F13:F$18)</f>
        <v>1.0333333333333333E-2</v>
      </c>
      <c r="L13" s="13"/>
      <c r="M13" s="5"/>
      <c r="N13" s="5"/>
      <c r="O13" s="5"/>
      <c r="P13" s="5"/>
      <c r="R13" s="40">
        <v>2015</v>
      </c>
      <c r="S13" s="41">
        <v>3</v>
      </c>
      <c r="T13" s="41">
        <v>1.65</v>
      </c>
      <c r="U13" s="41">
        <v>0.92</v>
      </c>
      <c r="V13" s="41">
        <v>1.88</v>
      </c>
      <c r="W13" s="42">
        <v>1.26</v>
      </c>
    </row>
    <row r="14" spans="1:23" ht="14.25">
      <c r="A14" s="10" t="s">
        <v>1242</v>
      </c>
      <c r="B14" s="14">
        <f t="shared" si="0"/>
        <v>7.7000000000000002E-3</v>
      </c>
      <c r="C14" s="14">
        <f t="shared" si="1"/>
        <v>6.8999999999999999E-3</v>
      </c>
      <c r="D14" s="14">
        <f t="shared" si="2"/>
        <v>6.8999999999999999E-3</v>
      </c>
      <c r="E14" s="5">
        <f t="shared" si="3"/>
        <v>8.0000000000000002E-3</v>
      </c>
      <c r="F14" s="15">
        <f t="shared" si="4"/>
        <v>8.8000000000000005E-3</v>
      </c>
      <c r="G14" s="13">
        <f>AVERAGE(B14:B$18)</f>
        <v>9.4400000000000005E-3</v>
      </c>
      <c r="H14" s="5">
        <f>AVERAGE(C14:C$18)</f>
        <v>1.0279999999999999E-2</v>
      </c>
      <c r="I14" s="5">
        <f>AVERAGE(D14:D$18)</f>
        <v>1.0279999999999999E-2</v>
      </c>
      <c r="J14" s="5">
        <f>AVERAGE(E14:E$18)</f>
        <v>9.2800000000000001E-3</v>
      </c>
      <c r="K14" s="24">
        <f>AVERAGE(F14:F$18)</f>
        <v>9.8799999999999999E-3</v>
      </c>
      <c r="L14" s="13"/>
      <c r="M14" s="5"/>
      <c r="N14" s="5"/>
      <c r="O14" s="5"/>
      <c r="P14" s="5"/>
      <c r="R14" s="34">
        <v>2015</v>
      </c>
      <c r="S14" s="35">
        <v>2</v>
      </c>
      <c r="T14" s="35">
        <v>0.77</v>
      </c>
      <c r="U14" s="35">
        <v>0.69</v>
      </c>
      <c r="V14" s="35">
        <v>0.8</v>
      </c>
      <c r="W14" s="36">
        <v>0.88</v>
      </c>
    </row>
    <row r="15" spans="1:23" ht="14.25">
      <c r="A15" s="10" t="s">
        <v>1243</v>
      </c>
      <c r="B15" s="14">
        <f t="shared" si="0"/>
        <v>5.1000000000000004E-3</v>
      </c>
      <c r="C15" s="14">
        <f t="shared" si="1"/>
        <v>5.4000000000000003E-3</v>
      </c>
      <c r="D15" s="14">
        <f t="shared" si="2"/>
        <v>5.4000000000000003E-3</v>
      </c>
      <c r="E15" s="5">
        <f t="shared" si="3"/>
        <v>4.7999999999999996E-3</v>
      </c>
      <c r="F15" s="15">
        <f t="shared" si="4"/>
        <v>9.300000000000001E-3</v>
      </c>
      <c r="G15" s="13">
        <f>AVERAGE(B15:B$18)</f>
        <v>9.8750000000000001E-3</v>
      </c>
      <c r="H15" s="5">
        <f>AVERAGE(C15:C$18)</f>
        <v>1.1124999999999999E-2</v>
      </c>
      <c r="I15" s="5">
        <f>AVERAGE(D15:D$18)</f>
        <v>1.1124999999999999E-2</v>
      </c>
      <c r="J15" s="5">
        <f>AVERAGE(E15:E$18)</f>
        <v>9.6000000000000009E-3</v>
      </c>
      <c r="K15" s="24">
        <f>AVERAGE(F15:F$18)</f>
        <v>1.0149999999999999E-2</v>
      </c>
      <c r="L15" s="13"/>
      <c r="M15" s="5"/>
      <c r="N15" s="5"/>
      <c r="O15" s="5"/>
      <c r="P15" s="5"/>
      <c r="R15" s="31">
        <v>2015</v>
      </c>
      <c r="S15" s="32">
        <v>1</v>
      </c>
      <c r="T15" s="32">
        <v>0.51</v>
      </c>
      <c r="U15" s="32">
        <v>0.54</v>
      </c>
      <c r="V15" s="32">
        <v>0.48</v>
      </c>
      <c r="W15" s="33">
        <v>0.93</v>
      </c>
    </row>
    <row r="16" spans="1:23" ht="14.25">
      <c r="A16" s="10" t="s">
        <v>1244</v>
      </c>
      <c r="B16" s="14">
        <f t="shared" si="0"/>
        <v>2.0999999999999999E-3</v>
      </c>
      <c r="C16" s="14">
        <f t="shared" si="1"/>
        <v>4.0999999999999995E-3</v>
      </c>
      <c r="D16" s="14">
        <f t="shared" si="2"/>
        <v>4.0999999999999995E-3</v>
      </c>
      <c r="E16" s="5">
        <f t="shared" si="3"/>
        <v>1.1999999999999999E-3</v>
      </c>
      <c r="F16" s="15">
        <f t="shared" si="4"/>
        <v>8.8999999999999999E-3</v>
      </c>
      <c r="G16" s="13">
        <f>AVERAGE(B16:B$18)</f>
        <v>1.1466666666666667E-2</v>
      </c>
      <c r="H16" s="5">
        <f>AVERAGE(C16:C$18)</f>
        <v>1.3033333333333333E-2</v>
      </c>
      <c r="I16" s="5">
        <f>AVERAGE(D16:D$18)</f>
        <v>1.3033333333333333E-2</v>
      </c>
      <c r="J16" s="5">
        <f>AVERAGE(E16:E$18)</f>
        <v>1.12E-2</v>
      </c>
      <c r="K16" s="24">
        <f>AVERAGE(F16:F$18)</f>
        <v>1.0433333333333334E-2</v>
      </c>
      <c r="L16" s="13"/>
      <c r="M16" s="5"/>
      <c r="N16" s="5"/>
      <c r="O16" s="5"/>
      <c r="P16" s="5"/>
      <c r="R16" s="37">
        <v>2014</v>
      </c>
      <c r="S16" s="38">
        <v>4</v>
      </c>
      <c r="T16" s="38">
        <v>0.21</v>
      </c>
      <c r="U16" s="38">
        <v>0.41</v>
      </c>
      <c r="V16" s="38">
        <v>0.12</v>
      </c>
      <c r="W16" s="39">
        <v>0.89</v>
      </c>
    </row>
    <row r="17" spans="1:23" ht="14.25">
      <c r="A17" s="10" t="s">
        <v>1030</v>
      </c>
      <c r="B17" s="14">
        <f t="shared" si="0"/>
        <v>8.3000000000000001E-3</v>
      </c>
      <c r="C17" s="14">
        <f t="shared" si="1"/>
        <v>1.47E-2</v>
      </c>
      <c r="D17" s="14">
        <f t="shared" si="2"/>
        <v>1.47E-2</v>
      </c>
      <c r="E17" s="5">
        <f t="shared" si="3"/>
        <v>6.5000000000000006E-3</v>
      </c>
      <c r="F17" s="15">
        <f t="shared" si="4"/>
        <v>7.1999999999999998E-3</v>
      </c>
      <c r="G17" s="13">
        <f>AVERAGE(B17:B$18)</f>
        <v>1.6150000000000001E-2</v>
      </c>
      <c r="H17" s="5">
        <f>AVERAGE(C17:C$18)</f>
        <v>1.7499999999999998E-2</v>
      </c>
      <c r="I17" s="5">
        <f>AVERAGE(D17:D$18)</f>
        <v>1.7499999999999998E-2</v>
      </c>
      <c r="J17" s="5">
        <f>AVERAGE(E17:E$18)</f>
        <v>1.6199999999999999E-2</v>
      </c>
      <c r="K17" s="24">
        <f>AVERAGE(F17:F$18)</f>
        <v>1.12E-2</v>
      </c>
      <c r="L17" s="13">
        <f>AVERAGE(B17:B$66)</f>
        <v>1.9300000000000005E-2</v>
      </c>
      <c r="M17" s="5">
        <f>AVERAGE(C17:C$66)</f>
        <v>1.7776E-2</v>
      </c>
      <c r="N17" s="5">
        <f>AVERAGE(D17:D$66)</f>
        <v>1.7776E-2</v>
      </c>
      <c r="O17" s="5">
        <f>AVERAGE(E17:E$66)</f>
        <v>1.9933999999999997E-2</v>
      </c>
      <c r="P17" s="5">
        <f>AVERAGE(F17:F$66)</f>
        <v>1.7923999999999999E-2</v>
      </c>
      <c r="R17" s="43">
        <v>2014</v>
      </c>
      <c r="S17" s="44">
        <v>3</v>
      </c>
      <c r="T17" s="44">
        <v>0.83</v>
      </c>
      <c r="U17" s="44">
        <v>1.47</v>
      </c>
      <c r="V17" s="44">
        <v>0.65</v>
      </c>
      <c r="W17" s="45">
        <v>0.72</v>
      </c>
    </row>
    <row r="18" spans="1:23" ht="14.25">
      <c r="A18" s="10" t="s">
        <v>1245</v>
      </c>
      <c r="B18" s="14">
        <f t="shared" si="0"/>
        <v>2.4E-2</v>
      </c>
      <c r="C18" s="14">
        <f t="shared" si="1"/>
        <v>2.0299999999999999E-2</v>
      </c>
      <c r="D18" s="14">
        <f t="shared" si="2"/>
        <v>2.0299999999999999E-2</v>
      </c>
      <c r="E18" s="5">
        <f t="shared" si="3"/>
        <v>2.5899999999999999E-2</v>
      </c>
      <c r="F18" s="15">
        <f t="shared" si="4"/>
        <v>1.52E-2</v>
      </c>
      <c r="G18" s="13">
        <f>B18</f>
        <v>2.4E-2</v>
      </c>
      <c r="H18" s="5">
        <f t="shared" ref="H18:K18" si="5">C18</f>
        <v>2.0299999999999999E-2</v>
      </c>
      <c r="I18" s="5">
        <f t="shared" si="5"/>
        <v>2.0299999999999999E-2</v>
      </c>
      <c r="J18" s="5">
        <f t="shared" si="5"/>
        <v>2.5899999999999999E-2</v>
      </c>
      <c r="K18" s="26">
        <f t="shared" si="5"/>
        <v>1.52E-2</v>
      </c>
      <c r="L18" s="13">
        <f>AVERAGE(B18:B$66)</f>
        <v>1.9524489795918375E-2</v>
      </c>
      <c r="M18" s="5">
        <f>AVERAGE(C18:C$66)</f>
        <v>1.7838775510204085E-2</v>
      </c>
      <c r="N18" s="5">
        <f>AVERAGE(D18:D$66)</f>
        <v>1.7838775510204085E-2</v>
      </c>
      <c r="O18" s="5">
        <f>AVERAGE(E18:E$66)</f>
        <v>2.0208163265306122E-2</v>
      </c>
      <c r="P18" s="5">
        <f>AVERAGE(F18:F$66)</f>
        <v>1.8142857142857145E-2</v>
      </c>
      <c r="R18" s="46">
        <v>2014</v>
      </c>
      <c r="S18" s="47">
        <v>2</v>
      </c>
      <c r="T18" s="47">
        <v>2.4</v>
      </c>
      <c r="U18" s="47">
        <v>2.0299999999999998</v>
      </c>
      <c r="V18" s="47">
        <v>2.59</v>
      </c>
      <c r="W18" s="48">
        <v>1.52</v>
      </c>
    </row>
    <row r="19" spans="1:23" ht="14.25">
      <c r="A19" s="10" t="s">
        <v>1246</v>
      </c>
      <c r="B19" s="14">
        <f t="shared" si="0"/>
        <v>2.9700000000000001E-2</v>
      </c>
      <c r="C19" s="14">
        <f t="shared" si="1"/>
        <v>2.3399999999999997E-2</v>
      </c>
      <c r="D19" s="14">
        <f t="shared" si="2"/>
        <v>2.3399999999999997E-2</v>
      </c>
      <c r="E19" s="5">
        <f t="shared" si="3"/>
        <v>3.2799999999999996E-2</v>
      </c>
      <c r="F19" s="15">
        <f t="shared" si="4"/>
        <v>1.3600000000000001E-2</v>
      </c>
      <c r="G19" s="16">
        <v>0</v>
      </c>
      <c r="H19" s="17">
        <v>0</v>
      </c>
      <c r="I19" s="17">
        <v>0</v>
      </c>
      <c r="J19" s="17">
        <v>0</v>
      </c>
      <c r="K19" s="27">
        <v>0</v>
      </c>
      <c r="L19" s="13">
        <f>AVERAGE(B19:B$66)</f>
        <v>1.9431250000000008E-2</v>
      </c>
      <c r="M19" s="5">
        <f>AVERAGE(C19:C$66)</f>
        <v>1.7787500000000001E-2</v>
      </c>
      <c r="N19" s="5">
        <f>AVERAGE(D19:D$66)</f>
        <v>1.7787500000000001E-2</v>
      </c>
      <c r="O19" s="5">
        <f>AVERAGE(E19:E$66)</f>
        <v>2.0089583333333331E-2</v>
      </c>
      <c r="P19" s="5">
        <f>AVERAGE(F19:F$66)</f>
        <v>1.8204166666666664E-2</v>
      </c>
      <c r="R19" s="49">
        <v>2014</v>
      </c>
      <c r="S19" s="50">
        <v>1</v>
      </c>
      <c r="T19" s="50">
        <v>2.97</v>
      </c>
      <c r="U19" s="50">
        <v>2.34</v>
      </c>
      <c r="V19" s="50">
        <v>3.28</v>
      </c>
      <c r="W19" s="51">
        <v>1.36</v>
      </c>
    </row>
    <row r="20" spans="1:23" ht="14.25">
      <c r="A20" s="10" t="s">
        <v>1247</v>
      </c>
      <c r="B20" s="14">
        <f t="shared" si="0"/>
        <v>1.83E-2</v>
      </c>
      <c r="C20" s="14">
        <f t="shared" si="1"/>
        <v>1.6799999999999999E-2</v>
      </c>
      <c r="D20" s="14">
        <f t="shared" si="2"/>
        <v>1.6799999999999999E-2</v>
      </c>
      <c r="E20" s="5">
        <f t="shared" si="3"/>
        <v>1.9699999999999999E-2</v>
      </c>
      <c r="F20" s="15">
        <f t="shared" si="4"/>
        <v>8.6999999999999994E-3</v>
      </c>
      <c r="L20" s="13">
        <f>AVERAGE(B20:B$66)</f>
        <v>1.9212765957446813E-2</v>
      </c>
      <c r="M20" s="5">
        <f>AVERAGE(C20:C$66)</f>
        <v>1.7668085106382979E-2</v>
      </c>
      <c r="N20" s="5">
        <f>AVERAGE(D20:D$66)</f>
        <v>1.7668085106382979E-2</v>
      </c>
      <c r="O20" s="5">
        <f>AVERAGE(E20:E$66)</f>
        <v>1.9819148936170213E-2</v>
      </c>
      <c r="P20" s="5">
        <f>AVERAGE(F20:F$66)</f>
        <v>1.8302127659574469E-2</v>
      </c>
      <c r="R20" s="52">
        <v>2013</v>
      </c>
      <c r="S20" s="53">
        <v>4</v>
      </c>
      <c r="T20" s="53">
        <v>1.83</v>
      </c>
      <c r="U20" s="53">
        <v>1.68</v>
      </c>
      <c r="V20" s="53">
        <v>1.97</v>
      </c>
      <c r="W20" s="54">
        <v>0.87</v>
      </c>
    </row>
    <row r="21" spans="1:23" ht="14.25">
      <c r="A21" s="10" t="s">
        <v>1248</v>
      </c>
      <c r="B21" s="14">
        <f t="shared" si="0"/>
        <v>1.8600000000000002E-2</v>
      </c>
      <c r="C21" s="14">
        <f t="shared" si="1"/>
        <v>1.72E-2</v>
      </c>
      <c r="D21" s="14">
        <f t="shared" si="2"/>
        <v>1.72E-2</v>
      </c>
      <c r="E21" s="5">
        <f t="shared" si="3"/>
        <v>1.9799999999999998E-2</v>
      </c>
      <c r="F21" s="15">
        <f t="shared" si="4"/>
        <v>8.8000000000000005E-3</v>
      </c>
      <c r="L21" s="13">
        <f>AVERAGE(B21:B$66)</f>
        <v>1.923260869565218E-2</v>
      </c>
      <c r="M21" s="5">
        <f>AVERAGE(C21:C$66)</f>
        <v>1.7686956521739131E-2</v>
      </c>
      <c r="N21" s="5">
        <f>AVERAGE(D21:D$66)</f>
        <v>1.7686956521739131E-2</v>
      </c>
      <c r="O21" s="5">
        <f>AVERAGE(E21:E$66)</f>
        <v>1.9821739130434782E-2</v>
      </c>
      <c r="P21" s="5">
        <f>AVERAGE(F21:F$66)</f>
        <v>1.8510869565217389E-2</v>
      </c>
      <c r="R21" s="40">
        <v>2013</v>
      </c>
      <c r="S21" s="41">
        <v>3</v>
      </c>
      <c r="T21" s="41">
        <v>1.86</v>
      </c>
      <c r="U21" s="41">
        <v>1.72</v>
      </c>
      <c r="V21" s="41">
        <v>1.98</v>
      </c>
      <c r="W21" s="42">
        <v>0.88</v>
      </c>
    </row>
    <row r="22" spans="1:23" ht="14.25">
      <c r="A22" s="10" t="s">
        <v>1249</v>
      </c>
      <c r="B22" s="14">
        <f t="shared" si="0"/>
        <v>2.0400000000000001E-2</v>
      </c>
      <c r="C22" s="14">
        <f t="shared" si="1"/>
        <v>2.3300000000000001E-2</v>
      </c>
      <c r="D22" s="14">
        <f t="shared" si="2"/>
        <v>2.3300000000000001E-2</v>
      </c>
      <c r="E22" s="5">
        <f t="shared" si="3"/>
        <v>2.07E-2</v>
      </c>
      <c r="F22" s="15">
        <f t="shared" si="4"/>
        <v>6.8999999999999999E-3</v>
      </c>
      <c r="L22" s="13">
        <f>AVERAGE(B22:B$66)</f>
        <v>1.9246666666666672E-2</v>
      </c>
      <c r="M22" s="5">
        <f>AVERAGE(C22:C$66)</f>
        <v>1.7697777777777778E-2</v>
      </c>
      <c r="N22" s="5">
        <f>AVERAGE(D22:D$66)</f>
        <v>1.7697777777777778E-2</v>
      </c>
      <c r="O22" s="5">
        <f>AVERAGE(E22:E$66)</f>
        <v>1.982222222222222E-2</v>
      </c>
      <c r="P22" s="5">
        <f>AVERAGE(F22:F$66)</f>
        <v>1.8726666666666666E-2</v>
      </c>
      <c r="R22" s="34">
        <v>2013</v>
      </c>
      <c r="S22" s="35">
        <v>2</v>
      </c>
      <c r="T22" s="35">
        <v>2.04</v>
      </c>
      <c r="U22" s="35">
        <v>2.33</v>
      </c>
      <c r="V22" s="35">
        <v>2.0699999999999998</v>
      </c>
      <c r="W22" s="36">
        <v>0.69</v>
      </c>
    </row>
    <row r="23" spans="1:23" ht="14.25">
      <c r="A23" s="10" t="s">
        <v>1250</v>
      </c>
      <c r="B23" s="14">
        <f t="shared" si="0"/>
        <v>1.67E-2</v>
      </c>
      <c r="C23" s="14">
        <f t="shared" si="1"/>
        <v>1.3100000000000001E-2</v>
      </c>
      <c r="D23" s="14">
        <f t="shared" si="2"/>
        <v>1.3100000000000001E-2</v>
      </c>
      <c r="E23" s="5">
        <f t="shared" si="3"/>
        <v>1.8500000000000003E-2</v>
      </c>
      <c r="F23" s="15">
        <f t="shared" si="4"/>
        <v>9.5999999999999992E-3</v>
      </c>
      <c r="L23" s="13">
        <f>AVERAGE(B23:B$66)</f>
        <v>1.9220454545454554E-2</v>
      </c>
      <c r="M23" s="5">
        <f>AVERAGE(C23:C$66)</f>
        <v>1.7570454545454545E-2</v>
      </c>
      <c r="N23" s="5">
        <f>AVERAGE(D23:D$66)</f>
        <v>1.7570454545454545E-2</v>
      </c>
      <c r="O23" s="5">
        <f>AVERAGE(E23:E$66)</f>
        <v>1.9802272727272727E-2</v>
      </c>
      <c r="P23" s="5">
        <f>AVERAGE(F23:F$66)</f>
        <v>1.8995454545454541E-2</v>
      </c>
      <c r="R23" s="31">
        <v>2013</v>
      </c>
      <c r="S23" s="32">
        <v>1</v>
      </c>
      <c r="T23" s="32">
        <v>1.67</v>
      </c>
      <c r="U23" s="32">
        <v>1.31</v>
      </c>
      <c r="V23" s="32">
        <v>1.85</v>
      </c>
      <c r="W23" s="33">
        <v>0.96</v>
      </c>
    </row>
    <row r="24" spans="1:23" ht="14.25">
      <c r="A24" s="10" t="s">
        <v>1251</v>
      </c>
      <c r="B24" s="14">
        <f t="shared" si="0"/>
        <v>9.1000000000000004E-3</v>
      </c>
      <c r="C24" s="14">
        <f t="shared" si="1"/>
        <v>6.8000000000000005E-3</v>
      </c>
      <c r="D24" s="14">
        <f t="shared" si="2"/>
        <v>6.8000000000000005E-3</v>
      </c>
      <c r="E24" s="5">
        <f t="shared" si="3"/>
        <v>9.7999999999999997E-3</v>
      </c>
      <c r="F24" s="15">
        <f t="shared" si="4"/>
        <v>9.0000000000000011E-3</v>
      </c>
      <c r="L24" s="13">
        <f>AVERAGE(B24:B$66)</f>
        <v>1.9279069767441866E-2</v>
      </c>
      <c r="M24" s="5">
        <f>AVERAGE(C24:C$66)</f>
        <v>1.767441860465116E-2</v>
      </c>
      <c r="N24" s="5">
        <f>AVERAGE(D24:D$66)</f>
        <v>1.767441860465116E-2</v>
      </c>
      <c r="O24" s="5">
        <f>AVERAGE(E24:E$66)</f>
        <v>1.9832558139534884E-2</v>
      </c>
      <c r="P24" s="5">
        <f>AVERAGE(F24:F$66)</f>
        <v>1.9213953488372095E-2</v>
      </c>
      <c r="R24" s="37">
        <v>2012</v>
      </c>
      <c r="S24" s="38">
        <v>4</v>
      </c>
      <c r="T24" s="38">
        <v>0.91</v>
      </c>
      <c r="U24" s="38">
        <v>0.68</v>
      </c>
      <c r="V24" s="38">
        <v>0.98</v>
      </c>
      <c r="W24" s="39">
        <v>0.9</v>
      </c>
    </row>
    <row r="25" spans="1:23" ht="14.25">
      <c r="A25" s="10" t="s">
        <v>1252</v>
      </c>
      <c r="B25" s="14">
        <f t="shared" si="0"/>
        <v>8.9999999999999998E-4</v>
      </c>
      <c r="C25" s="14">
        <f t="shared" si="1"/>
        <v>2.8999999999999998E-3</v>
      </c>
      <c r="D25" s="14">
        <f t="shared" si="2"/>
        <v>2.8999999999999998E-3</v>
      </c>
      <c r="E25" s="5">
        <f t="shared" si="3"/>
        <v>-1E-4</v>
      </c>
      <c r="F25" s="15">
        <f t="shared" si="4"/>
        <v>5.7999999999999996E-3</v>
      </c>
      <c r="L25" s="13">
        <f>AVERAGE(B25:B$66)</f>
        <v>1.9521428571428578E-2</v>
      </c>
      <c r="M25" s="5">
        <f>AVERAGE(C25:C$66)</f>
        <v>1.7933333333333332E-2</v>
      </c>
      <c r="N25" s="5">
        <f>AVERAGE(D25:D$66)</f>
        <v>1.7933333333333332E-2</v>
      </c>
      <c r="O25" s="5">
        <f>AVERAGE(E25:E$66)</f>
        <v>2.007142857142857E-2</v>
      </c>
      <c r="P25" s="5">
        <f>AVERAGE(F25:F$66)</f>
        <v>1.9457142857142857E-2</v>
      </c>
      <c r="R25" s="40">
        <v>2012</v>
      </c>
      <c r="S25" s="41">
        <v>3</v>
      </c>
      <c r="T25" s="41">
        <v>0.09</v>
      </c>
      <c r="U25" s="41">
        <v>0.28999999999999998</v>
      </c>
      <c r="V25" s="41">
        <v>-0.01</v>
      </c>
      <c r="W25" s="42">
        <v>0.57999999999999996</v>
      </c>
    </row>
    <row r="26" spans="1:23" ht="14.25">
      <c r="A26" s="10" t="s">
        <v>1253</v>
      </c>
      <c r="B26" s="14">
        <f t="shared" si="0"/>
        <v>2.0000000000000001E-4</v>
      </c>
      <c r="C26" s="14">
        <f t="shared" si="1"/>
        <v>1.1999999999999999E-3</v>
      </c>
      <c r="D26" s="14">
        <f t="shared" si="2"/>
        <v>1.1999999999999999E-3</v>
      </c>
      <c r="E26" s="5">
        <f t="shared" si="3"/>
        <v>-8.0000000000000004E-4</v>
      </c>
      <c r="F26" s="15">
        <f t="shared" si="4"/>
        <v>1.24E-2</v>
      </c>
      <c r="L26" s="13">
        <f>AVERAGE(B26:B$66)</f>
        <v>1.9975609756097565E-2</v>
      </c>
      <c r="M26" s="5">
        <f>AVERAGE(C26:C$66)</f>
        <v>1.83E-2</v>
      </c>
      <c r="N26" s="5">
        <f>AVERAGE(D26:D$66)</f>
        <v>1.83E-2</v>
      </c>
      <c r="O26" s="5">
        <f>AVERAGE(E26:E$66)</f>
        <v>2.0563414634146342E-2</v>
      </c>
      <c r="P26" s="5">
        <f>AVERAGE(F26:F$66)</f>
        <v>1.9790243902439022E-2</v>
      </c>
      <c r="R26" s="34">
        <v>2012</v>
      </c>
      <c r="S26" s="35">
        <v>2</v>
      </c>
      <c r="T26" s="35">
        <v>0.02</v>
      </c>
      <c r="U26" s="35">
        <v>0.12</v>
      </c>
      <c r="V26" s="35">
        <v>-0.08</v>
      </c>
      <c r="W26" s="36">
        <v>1.24</v>
      </c>
    </row>
    <row r="27" spans="1:23" ht="14.25">
      <c r="A27" s="10" t="s">
        <v>1254</v>
      </c>
      <c r="B27" s="14">
        <f t="shared" si="0"/>
        <v>2.0000000000000001E-4</v>
      </c>
      <c r="C27" s="14">
        <f t="shared" si="1"/>
        <v>1.2999999999999999E-3</v>
      </c>
      <c r="D27" s="14">
        <f t="shared" si="2"/>
        <v>1.2999999999999999E-3</v>
      </c>
      <c r="E27" s="5">
        <f t="shared" si="3"/>
        <v>-4.0000000000000002E-4</v>
      </c>
      <c r="F27" s="15">
        <f t="shared" si="4"/>
        <v>4.5999999999999999E-3</v>
      </c>
      <c r="L27" s="13">
        <f>AVERAGE(B27:B$66)</f>
        <v>2.0470000000000006E-2</v>
      </c>
      <c r="M27" s="5">
        <f>AVERAGE(C27:C$66)</f>
        <v>1.8727500000000001E-2</v>
      </c>
      <c r="N27" s="5">
        <f>AVERAGE(D27:D$66)</f>
        <v>1.8727500000000001E-2</v>
      </c>
      <c r="O27" s="5">
        <f>AVERAGE(E27:E$66)</f>
        <v>2.1097500000000002E-2</v>
      </c>
      <c r="P27" s="5">
        <f>AVERAGE(F27:F$66)</f>
        <v>1.9975E-2</v>
      </c>
      <c r="R27" s="31">
        <v>2012</v>
      </c>
      <c r="S27" s="32">
        <v>1</v>
      </c>
      <c r="T27" s="32">
        <v>0.02</v>
      </c>
      <c r="U27" s="32">
        <v>0.13</v>
      </c>
      <c r="V27" s="32">
        <v>-0.04</v>
      </c>
      <c r="W27" s="33">
        <v>0.46</v>
      </c>
    </row>
    <row r="28" spans="1:23" ht="14.25">
      <c r="A28" s="10" t="s">
        <v>1255</v>
      </c>
      <c r="B28" s="14">
        <f t="shared" si="0"/>
        <v>-2E-3</v>
      </c>
      <c r="C28" s="14">
        <f t="shared" si="1"/>
        <v>4.0000000000000002E-4</v>
      </c>
      <c r="D28" s="14">
        <f t="shared" si="2"/>
        <v>4.0000000000000002E-4</v>
      </c>
      <c r="E28" s="5">
        <f t="shared" si="3"/>
        <v>-3.4000000000000002E-3</v>
      </c>
      <c r="F28" s="15">
        <f t="shared" si="4"/>
        <v>4.5999999999999999E-3</v>
      </c>
      <c r="L28" s="13">
        <f>AVERAGE(B28:B$66)</f>
        <v>2.0989743589743596E-2</v>
      </c>
      <c r="M28" s="5">
        <f>AVERAGE(C28:C$66)</f>
        <v>1.9174358974358971E-2</v>
      </c>
      <c r="N28" s="5">
        <f>AVERAGE(D28:D$66)</f>
        <v>1.9174358974358971E-2</v>
      </c>
      <c r="O28" s="5">
        <f>AVERAGE(E28:E$66)</f>
        <v>2.1648717948717949E-2</v>
      </c>
      <c r="P28" s="5">
        <f>AVERAGE(F28:F$66)</f>
        <v>2.0369230769230768E-2</v>
      </c>
      <c r="R28" s="37">
        <v>2011</v>
      </c>
      <c r="S28" s="38">
        <v>4</v>
      </c>
      <c r="T28" s="38">
        <v>-0.2</v>
      </c>
      <c r="U28" s="38">
        <v>0.04</v>
      </c>
      <c r="V28" s="38">
        <v>-0.34</v>
      </c>
      <c r="W28" s="39">
        <v>0.46</v>
      </c>
    </row>
    <row r="29" spans="1:23" ht="14.25">
      <c r="A29" s="10" t="s">
        <v>1256</v>
      </c>
      <c r="B29" s="14">
        <f t="shared" si="0"/>
        <v>1.2999999999999999E-3</v>
      </c>
      <c r="C29" s="14">
        <f t="shared" si="1"/>
        <v>7.4999999999999997E-3</v>
      </c>
      <c r="D29" s="14">
        <f t="shared" si="2"/>
        <v>7.4999999999999997E-3</v>
      </c>
      <c r="E29" s="5">
        <f t="shared" si="3"/>
        <v>-8.0000000000000004E-4</v>
      </c>
      <c r="F29" s="15">
        <f t="shared" si="4"/>
        <v>5.3E-3</v>
      </c>
      <c r="L29" s="13">
        <f>AVERAGE(B29:B$66)</f>
        <v>2.1594736842105267E-2</v>
      </c>
      <c r="M29" s="5">
        <f>AVERAGE(C29:C$66)</f>
        <v>1.9668421052631578E-2</v>
      </c>
      <c r="N29" s="5">
        <f>AVERAGE(D29:D$66)</f>
        <v>1.9668421052631578E-2</v>
      </c>
      <c r="O29" s="5">
        <f>AVERAGE(E29:E$66)</f>
        <v>2.230789473684211E-2</v>
      </c>
      <c r="P29" s="5">
        <f>AVERAGE(F29:F$66)</f>
        <v>2.078421052631579E-2</v>
      </c>
      <c r="R29" s="40">
        <v>2011</v>
      </c>
      <c r="S29" s="41">
        <v>3</v>
      </c>
      <c r="T29" s="41">
        <v>0.13</v>
      </c>
      <c r="U29" s="41">
        <v>0.75</v>
      </c>
      <c r="V29" s="41">
        <v>-0.08</v>
      </c>
      <c r="W29" s="42">
        <v>0.53</v>
      </c>
    </row>
    <row r="30" spans="1:23" ht="14.25">
      <c r="A30" s="10" t="s">
        <v>1257</v>
      </c>
      <c r="B30" s="14">
        <f t="shared" si="0"/>
        <v>-4.0000000000000001E-3</v>
      </c>
      <c r="C30" s="14">
        <f t="shared" si="1"/>
        <v>1.7000000000000001E-3</v>
      </c>
      <c r="D30" s="14">
        <f t="shared" si="2"/>
        <v>1.7000000000000001E-3</v>
      </c>
      <c r="E30" s="5">
        <f t="shared" si="3"/>
        <v>-5.7999999999999996E-3</v>
      </c>
      <c r="F30" s="15">
        <f t="shared" si="4"/>
        <v>-2E-3</v>
      </c>
      <c r="L30" s="13">
        <f>AVERAGE(B30:B$66)</f>
        <v>2.2143243243243248E-2</v>
      </c>
      <c r="M30" s="5">
        <f>AVERAGE(C30:C$66)</f>
        <v>1.9997297297297299E-2</v>
      </c>
      <c r="N30" s="5">
        <f>AVERAGE(D30:D$66)</f>
        <v>1.9997297297297299E-2</v>
      </c>
      <c r="O30" s="5">
        <f>AVERAGE(E30:E$66)</f>
        <v>2.2932432432432433E-2</v>
      </c>
      <c r="P30" s="5">
        <f>AVERAGE(F30:F$66)</f>
        <v>2.1202702702702702E-2</v>
      </c>
      <c r="R30" s="34">
        <v>2011</v>
      </c>
      <c r="S30" s="35">
        <v>2</v>
      </c>
      <c r="T30" s="35">
        <v>-0.4</v>
      </c>
      <c r="U30" s="35">
        <v>0.17</v>
      </c>
      <c r="V30" s="35">
        <v>-0.57999999999999996</v>
      </c>
      <c r="W30" s="36">
        <v>-0.2</v>
      </c>
    </row>
    <row r="31" spans="1:23" ht="14.25">
      <c r="A31" s="10" t="s">
        <v>1258</v>
      </c>
      <c r="B31" s="14">
        <f t="shared" si="0"/>
        <v>2.6499999999999999E-2</v>
      </c>
      <c r="C31" s="14">
        <f t="shared" si="1"/>
        <v>3.7599999999999995E-2</v>
      </c>
      <c r="D31" s="14">
        <f t="shared" si="2"/>
        <v>3.7599999999999995E-2</v>
      </c>
      <c r="E31" s="5">
        <f t="shared" si="3"/>
        <v>1.89E-2</v>
      </c>
      <c r="F31" s="15">
        <f t="shared" si="4"/>
        <v>7.9500000000000001E-2</v>
      </c>
      <c r="L31" s="13">
        <f>AVERAGE(B31:B$66)</f>
        <v>2.2869444444444449E-2</v>
      </c>
      <c r="M31" s="5">
        <f>AVERAGE(C31:C$66)</f>
        <v>2.0505555555555555E-2</v>
      </c>
      <c r="N31" s="5">
        <f>AVERAGE(D31:D$66)</f>
        <v>2.0505555555555555E-2</v>
      </c>
      <c r="O31" s="5">
        <f>AVERAGE(E31:E$66)</f>
        <v>2.3730555555555557E-2</v>
      </c>
      <c r="P31" s="5">
        <f>AVERAGE(F31:F$66)</f>
        <v>2.1847222222222223E-2</v>
      </c>
      <c r="R31" s="31">
        <v>2011</v>
      </c>
      <c r="S31" s="32">
        <v>1</v>
      </c>
      <c r="T31" s="32">
        <v>2.65</v>
      </c>
      <c r="U31" s="32">
        <v>3.76</v>
      </c>
      <c r="V31" s="32">
        <v>1.89</v>
      </c>
      <c r="W31" s="33">
        <v>7.95</v>
      </c>
    </row>
    <row r="32" spans="1:23" ht="14.25">
      <c r="A32" s="10" t="s">
        <v>1259</v>
      </c>
      <c r="B32" s="14">
        <f t="shared" si="0"/>
        <v>5.7200000000000001E-2</v>
      </c>
      <c r="C32" s="14">
        <f t="shared" si="1"/>
        <v>6.5700000000000008E-2</v>
      </c>
      <c r="D32" s="14">
        <f t="shared" si="2"/>
        <v>6.5700000000000008E-2</v>
      </c>
      <c r="E32" s="5">
        <f t="shared" si="3"/>
        <v>5.7200000000000001E-2</v>
      </c>
      <c r="F32" s="15">
        <f t="shared" si="4"/>
        <v>2.7200000000000002E-2</v>
      </c>
      <c r="L32" s="13">
        <f>AVERAGE(B32:B$66)</f>
        <v>2.2765714285714292E-2</v>
      </c>
      <c r="M32" s="5">
        <f>AVERAGE(C32:C$66)</f>
        <v>2.0017142857142858E-2</v>
      </c>
      <c r="N32" s="5">
        <f>AVERAGE(D32:D$66)</f>
        <v>2.0017142857142858E-2</v>
      </c>
      <c r="O32" s="5">
        <f>AVERAGE(E32:E$66)</f>
        <v>2.3868571428571433E-2</v>
      </c>
      <c r="P32" s="5">
        <f>AVERAGE(F32:F$66)</f>
        <v>2.0200000000000003E-2</v>
      </c>
      <c r="R32" s="37">
        <v>2010</v>
      </c>
      <c r="S32" s="38">
        <v>4</v>
      </c>
      <c r="T32" s="38">
        <v>5.72</v>
      </c>
      <c r="U32" s="38">
        <v>6.57</v>
      </c>
      <c r="V32" s="38">
        <v>5.72</v>
      </c>
      <c r="W32" s="39">
        <v>2.72</v>
      </c>
    </row>
    <row r="33" spans="1:23" ht="14.25">
      <c r="A33" s="10" t="s">
        <v>1260</v>
      </c>
      <c r="B33" s="14">
        <f t="shared" si="0"/>
        <v>4.7300000000000002E-2</v>
      </c>
      <c r="C33" s="14">
        <f t="shared" si="1"/>
        <v>3.9E-2</v>
      </c>
      <c r="D33" s="14">
        <f t="shared" si="2"/>
        <v>3.9E-2</v>
      </c>
      <c r="E33" s="5">
        <f t="shared" si="3"/>
        <v>5.0300000000000004E-2</v>
      </c>
      <c r="F33" s="15">
        <f t="shared" si="4"/>
        <v>4.2099999999999999E-2</v>
      </c>
      <c r="L33" s="13">
        <f>AVERAGE(B33:B$66)</f>
        <v>2.1752941176470596E-2</v>
      </c>
      <c r="M33" s="5">
        <f>AVERAGE(C33:C$66)</f>
        <v>1.8673529411764707E-2</v>
      </c>
      <c r="N33" s="5">
        <f>AVERAGE(D33:D$66)</f>
        <v>1.8673529411764707E-2</v>
      </c>
      <c r="O33" s="5">
        <f>AVERAGE(E33:E$66)</f>
        <v>2.2888235294117647E-2</v>
      </c>
      <c r="P33" s="5">
        <f>AVERAGE(F33:F$66)</f>
        <v>1.9994117647058825E-2</v>
      </c>
      <c r="R33" s="40">
        <v>2010</v>
      </c>
      <c r="S33" s="41">
        <v>3</v>
      </c>
      <c r="T33" s="41">
        <v>4.7300000000000004</v>
      </c>
      <c r="U33" s="41">
        <v>3.9</v>
      </c>
      <c r="V33" s="41">
        <v>5.03</v>
      </c>
      <c r="W33" s="42">
        <v>4.21</v>
      </c>
    </row>
    <row r="34" spans="1:23" ht="14.25">
      <c r="A34" s="10" t="s">
        <v>1261</v>
      </c>
      <c r="B34" s="14">
        <f t="shared" si="0"/>
        <v>4.6900000000000004E-2</v>
      </c>
      <c r="C34" s="14">
        <f t="shared" si="1"/>
        <v>3.5499999999999997E-2</v>
      </c>
      <c r="D34" s="14">
        <f t="shared" si="2"/>
        <v>3.5499999999999997E-2</v>
      </c>
      <c r="E34" s="5">
        <f t="shared" si="3"/>
        <v>5.0700000000000002E-2</v>
      </c>
      <c r="F34" s="15">
        <f t="shared" si="4"/>
        <v>4.2300000000000004E-2</v>
      </c>
      <c r="L34" s="13">
        <f>AVERAGE(B34:B$66)</f>
        <v>2.0978787878787885E-2</v>
      </c>
      <c r="M34" s="5">
        <f>AVERAGE(C34:C$66)</f>
        <v>1.8057575757575755E-2</v>
      </c>
      <c r="N34" s="5">
        <f>AVERAGE(D34:D$66)</f>
        <v>1.8057575757575755E-2</v>
      </c>
      <c r="O34" s="5">
        <f>AVERAGE(E34:E$66)</f>
        <v>2.2057575757575758E-2</v>
      </c>
      <c r="P34" s="5">
        <f>AVERAGE(F34:F$66)</f>
        <v>1.9324242424242421E-2</v>
      </c>
      <c r="R34" s="34">
        <v>2010</v>
      </c>
      <c r="S34" s="35">
        <v>2</v>
      </c>
      <c r="T34" s="35">
        <v>4.6900000000000004</v>
      </c>
      <c r="U34" s="35">
        <v>3.55</v>
      </c>
      <c r="V34" s="35">
        <v>5.07</v>
      </c>
      <c r="W34" s="36">
        <v>4.2300000000000004</v>
      </c>
    </row>
    <row r="35" spans="1:23" ht="14.25">
      <c r="A35" s="10" t="s">
        <v>1262</v>
      </c>
      <c r="B35" s="14">
        <f t="shared" si="0"/>
        <v>5.4000000000000006E-2</v>
      </c>
      <c r="C35" s="14">
        <f t="shared" si="1"/>
        <v>3.2000000000000001E-2</v>
      </c>
      <c r="D35" s="14">
        <f t="shared" si="2"/>
        <v>3.2000000000000001E-2</v>
      </c>
      <c r="E35" s="5">
        <f t="shared" si="3"/>
        <v>6.1600000000000002E-2</v>
      </c>
      <c r="F35" s="15">
        <f t="shared" si="4"/>
        <v>4.5100000000000001E-2</v>
      </c>
      <c r="L35" s="13">
        <f>AVERAGE(B35:B$66)</f>
        <v>2.0168750000000003E-2</v>
      </c>
      <c r="M35" s="5">
        <f>AVERAGE(C35:C$66)</f>
        <v>1.7512499999999997E-2</v>
      </c>
      <c r="N35" s="5">
        <f>AVERAGE(D35:D$66)</f>
        <v>1.7512499999999997E-2</v>
      </c>
      <c r="O35" s="5">
        <f>AVERAGE(E35:E$66)</f>
        <v>2.1162500000000001E-2</v>
      </c>
      <c r="P35" s="5">
        <f>AVERAGE(F35:F$66)</f>
        <v>1.8606250000000001E-2</v>
      </c>
      <c r="R35" s="31">
        <v>2010</v>
      </c>
      <c r="S35" s="32">
        <v>1</v>
      </c>
      <c r="T35" s="32">
        <v>5.4</v>
      </c>
      <c r="U35" s="32">
        <v>3.2</v>
      </c>
      <c r="V35" s="32">
        <v>6.16</v>
      </c>
      <c r="W35" s="33">
        <v>4.51</v>
      </c>
    </row>
    <row r="36" spans="1:23" ht="14.25">
      <c r="A36" s="10" t="s">
        <v>1263</v>
      </c>
      <c r="B36" s="14">
        <f t="shared" si="0"/>
        <v>2.3E-2</v>
      </c>
      <c r="C36" s="14">
        <f t="shared" si="1"/>
        <v>1.04E-2</v>
      </c>
      <c r="D36" s="14">
        <f t="shared" si="2"/>
        <v>1.04E-2</v>
      </c>
      <c r="E36" s="5">
        <f t="shared" si="3"/>
        <v>2.8399999999999998E-2</v>
      </c>
      <c r="F36" s="15">
        <f t="shared" si="4"/>
        <v>6.7000000000000002E-3</v>
      </c>
      <c r="L36" s="13">
        <f>AVERAGE(B36:B$66)</f>
        <v>1.9077419354838712E-2</v>
      </c>
      <c r="M36" s="5">
        <f>AVERAGE(C36:C$66)</f>
        <v>1.7045161290322582E-2</v>
      </c>
      <c r="N36" s="5">
        <f>AVERAGE(D36:D$66)</f>
        <v>1.7045161290322582E-2</v>
      </c>
      <c r="O36" s="5">
        <f>AVERAGE(E36:E$66)</f>
        <v>1.9858064516129034E-2</v>
      </c>
      <c r="P36" s="5">
        <f>AVERAGE(F36:F$66)</f>
        <v>1.775161290322581E-2</v>
      </c>
      <c r="R36" s="37">
        <v>2009</v>
      </c>
      <c r="S36" s="38">
        <v>4</v>
      </c>
      <c r="T36" s="38">
        <v>2.2999999999999998</v>
      </c>
      <c r="U36" s="38">
        <v>1.04</v>
      </c>
      <c r="V36" s="38">
        <v>2.84</v>
      </c>
      <c r="W36" s="39">
        <v>0.67</v>
      </c>
    </row>
    <row r="37" spans="1:23" ht="14.25">
      <c r="A37" s="10" t="s">
        <v>1264</v>
      </c>
      <c r="B37" s="14">
        <f t="shared" si="0"/>
        <v>2.1000000000000001E-2</v>
      </c>
      <c r="C37" s="14">
        <f t="shared" si="1"/>
        <v>1.8600000000000002E-2</v>
      </c>
      <c r="D37" s="14">
        <f t="shared" si="2"/>
        <v>1.8600000000000002E-2</v>
      </c>
      <c r="E37" s="5">
        <f t="shared" si="3"/>
        <v>2.29E-2</v>
      </c>
      <c r="F37" s="15">
        <f t="shared" si="4"/>
        <v>8.5000000000000006E-3</v>
      </c>
      <c r="L37" s="13">
        <f>AVERAGE(B37:B$66)</f>
        <v>1.8946666666666671E-2</v>
      </c>
      <c r="M37" s="5">
        <f>AVERAGE(C37:C$66)</f>
        <v>1.726666666666667E-2</v>
      </c>
      <c r="N37" s="5">
        <f>AVERAGE(D37:D$66)</f>
        <v>1.726666666666667E-2</v>
      </c>
      <c r="O37" s="5">
        <f>AVERAGE(E37:E$66)</f>
        <v>1.9573333333333335E-2</v>
      </c>
      <c r="P37" s="5">
        <f>AVERAGE(F37:F$66)</f>
        <v>1.8120000000000004E-2</v>
      </c>
      <c r="R37" s="40">
        <v>2009</v>
      </c>
      <c r="S37" s="41">
        <v>3</v>
      </c>
      <c r="T37" s="41">
        <v>2.1</v>
      </c>
      <c r="U37" s="41">
        <v>1.86</v>
      </c>
      <c r="V37" s="41">
        <v>2.29</v>
      </c>
      <c r="W37" s="42">
        <v>0.85</v>
      </c>
    </row>
    <row r="38" spans="1:23" ht="14.25">
      <c r="A38" s="10" t="s">
        <v>1265</v>
      </c>
      <c r="B38" s="14">
        <f t="shared" si="0"/>
        <v>8.6E-3</v>
      </c>
      <c r="C38" s="14">
        <f t="shared" si="1"/>
        <v>-1.1299999999999999E-2</v>
      </c>
      <c r="D38" s="14">
        <f t="shared" si="2"/>
        <v>-1.1299999999999999E-2</v>
      </c>
      <c r="E38" s="5">
        <f t="shared" si="3"/>
        <v>1.7899999999999999E-2</v>
      </c>
      <c r="F38" s="15">
        <f t="shared" si="4"/>
        <v>-2.07E-2</v>
      </c>
      <c r="L38" s="13">
        <f>AVERAGE(B38:B$66)</f>
        <v>1.8875862068965521E-2</v>
      </c>
      <c r="M38" s="5">
        <f>AVERAGE(C38:C$66)</f>
        <v>1.7220689655172417E-2</v>
      </c>
      <c r="N38" s="5">
        <f>AVERAGE(D38:D$66)</f>
        <v>1.7220689655172417E-2</v>
      </c>
      <c r="O38" s="5">
        <f>AVERAGE(E38:E$66)</f>
        <v>1.9458620689655173E-2</v>
      </c>
      <c r="P38" s="5">
        <f>AVERAGE(F38:F$66)</f>
        <v>1.8451724137931037E-2</v>
      </c>
      <c r="R38" s="34">
        <v>2009</v>
      </c>
      <c r="S38" s="35">
        <v>2</v>
      </c>
      <c r="T38" s="35">
        <v>0.86</v>
      </c>
      <c r="U38" s="35">
        <v>-1.1299999999999999</v>
      </c>
      <c r="V38" s="35">
        <v>1.79</v>
      </c>
      <c r="W38" s="36">
        <v>-2.0699999999999998</v>
      </c>
    </row>
    <row r="39" spans="1:23" ht="14.25">
      <c r="A39" s="10" t="s">
        <v>1266</v>
      </c>
      <c r="B39" s="14">
        <f t="shared" si="0"/>
        <v>-2.64E-2</v>
      </c>
      <c r="C39" s="14">
        <f t="shared" si="1"/>
        <v>-2.53E-2</v>
      </c>
      <c r="D39" s="14">
        <f t="shared" si="2"/>
        <v>-2.53E-2</v>
      </c>
      <c r="E39" s="5">
        <f t="shared" si="3"/>
        <v>-3.0200000000000001E-2</v>
      </c>
      <c r="F39" s="15">
        <f t="shared" si="4"/>
        <v>1.52E-2</v>
      </c>
      <c r="L39" s="13">
        <f>AVERAGE(B39:B$66)</f>
        <v>1.9242857142857145E-2</v>
      </c>
      <c r="M39" s="5">
        <f>AVERAGE(C39:C$66)</f>
        <v>1.8239285714285715E-2</v>
      </c>
      <c r="N39" s="5">
        <f>AVERAGE(D39:D$66)</f>
        <v>1.8239285714285715E-2</v>
      </c>
      <c r="O39" s="5">
        <f>AVERAGE(E39:E$66)</f>
        <v>1.951428571428571E-2</v>
      </c>
      <c r="P39" s="5">
        <f>AVERAGE(F39:F$66)</f>
        <v>1.9850000000000003E-2</v>
      </c>
      <c r="R39" s="31">
        <v>2009</v>
      </c>
      <c r="S39" s="32">
        <v>1</v>
      </c>
      <c r="T39" s="32">
        <v>-2.64</v>
      </c>
      <c r="U39" s="32">
        <v>-2.5299999999999998</v>
      </c>
      <c r="V39" s="32">
        <v>-3.02</v>
      </c>
      <c r="W39" s="33">
        <v>1.52</v>
      </c>
    </row>
    <row r="40" spans="1:23" ht="14.25">
      <c r="A40" s="10" t="s">
        <v>1267</v>
      </c>
      <c r="B40" s="14">
        <f t="shared" si="0"/>
        <v>1.7299999999999999E-2</v>
      </c>
      <c r="C40" s="14">
        <f t="shared" si="1"/>
        <v>2.9999999999999997E-4</v>
      </c>
      <c r="D40" s="14">
        <f t="shared" si="2"/>
        <v>2.9999999999999997E-4</v>
      </c>
      <c r="E40" s="5">
        <f t="shared" si="3"/>
        <v>2.5899999999999999E-2</v>
      </c>
      <c r="F40" s="15">
        <f t="shared" si="4"/>
        <v>-1.66E-2</v>
      </c>
      <c r="L40" s="13">
        <f>AVERAGE(B40:B$66)</f>
        <v>2.0933333333333335E-2</v>
      </c>
      <c r="M40" s="5">
        <f>AVERAGE(C40:C$66)</f>
        <v>1.9851851851851853E-2</v>
      </c>
      <c r="N40" s="5">
        <f>AVERAGE(D40:D$66)</f>
        <v>1.9851851851851853E-2</v>
      </c>
      <c r="O40" s="5">
        <f>AVERAGE(E40:E$66)</f>
        <v>2.1355555555555558E-2</v>
      </c>
      <c r="P40" s="5">
        <f>AVERAGE(F40:F$66)</f>
        <v>2.0022222222222226E-2</v>
      </c>
      <c r="R40" s="37">
        <v>2008</v>
      </c>
      <c r="S40" s="38">
        <v>4</v>
      </c>
      <c r="T40" s="38">
        <v>1.73</v>
      </c>
      <c r="U40" s="38">
        <v>0.03</v>
      </c>
      <c r="V40" s="38">
        <v>2.59</v>
      </c>
      <c r="W40" s="39">
        <v>-1.66</v>
      </c>
    </row>
    <row r="41" spans="1:23" ht="14.25">
      <c r="A41" s="10" t="s">
        <v>1268</v>
      </c>
      <c r="B41" s="14">
        <f t="shared" si="0"/>
        <v>1.9599999999999999E-2</v>
      </c>
      <c r="C41" s="14">
        <f t="shared" si="1"/>
        <v>2.3599999999999999E-2</v>
      </c>
      <c r="D41" s="14">
        <f t="shared" si="2"/>
        <v>2.3599999999999999E-2</v>
      </c>
      <c r="E41" s="5">
        <f t="shared" si="3"/>
        <v>1.8200000000000001E-2</v>
      </c>
      <c r="F41" s="15">
        <f t="shared" si="4"/>
        <v>2.2200000000000001E-2</v>
      </c>
      <c r="L41" s="13">
        <f>AVERAGE(B41:B$66)</f>
        <v>2.107307692307693E-2</v>
      </c>
      <c r="M41" s="5">
        <f>AVERAGE(C41:C$66)</f>
        <v>2.0603846153846153E-2</v>
      </c>
      <c r="N41" s="5">
        <f>AVERAGE(D41:D$66)</f>
        <v>2.0603846153846153E-2</v>
      </c>
      <c r="O41" s="5">
        <f>AVERAGE(E41:E$66)</f>
        <v>2.1180769230769229E-2</v>
      </c>
      <c r="P41" s="5">
        <f>AVERAGE(F41:F$66)</f>
        <v>2.1430769230769236E-2</v>
      </c>
      <c r="R41" s="40">
        <v>2008</v>
      </c>
      <c r="S41" s="41">
        <v>3</v>
      </c>
      <c r="T41" s="41">
        <v>1.96</v>
      </c>
      <c r="U41" s="41">
        <v>2.36</v>
      </c>
      <c r="V41" s="41">
        <v>1.82</v>
      </c>
      <c r="W41" s="42">
        <v>2.2200000000000002</v>
      </c>
    </row>
    <row r="42" spans="1:23" ht="14.25">
      <c r="A42" s="10" t="s">
        <v>1269</v>
      </c>
      <c r="B42" s="14">
        <f t="shared" si="0"/>
        <v>4.9299999999999997E-2</v>
      </c>
      <c r="C42" s="14">
        <f t="shared" si="1"/>
        <v>7.3800000000000004E-2</v>
      </c>
      <c r="D42" s="14">
        <f t="shared" si="2"/>
        <v>7.3800000000000004E-2</v>
      </c>
      <c r="E42" s="5">
        <f t="shared" si="3"/>
        <v>3.9800000000000002E-2</v>
      </c>
      <c r="F42" s="15">
        <f t="shared" si="4"/>
        <v>6.8600000000000008E-2</v>
      </c>
      <c r="L42" s="13">
        <f>AVERAGE(B42:B$66)</f>
        <v>2.1132000000000005E-2</v>
      </c>
      <c r="M42" s="5">
        <f>AVERAGE(C42:C$66)</f>
        <v>2.0484000000000006E-2</v>
      </c>
      <c r="N42" s="5">
        <f>AVERAGE(D42:D$66)</f>
        <v>2.0484000000000006E-2</v>
      </c>
      <c r="O42" s="5">
        <f>AVERAGE(E42:E$66)</f>
        <v>2.1299999999999999E-2</v>
      </c>
      <c r="P42" s="5">
        <f>AVERAGE(F42:F$66)</f>
        <v>2.1400000000000006E-2</v>
      </c>
      <c r="R42" s="34">
        <v>2008</v>
      </c>
      <c r="S42" s="35">
        <v>2</v>
      </c>
      <c r="T42" s="35">
        <v>4.93</v>
      </c>
      <c r="U42" s="35">
        <v>7.38</v>
      </c>
      <c r="V42" s="35">
        <v>3.98</v>
      </c>
      <c r="W42" s="36">
        <v>6.86</v>
      </c>
    </row>
    <row r="43" spans="1:23" ht="14.25">
      <c r="A43" s="10" t="s">
        <v>1270</v>
      </c>
      <c r="B43" s="14">
        <f t="shared" si="0"/>
        <v>4.1399999999999999E-2</v>
      </c>
      <c r="C43" s="14">
        <f t="shared" si="1"/>
        <v>3.4500000000000003E-2</v>
      </c>
      <c r="D43" s="14">
        <f t="shared" si="2"/>
        <v>3.4500000000000003E-2</v>
      </c>
      <c r="E43" s="5">
        <f t="shared" si="3"/>
        <v>4.9500000000000002E-2</v>
      </c>
      <c r="F43" s="15">
        <f t="shared" si="4"/>
        <v>4.82E-2</v>
      </c>
      <c r="L43" s="13">
        <f>AVERAGE(B43:B$66)</f>
        <v>1.9958333333333331E-2</v>
      </c>
      <c r="M43" s="5">
        <f>AVERAGE(C43:C$66)</f>
        <v>1.8262500000000004E-2</v>
      </c>
      <c r="N43" s="5">
        <f>AVERAGE(D43:D$66)</f>
        <v>1.8262500000000004E-2</v>
      </c>
      <c r="O43" s="5">
        <f>AVERAGE(E43:E$66)</f>
        <v>2.0529166666666664E-2</v>
      </c>
      <c r="P43" s="5">
        <f>AVERAGE(F43:F$66)</f>
        <v>1.9433333333333337E-2</v>
      </c>
      <c r="R43" s="31">
        <v>2008</v>
      </c>
      <c r="S43" s="32">
        <v>1</v>
      </c>
      <c r="T43" s="32">
        <v>4.1399999999999997</v>
      </c>
      <c r="U43" s="32">
        <v>3.45</v>
      </c>
      <c r="V43" s="32">
        <v>4.95</v>
      </c>
      <c r="W43" s="33">
        <v>4.82</v>
      </c>
    </row>
    <row r="44" spans="1:23" ht="14.25">
      <c r="A44" s="10" t="s">
        <v>1271</v>
      </c>
      <c r="B44" s="14">
        <f t="shared" si="0"/>
        <v>5.5099999999999996E-2</v>
      </c>
      <c r="C44" s="14">
        <f t="shared" si="1"/>
        <v>4.8899999999999999E-2</v>
      </c>
      <c r="D44" s="14">
        <f t="shared" si="2"/>
        <v>4.8899999999999999E-2</v>
      </c>
      <c r="E44" s="5">
        <f t="shared" si="3"/>
        <v>6.4299999999999996E-2</v>
      </c>
      <c r="F44" s="15">
        <f t="shared" si="4"/>
        <v>5.3600000000000002E-2</v>
      </c>
      <c r="L44" s="13">
        <f>AVERAGE(B44:B$66)</f>
        <v>1.9026086956521738E-2</v>
      </c>
      <c r="M44" s="5">
        <f>AVERAGE(C44:C$66)</f>
        <v>1.7556521739130436E-2</v>
      </c>
      <c r="N44" s="5">
        <f>AVERAGE(D44:D$66)</f>
        <v>1.7556521739130436E-2</v>
      </c>
      <c r="O44" s="5">
        <f>AVERAGE(E44:E$66)</f>
        <v>1.9269565217391305E-2</v>
      </c>
      <c r="P44" s="5">
        <f>AVERAGE(F44:F$66)</f>
        <v>1.8182608695652178E-2</v>
      </c>
      <c r="R44" s="37">
        <v>2007</v>
      </c>
      <c r="S44" s="38">
        <v>4</v>
      </c>
      <c r="T44" s="38">
        <v>5.51</v>
      </c>
      <c r="U44" s="38">
        <v>4.8899999999999997</v>
      </c>
      <c r="V44" s="38">
        <v>6.43</v>
      </c>
      <c r="W44" s="39">
        <v>5.36</v>
      </c>
    </row>
    <row r="45" spans="1:23" ht="14.25">
      <c r="A45" s="10" t="s">
        <v>1272</v>
      </c>
      <c r="B45" s="14">
        <f t="shared" si="0"/>
        <v>8.6500000000000007E-2</v>
      </c>
      <c r="C45" s="14">
        <f t="shared" si="1"/>
        <v>8.0600000000000005E-2</v>
      </c>
      <c r="D45" s="14">
        <f t="shared" si="2"/>
        <v>8.0600000000000005E-2</v>
      </c>
      <c r="E45" s="5">
        <f t="shared" si="3"/>
        <v>9.9399999999999988E-2</v>
      </c>
      <c r="F45" s="15">
        <f t="shared" si="4"/>
        <v>5.7999999999999996E-2</v>
      </c>
      <c r="L45" s="13">
        <f>AVERAGE(B45:B$66)</f>
        <v>1.7386363636363641E-2</v>
      </c>
      <c r="M45" s="5">
        <f>AVERAGE(C45:C$66)</f>
        <v>1.6131818181818188E-2</v>
      </c>
      <c r="N45" s="5">
        <f>AVERAGE(D45:D$66)</f>
        <v>1.6131818181818188E-2</v>
      </c>
      <c r="O45" s="5">
        <f>AVERAGE(E45:E$66)</f>
        <v>1.7222727272727275E-2</v>
      </c>
      <c r="P45" s="5">
        <f>AVERAGE(F45:F$66)</f>
        <v>1.6572727272727281E-2</v>
      </c>
      <c r="R45" s="40">
        <v>2007</v>
      </c>
      <c r="S45" s="41">
        <v>3</v>
      </c>
      <c r="T45" s="41">
        <v>8.65</v>
      </c>
      <c r="U45" s="41">
        <v>8.06</v>
      </c>
      <c r="V45" s="41">
        <v>9.94</v>
      </c>
      <c r="W45" s="42">
        <v>5.8</v>
      </c>
    </row>
    <row r="46" spans="1:23" ht="14.25">
      <c r="A46" s="10" t="s">
        <v>1273</v>
      </c>
      <c r="B46" s="14">
        <f t="shared" si="0"/>
        <v>3.6699999999999997E-2</v>
      </c>
      <c r="C46" s="14">
        <f t="shared" si="1"/>
        <v>2.3199999999999998E-2</v>
      </c>
      <c r="D46" s="14">
        <f t="shared" si="2"/>
        <v>2.3199999999999998E-2</v>
      </c>
      <c r="E46" s="5">
        <f t="shared" si="3"/>
        <v>5.0199999999999995E-2</v>
      </c>
      <c r="F46" s="15">
        <f t="shared" si="4"/>
        <v>6.7099999999999993E-2</v>
      </c>
      <c r="L46" s="13">
        <f>AVERAGE(B46:B$66)</f>
        <v>1.4095238095238095E-2</v>
      </c>
      <c r="M46" s="5">
        <f>AVERAGE(C46:C$66)</f>
        <v>1.3061904761904766E-2</v>
      </c>
      <c r="N46" s="5">
        <f>AVERAGE(D46:D$66)</f>
        <v>1.3061904761904766E-2</v>
      </c>
      <c r="O46" s="5">
        <f>AVERAGE(E46:E$66)</f>
        <v>1.3309523809523813E-2</v>
      </c>
      <c r="P46" s="5">
        <f>AVERAGE(F46:F$66)</f>
        <v>1.4600000000000007E-2</v>
      </c>
      <c r="R46" s="34">
        <v>2007</v>
      </c>
      <c r="S46" s="35">
        <v>2</v>
      </c>
      <c r="T46" s="35">
        <v>3.67</v>
      </c>
      <c r="U46" s="35">
        <v>2.3199999999999998</v>
      </c>
      <c r="V46" s="35">
        <v>5.0199999999999996</v>
      </c>
      <c r="W46" s="36">
        <v>6.71</v>
      </c>
    </row>
    <row r="47" spans="1:23" ht="14.25">
      <c r="A47" s="10" t="s">
        <v>1274</v>
      </c>
      <c r="B47" s="14">
        <f t="shared" si="0"/>
        <v>3.5799999999999998E-2</v>
      </c>
      <c r="C47" s="14">
        <f t="shared" si="1"/>
        <v>3.0800000000000001E-2</v>
      </c>
      <c r="D47" s="14">
        <f t="shared" si="2"/>
        <v>3.0800000000000001E-2</v>
      </c>
      <c r="E47" s="5">
        <f t="shared" si="3"/>
        <v>4.3400000000000001E-2</v>
      </c>
      <c r="F47" s="15">
        <f t="shared" si="4"/>
        <v>3.2099999999999997E-2</v>
      </c>
      <c r="L47" s="13">
        <f>AVERAGE(B47:B$66)</f>
        <v>1.2964999999999999E-2</v>
      </c>
      <c r="M47" s="5">
        <f>AVERAGE(C47:C$66)</f>
        <v>1.2555000000000002E-2</v>
      </c>
      <c r="N47" s="5">
        <f>AVERAGE(D47:D$66)</f>
        <v>1.2555000000000002E-2</v>
      </c>
      <c r="O47" s="5">
        <f>AVERAGE(E47:E$66)</f>
        <v>1.1465000000000001E-2</v>
      </c>
      <c r="P47" s="5">
        <f>AVERAGE(F47:F$66)</f>
        <v>1.1974999999999996E-2</v>
      </c>
      <c r="R47" s="31">
        <v>2007</v>
      </c>
      <c r="S47" s="32">
        <v>1</v>
      </c>
      <c r="T47" s="32">
        <v>3.58</v>
      </c>
      <c r="U47" s="32">
        <v>3.08</v>
      </c>
      <c r="V47" s="32">
        <v>4.34</v>
      </c>
      <c r="W47" s="33">
        <v>3.21</v>
      </c>
    </row>
    <row r="48" spans="1:23" ht="14.25">
      <c r="A48" s="10" t="s">
        <v>1275</v>
      </c>
      <c r="B48" s="14">
        <f t="shared" si="0"/>
        <v>3.7900000000000003E-2</v>
      </c>
      <c r="C48" s="14">
        <f t="shared" si="1"/>
        <v>2.2099999999999998E-2</v>
      </c>
      <c r="D48" s="14">
        <f t="shared" si="2"/>
        <v>2.2099999999999998E-2</v>
      </c>
      <c r="E48" s="5">
        <f t="shared" si="3"/>
        <v>5.6500000000000002E-2</v>
      </c>
      <c r="F48" s="15">
        <f t="shared" si="4"/>
        <v>5.4100000000000002E-2</v>
      </c>
      <c r="L48" s="13">
        <f>AVERAGE(B48:B$66)</f>
        <v>1.1763157894736843E-2</v>
      </c>
      <c r="M48" s="5">
        <f>AVERAGE(C48:C$66)</f>
        <v>1.1594736842105264E-2</v>
      </c>
      <c r="N48" s="5">
        <f>AVERAGE(D48:D$66)</f>
        <v>1.1594736842105264E-2</v>
      </c>
      <c r="O48" s="5">
        <f>AVERAGE(E48:E$66)</f>
        <v>9.7842105263157893E-3</v>
      </c>
      <c r="P48" s="5">
        <f>AVERAGE(F48:F$66)</f>
        <v>1.0915789473684207E-2</v>
      </c>
      <c r="R48" s="37">
        <v>2006</v>
      </c>
      <c r="S48" s="38">
        <v>4</v>
      </c>
      <c r="T48" s="38">
        <v>3.79</v>
      </c>
      <c r="U48" s="38">
        <v>2.21</v>
      </c>
      <c r="V48" s="38">
        <v>5.65</v>
      </c>
      <c r="W48" s="39">
        <v>5.41</v>
      </c>
    </row>
    <row r="49" spans="1:28" ht="14.25">
      <c r="A49" s="10" t="s">
        <v>1276</v>
      </c>
      <c r="B49" s="14">
        <f t="shared" si="0"/>
        <v>9.1999999999999998E-3</v>
      </c>
      <c r="C49" s="14">
        <f t="shared" si="1"/>
        <v>1.0800000000000001E-2</v>
      </c>
      <c r="D49" s="14">
        <f t="shared" si="2"/>
        <v>1.0800000000000001E-2</v>
      </c>
      <c r="E49" s="5">
        <f t="shared" si="3"/>
        <v>7.3000000000000001E-3</v>
      </c>
      <c r="F49" s="15">
        <f t="shared" si="4"/>
        <v>1.0800000000000001E-2</v>
      </c>
      <c r="L49" s="13">
        <f>AVERAGE(B49:B$66)</f>
        <v>1.0311111111111111E-2</v>
      </c>
      <c r="M49" s="5">
        <f>AVERAGE(C49:C$66)</f>
        <v>1.101111111111111E-2</v>
      </c>
      <c r="N49" s="5">
        <f>AVERAGE(D49:D$66)</f>
        <v>1.101111111111111E-2</v>
      </c>
      <c r="O49" s="5">
        <f>AVERAGE(E49:E$66)</f>
        <v>7.1888888888888896E-3</v>
      </c>
      <c r="P49" s="5">
        <f>AVERAGE(F49:F$66)</f>
        <v>8.5166666666666654E-3</v>
      </c>
      <c r="R49" s="40">
        <v>2006</v>
      </c>
      <c r="S49" s="41">
        <v>3</v>
      </c>
      <c r="T49" s="41">
        <v>0.92</v>
      </c>
      <c r="U49" s="41">
        <v>1.08</v>
      </c>
      <c r="V49" s="41">
        <v>0.73</v>
      </c>
      <c r="W49" s="42">
        <v>1.08</v>
      </c>
    </row>
    <row r="50" spans="1:28" ht="14.25">
      <c r="A50" s="10" t="s">
        <v>1277</v>
      </c>
      <c r="B50" s="14">
        <f t="shared" si="0"/>
        <v>9.5999999999999992E-3</v>
      </c>
      <c r="C50" s="14">
        <f t="shared" si="1"/>
        <v>2.5000000000000001E-3</v>
      </c>
      <c r="D50" s="14">
        <f t="shared" si="2"/>
        <v>2.5000000000000001E-3</v>
      </c>
      <c r="E50" s="5">
        <f t="shared" si="3"/>
        <v>1.9E-2</v>
      </c>
      <c r="F50" s="15">
        <f t="shared" si="4"/>
        <v>9.4999999999999998E-3</v>
      </c>
      <c r="L50" s="13">
        <f>AVERAGE(B50:B$66)</f>
        <v>1.0376470588235294E-2</v>
      </c>
      <c r="M50" s="5">
        <f>AVERAGE(C50:C$66)</f>
        <v>1.1023529411764706E-2</v>
      </c>
      <c r="N50" s="5">
        <f>AVERAGE(D50:D$66)</f>
        <v>1.1023529411764706E-2</v>
      </c>
      <c r="O50" s="5">
        <f>AVERAGE(E50:E$66)</f>
        <v>7.1823529411764704E-3</v>
      </c>
      <c r="P50" s="5">
        <f>AVERAGE(F50:F$66)</f>
        <v>8.382352941176471E-3</v>
      </c>
      <c r="R50" s="34">
        <v>2006</v>
      </c>
      <c r="S50" s="35">
        <v>2</v>
      </c>
      <c r="T50" s="35">
        <v>0.96</v>
      </c>
      <c r="U50" s="35">
        <v>0.25</v>
      </c>
      <c r="V50" s="35">
        <v>1.9</v>
      </c>
      <c r="W50" s="36">
        <v>0.95</v>
      </c>
    </row>
    <row r="51" spans="1:28" ht="14.25">
      <c r="A51" s="10" t="s">
        <v>1278</v>
      </c>
      <c r="B51" s="14">
        <f t="shared" si="0"/>
        <v>2.29E-2</v>
      </c>
      <c r="C51" s="14">
        <f t="shared" si="1"/>
        <v>3.7200000000000004E-2</v>
      </c>
      <c r="D51" s="14">
        <f t="shared" si="2"/>
        <v>3.7200000000000004E-2</v>
      </c>
      <c r="E51" s="5">
        <f t="shared" si="3"/>
        <v>7.4999999999999997E-3</v>
      </c>
      <c r="F51" s="15">
        <f t="shared" si="4"/>
        <v>4.0000000000000002E-4</v>
      </c>
      <c r="L51" s="13">
        <f>AVERAGE(B51:B$66)</f>
        <v>1.0425E-2</v>
      </c>
      <c r="M51" s="5">
        <f>AVERAGE(C51:C$66)</f>
        <v>1.1556250000000001E-2</v>
      </c>
      <c r="N51" s="5">
        <f>AVERAGE(D51:D$66)</f>
        <v>1.1556250000000001E-2</v>
      </c>
      <c r="O51" s="5">
        <f>AVERAGE(E51:E$66)</f>
        <v>6.4437499999999998E-3</v>
      </c>
      <c r="P51" s="5">
        <f>AVERAGE(F51:F$66)</f>
        <v>8.3125000000000022E-3</v>
      </c>
      <c r="R51" s="31">
        <v>2006</v>
      </c>
      <c r="S51" s="32">
        <v>1</v>
      </c>
      <c r="T51" s="32">
        <v>2.29</v>
      </c>
      <c r="U51" s="32">
        <v>3.72</v>
      </c>
      <c r="V51" s="32">
        <v>0.75</v>
      </c>
      <c r="W51" s="33">
        <v>0.04</v>
      </c>
    </row>
    <row r="52" spans="1:28" ht="14.25">
      <c r="A52" s="10" t="s">
        <v>1279</v>
      </c>
      <c r="B52" s="14">
        <f t="shared" si="0"/>
        <v>3.2899999999999999E-2</v>
      </c>
      <c r="C52" s="14">
        <f t="shared" si="1"/>
        <v>1.44E-2</v>
      </c>
      <c r="D52" s="14">
        <f t="shared" si="2"/>
        <v>1.44E-2</v>
      </c>
      <c r="E52" s="5">
        <f t="shared" si="3"/>
        <v>6.6E-3</v>
      </c>
      <c r="F52" s="15">
        <f t="shared" si="4"/>
        <v>7.7800000000000008E-2</v>
      </c>
      <c r="L52" s="13">
        <f>AVERAGE(B52:B$66)</f>
        <v>9.5933333333333357E-3</v>
      </c>
      <c r="M52" s="5">
        <f>AVERAGE(C52:C$66)</f>
        <v>9.8466666666666668E-3</v>
      </c>
      <c r="N52" s="5">
        <f>AVERAGE(D52:D$66)</f>
        <v>9.8466666666666668E-3</v>
      </c>
      <c r="O52" s="5">
        <f>AVERAGE(E52:E$66)</f>
        <v>6.3733333333333324E-3</v>
      </c>
      <c r="P52" s="5">
        <f>AVERAGE(F52:F$66)</f>
        <v>8.8400000000000024E-3</v>
      </c>
      <c r="R52" s="37">
        <v>2005</v>
      </c>
      <c r="S52" s="38">
        <v>4</v>
      </c>
      <c r="T52" s="38">
        <v>3.29</v>
      </c>
      <c r="U52" s="38">
        <v>1.44</v>
      </c>
      <c r="V52" s="38">
        <v>0.66</v>
      </c>
      <c r="W52" s="39">
        <v>7.78</v>
      </c>
    </row>
    <row r="53" spans="1:28" ht="14.25">
      <c r="A53" s="10" t="s">
        <v>1280</v>
      </c>
      <c r="B53" s="14">
        <f t="shared" si="0"/>
        <v>4.5999999999999999E-3</v>
      </c>
      <c r="C53" s="14">
        <f t="shared" si="1"/>
        <v>3.2000000000000002E-3</v>
      </c>
      <c r="D53" s="14">
        <f t="shared" si="2"/>
        <v>3.2000000000000002E-3</v>
      </c>
      <c r="E53" s="5">
        <f t="shared" si="3"/>
        <v>4.1999999999999997E-3</v>
      </c>
      <c r="F53" s="15">
        <f t="shared" si="4"/>
        <v>6.4000000000000003E-3</v>
      </c>
      <c r="L53" s="13">
        <f>AVERAGE(B53:B$66)</f>
        <v>7.9285714285714289E-3</v>
      </c>
      <c r="M53" s="5">
        <f>AVERAGE(C53:C$66)</f>
        <v>9.5214285714285713E-3</v>
      </c>
      <c r="N53" s="5">
        <f>AVERAGE(D53:D$66)</f>
        <v>9.5214285714285713E-3</v>
      </c>
      <c r="O53" s="5">
        <f>AVERAGE(E53:E$66)</f>
        <v>6.3571428571428555E-3</v>
      </c>
      <c r="P53" s="5">
        <f>AVERAGE(F53:F$66)</f>
        <v>3.9142857142857148E-3</v>
      </c>
      <c r="R53" s="40">
        <v>2005</v>
      </c>
      <c r="S53" s="41">
        <v>3</v>
      </c>
      <c r="T53" s="41">
        <v>0.46</v>
      </c>
      <c r="U53" s="41">
        <v>0.32</v>
      </c>
      <c r="V53" s="41">
        <v>0.42</v>
      </c>
      <c r="W53" s="42">
        <v>0.64</v>
      </c>
    </row>
    <row r="54" spans="1:28" ht="14.25">
      <c r="A54" s="10" t="s">
        <v>1281</v>
      </c>
      <c r="B54" s="14">
        <f t="shared" si="0"/>
        <v>4.6999999999999993E-3</v>
      </c>
      <c r="C54" s="14">
        <f t="shared" si="1"/>
        <v>1E-3</v>
      </c>
      <c r="D54" s="14">
        <f t="shared" si="2"/>
        <v>1E-3</v>
      </c>
      <c r="E54" s="5">
        <f t="shared" si="3"/>
        <v>5.1999999999999998E-3</v>
      </c>
      <c r="F54" s="15">
        <f t="shared" si="4"/>
        <v>7.9000000000000008E-3</v>
      </c>
      <c r="L54" s="13">
        <f>AVERAGE(B54:B$66)</f>
        <v>8.1846153846153839E-3</v>
      </c>
      <c r="M54" s="5">
        <f>AVERAGE(C54:C$66)</f>
        <v>1.0007692307692308E-2</v>
      </c>
      <c r="N54" s="5">
        <f>AVERAGE(D54:D$66)</f>
        <v>1.0007692307692308E-2</v>
      </c>
      <c r="O54" s="5">
        <f>AVERAGE(E54:E$66)</f>
        <v>6.5230769230769222E-3</v>
      </c>
      <c r="P54" s="5">
        <f>AVERAGE(F54:F$66)</f>
        <v>3.7230769230769231E-3</v>
      </c>
      <c r="R54" s="34">
        <v>2005</v>
      </c>
      <c r="S54" s="35">
        <v>2</v>
      </c>
      <c r="T54" s="35">
        <v>0.47</v>
      </c>
      <c r="U54" s="35">
        <v>0.1</v>
      </c>
      <c r="V54" s="35">
        <v>0.52</v>
      </c>
      <c r="W54" s="36">
        <v>0.79</v>
      </c>
    </row>
    <row r="55" spans="1:28" ht="14.25">
      <c r="A55" s="10" t="s">
        <v>1282</v>
      </c>
      <c r="B55" s="14">
        <f t="shared" si="0"/>
        <v>4.3E-3</v>
      </c>
      <c r="C55" s="14">
        <f t="shared" si="1"/>
        <v>3.7000000000000002E-3</v>
      </c>
      <c r="D55" s="14">
        <f t="shared" si="2"/>
        <v>3.7000000000000002E-3</v>
      </c>
      <c r="E55" s="5">
        <f t="shared" si="3"/>
        <v>3.7000000000000002E-3</v>
      </c>
      <c r="F55" s="15">
        <f t="shared" si="4"/>
        <v>5.5000000000000005E-3</v>
      </c>
      <c r="L55" s="13">
        <f>AVERAGE(B55:B$66)</f>
        <v>8.4749999999999999E-3</v>
      </c>
      <c r="M55" s="5">
        <f>AVERAGE(C55:C$66)</f>
        <v>1.0758333333333333E-2</v>
      </c>
      <c r="N55" s="5">
        <f>AVERAGE(D55:D$66)</f>
        <v>1.0758333333333333E-2</v>
      </c>
      <c r="O55" s="5">
        <f>AVERAGE(E55:E$66)</f>
        <v>6.6333333333333322E-3</v>
      </c>
      <c r="P55" s="5">
        <f>AVERAGE(F55:F$66)</f>
        <v>3.375E-3</v>
      </c>
      <c r="R55" s="31">
        <v>2005</v>
      </c>
      <c r="S55" s="32">
        <v>1</v>
      </c>
      <c r="T55" s="32">
        <v>0.43</v>
      </c>
      <c r="U55" s="32">
        <v>0.37</v>
      </c>
      <c r="V55" s="32">
        <v>0.37</v>
      </c>
      <c r="W55" s="33">
        <v>0.55000000000000004</v>
      </c>
    </row>
    <row r="56" spans="1:28" ht="14.25">
      <c r="A56" s="10" t="s">
        <v>1283</v>
      </c>
      <c r="B56" s="14">
        <f t="shared" si="0"/>
        <v>3.3E-3</v>
      </c>
      <c r="C56" s="14">
        <f t="shared" si="1"/>
        <v>5.0000000000000001E-3</v>
      </c>
      <c r="D56" s="14">
        <f t="shared" si="2"/>
        <v>5.0000000000000001E-3</v>
      </c>
      <c r="E56" s="5">
        <f t="shared" si="3"/>
        <v>5.0000000000000001E-3</v>
      </c>
      <c r="F56" s="15">
        <f t="shared" si="4"/>
        <v>0</v>
      </c>
      <c r="L56" s="13">
        <f>AVERAGE(B56:B$66)</f>
        <v>8.8545454545454552E-3</v>
      </c>
      <c r="M56" s="5">
        <f>AVERAGE(C56:C$66)</f>
        <v>1.14E-2</v>
      </c>
      <c r="N56" s="5">
        <f>AVERAGE(D56:D$66)</f>
        <v>1.14E-2</v>
      </c>
      <c r="O56" s="5">
        <f>AVERAGE(E56:E$66)</f>
        <v>6.8999999999999999E-3</v>
      </c>
      <c r="P56" s="5">
        <f>AVERAGE(F56:F$66)</f>
        <v>3.1818181818181819E-3</v>
      </c>
      <c r="R56" s="37">
        <v>2004</v>
      </c>
      <c r="S56" s="38">
        <v>4</v>
      </c>
      <c r="T56" s="38">
        <v>0.33</v>
      </c>
      <c r="U56" s="38">
        <v>0.5</v>
      </c>
      <c r="V56" s="38">
        <v>0.5</v>
      </c>
      <c r="W56" s="39">
        <v>0</v>
      </c>
    </row>
    <row r="57" spans="1:28" ht="14.25">
      <c r="A57" s="10" t="s">
        <v>1284</v>
      </c>
      <c r="B57" s="14">
        <f t="shared" si="0"/>
        <v>5.6000000000000008E-3</v>
      </c>
      <c r="C57" s="14">
        <f t="shared" si="1"/>
        <v>8.0000000000000002E-3</v>
      </c>
      <c r="D57" s="14">
        <f t="shared" si="2"/>
        <v>8.0000000000000002E-3</v>
      </c>
      <c r="E57" s="5">
        <f t="shared" si="3"/>
        <v>8.3000000000000001E-3</v>
      </c>
      <c r="F57" s="15">
        <f t="shared" si="4"/>
        <v>5.9999999999999995E-4</v>
      </c>
      <c r="L57" s="13">
        <f>AVERAGE(B57:B$66)</f>
        <v>9.41E-3</v>
      </c>
      <c r="M57" s="5">
        <f>AVERAGE(C57:C$66)</f>
        <v>1.2039999999999999E-2</v>
      </c>
      <c r="N57" s="5">
        <f>AVERAGE(D57:D$66)</f>
        <v>1.2039999999999999E-2</v>
      </c>
      <c r="O57" s="5">
        <f>AVERAGE(E57:E$66)</f>
        <v>7.0900000000000008E-3</v>
      </c>
      <c r="P57" s="5">
        <f>AVERAGE(F57:F$66)</f>
        <v>3.5000000000000005E-3</v>
      </c>
      <c r="R57" s="40">
        <v>2004</v>
      </c>
      <c r="S57" s="41">
        <v>3</v>
      </c>
      <c r="T57" s="41">
        <v>0.56000000000000005</v>
      </c>
      <c r="U57" s="41">
        <v>0.8</v>
      </c>
      <c r="V57" s="41">
        <v>0.83</v>
      </c>
      <c r="W57" s="42">
        <v>0.06</v>
      </c>
    </row>
    <row r="58" spans="1:28" ht="14.25">
      <c r="A58" s="10" t="s">
        <v>1285</v>
      </c>
      <c r="B58" s="14">
        <f t="shared" si="0"/>
        <v>0.01</v>
      </c>
      <c r="C58" s="14">
        <f t="shared" si="1"/>
        <v>1.4999999999999999E-2</v>
      </c>
      <c r="D58" s="14">
        <f t="shared" si="2"/>
        <v>1.4999999999999999E-2</v>
      </c>
      <c r="E58" s="5">
        <f t="shared" si="3"/>
        <v>1.4999999999999999E-2</v>
      </c>
      <c r="F58" s="15">
        <f t="shared" si="4"/>
        <v>0</v>
      </c>
      <c r="L58" s="13">
        <f>AVERAGE(B58:B$66)</f>
        <v>9.8333333333333328E-3</v>
      </c>
      <c r="M58" s="5">
        <f>AVERAGE(C58:C$66)</f>
        <v>1.248888888888889E-2</v>
      </c>
      <c r="N58" s="5">
        <f>AVERAGE(D58:D$66)</f>
        <v>1.248888888888889E-2</v>
      </c>
      <c r="O58" s="5">
        <f>AVERAGE(E58:E$66)</f>
        <v>6.955555555555556E-3</v>
      </c>
      <c r="P58" s="5">
        <f>AVERAGE(F58:F$66)</f>
        <v>3.8222222222222221E-3</v>
      </c>
      <c r="R58" s="34">
        <v>2004</v>
      </c>
      <c r="S58" s="35">
        <v>2</v>
      </c>
      <c r="T58" s="35">
        <v>1</v>
      </c>
      <c r="U58" s="35">
        <v>1.5</v>
      </c>
      <c r="V58" s="35">
        <v>1.5</v>
      </c>
      <c r="W58" s="36">
        <v>0</v>
      </c>
    </row>
    <row r="59" spans="1:28" ht="14.25">
      <c r="A59" s="10" t="s">
        <v>1286</v>
      </c>
      <c r="B59" s="14">
        <f t="shared" si="0"/>
        <v>3.3E-3</v>
      </c>
      <c r="C59" s="14">
        <f t="shared" si="1"/>
        <v>5.0000000000000001E-3</v>
      </c>
      <c r="D59" s="14">
        <f t="shared" si="2"/>
        <v>5.0000000000000001E-3</v>
      </c>
      <c r="E59" s="5">
        <f t="shared" si="3"/>
        <v>5.0000000000000001E-3</v>
      </c>
      <c r="F59" s="15">
        <f t="shared" si="4"/>
        <v>0</v>
      </c>
      <c r="L59" s="13">
        <f>AVERAGE(B59:B$66)</f>
        <v>9.8125E-3</v>
      </c>
      <c r="M59" s="5">
        <f>AVERAGE(C59:C$66)</f>
        <v>1.2175E-2</v>
      </c>
      <c r="N59" s="5">
        <f>AVERAGE(D59:D$66)</f>
        <v>1.2175E-2</v>
      </c>
      <c r="O59" s="5">
        <f>AVERAGE(E59:E$66)</f>
        <v>5.9499999999999996E-3</v>
      </c>
      <c r="P59" s="5">
        <f>AVERAGE(F59:F$66)</f>
        <v>4.3E-3</v>
      </c>
      <c r="R59" s="55">
        <v>2004</v>
      </c>
      <c r="S59" s="56">
        <v>1</v>
      </c>
      <c r="T59" s="56">
        <v>0.33</v>
      </c>
      <c r="U59" s="56">
        <v>0.5</v>
      </c>
      <c r="V59" s="56">
        <v>0.5</v>
      </c>
      <c r="W59" s="57">
        <v>0</v>
      </c>
      <c r="X59" s="28">
        <v>2004</v>
      </c>
      <c r="Y59" s="29">
        <v>121</v>
      </c>
      <c r="Z59" s="29">
        <v>122</v>
      </c>
      <c r="AA59" s="29">
        <v>124</v>
      </c>
      <c r="AB59" s="30">
        <v>107</v>
      </c>
    </row>
    <row r="60" spans="1:28" ht="14.25">
      <c r="A60" s="10" t="s">
        <v>1287</v>
      </c>
      <c r="B60" s="18">
        <f t="shared" ref="B60:C67" si="6">T60</f>
        <v>1.14E-2</v>
      </c>
      <c r="C60" s="18">
        <f t="shared" si="6"/>
        <v>1.5599999999999999E-2</v>
      </c>
      <c r="D60" s="14">
        <f t="shared" si="2"/>
        <v>1.5599999999999999E-2</v>
      </c>
      <c r="E60" s="18">
        <f t="shared" ref="E60:F67" si="7">V60</f>
        <v>7.0000000000000001E-3</v>
      </c>
      <c r="F60" s="19">
        <f t="shared" si="7"/>
        <v>4.7999999999999996E-3</v>
      </c>
      <c r="L60" s="13">
        <f>AVERAGE(B60:B$66)</f>
        <v>1.0742857142857143E-2</v>
      </c>
      <c r="M60" s="5">
        <f>AVERAGE(C60:C$66)</f>
        <v>1.32E-2</v>
      </c>
      <c r="N60" s="5">
        <f>AVERAGE(D60:D$66)</f>
        <v>1.32E-2</v>
      </c>
      <c r="O60" s="5">
        <f>AVERAGE(E60:E$66)</f>
        <v>6.0857142857142854E-3</v>
      </c>
      <c r="P60" s="5">
        <f>AVERAGE(F60:F$66)</f>
        <v>4.9142857142857139E-3</v>
      </c>
      <c r="R60" s="28">
        <v>2003</v>
      </c>
      <c r="S60" s="38">
        <v>4</v>
      </c>
      <c r="T60" s="58">
        <f>ROUND(Y60/Y61-1,4)</f>
        <v>1.14E-2</v>
      </c>
      <c r="U60" s="58">
        <f t="shared" ref="U60:W60" si="8">ROUND(Z60/Z61-1,4)</f>
        <v>1.5599999999999999E-2</v>
      </c>
      <c r="V60" s="58">
        <f t="shared" si="8"/>
        <v>7.0000000000000001E-3</v>
      </c>
      <c r="W60" s="58">
        <f t="shared" si="8"/>
        <v>4.7999999999999996E-3</v>
      </c>
      <c r="X60" s="31">
        <v>2003</v>
      </c>
      <c r="Y60" s="32">
        <v>111</v>
      </c>
      <c r="Z60" s="32">
        <v>114</v>
      </c>
      <c r="AA60" s="32">
        <v>108</v>
      </c>
      <c r="AB60" s="33">
        <v>104</v>
      </c>
    </row>
    <row r="61" spans="1:28" ht="14.25">
      <c r="A61" s="10" t="s">
        <v>1288</v>
      </c>
      <c r="B61" s="18">
        <f t="shared" si="6"/>
        <v>1.15E-2</v>
      </c>
      <c r="C61" s="18">
        <f t="shared" si="6"/>
        <v>1.5800000000000002E-2</v>
      </c>
      <c r="D61" s="14">
        <f t="shared" si="2"/>
        <v>1.5800000000000002E-2</v>
      </c>
      <c r="E61" s="18">
        <f t="shared" si="7"/>
        <v>7.0000000000000001E-3</v>
      </c>
      <c r="F61" s="19">
        <f t="shared" si="7"/>
        <v>4.8999999999999998E-3</v>
      </c>
      <c r="L61" s="13">
        <f>AVERAGE(B61:B$66)</f>
        <v>1.0633333333333333E-2</v>
      </c>
      <c r="M61" s="5">
        <f>AVERAGE(C61:C$66)</f>
        <v>1.2799999999999999E-2</v>
      </c>
      <c r="N61" s="5">
        <f>AVERAGE(D61:D$66)</f>
        <v>1.2799999999999999E-2</v>
      </c>
      <c r="O61" s="5">
        <f>AVERAGE(E61:E$66)</f>
        <v>5.933333333333333E-3</v>
      </c>
      <c r="P61" s="5">
        <f>AVERAGE(F61:F$66)</f>
        <v>4.9333333333333338E-3</v>
      </c>
      <c r="S61" s="41">
        <v>3</v>
      </c>
      <c r="T61" s="58">
        <f t="shared" ref="T61:T67" si="9">ROUND(Y61/Y62-1,4)</f>
        <v>1.15E-2</v>
      </c>
      <c r="U61" s="58">
        <f t="shared" ref="U61:U67" si="10">ROUND(Z61/Z62-1,4)</f>
        <v>1.5800000000000002E-2</v>
      </c>
      <c r="V61" s="58">
        <f t="shared" ref="V61:V67" si="11">ROUND(AA61/AA62-1,4)</f>
        <v>7.0000000000000001E-3</v>
      </c>
      <c r="W61" s="58">
        <f t="shared" ref="W61:W67" si="12">ROUND(AB61/AB62-1,4)</f>
        <v>4.8999999999999998E-3</v>
      </c>
      <c r="Y61" s="59">
        <f t="shared" ref="Y61:Y63" si="13">Y62+($Y$60-$Y$64)/4</f>
        <v>109.75</v>
      </c>
      <c r="Z61" s="59">
        <f t="shared" ref="Z61:Z63" si="14">Z62+($Z$60-$Z$64)/4</f>
        <v>112.25</v>
      </c>
      <c r="AA61" s="59">
        <f t="shared" ref="AA61:AA63" si="15">AA62+($AA$60-$AA$64)/4</f>
        <v>107.25</v>
      </c>
      <c r="AB61" s="59">
        <f t="shared" ref="AB61:AB63" si="16">AB62+($AB$60-$AB$64)/4</f>
        <v>103.5</v>
      </c>
    </row>
    <row r="62" spans="1:28" ht="14.25">
      <c r="A62" s="10" t="s">
        <v>1289</v>
      </c>
      <c r="B62" s="18">
        <f t="shared" si="6"/>
        <v>1.17E-2</v>
      </c>
      <c r="C62" s="18">
        <f t="shared" si="6"/>
        <v>1.61E-2</v>
      </c>
      <c r="D62" s="14">
        <f t="shared" si="2"/>
        <v>1.61E-2</v>
      </c>
      <c r="E62" s="18">
        <f t="shared" si="7"/>
        <v>7.1000000000000004E-3</v>
      </c>
      <c r="F62" s="19">
        <f t="shared" si="7"/>
        <v>4.8999999999999998E-3</v>
      </c>
      <c r="L62" s="13">
        <f>AVERAGE(B62:B$66)</f>
        <v>1.0460000000000001E-2</v>
      </c>
      <c r="M62" s="5">
        <f>AVERAGE(C62:C$66)</f>
        <v>1.2199999999999999E-2</v>
      </c>
      <c r="N62" s="5">
        <f>AVERAGE(D62:D$66)</f>
        <v>1.2199999999999999E-2</v>
      </c>
      <c r="O62" s="5">
        <f>AVERAGE(E62:E$66)</f>
        <v>5.7199999999999994E-3</v>
      </c>
      <c r="P62" s="5">
        <f>AVERAGE(F62:F$66)</f>
        <v>4.9399999999999999E-3</v>
      </c>
      <c r="S62" s="35">
        <v>2</v>
      </c>
      <c r="T62" s="58">
        <f t="shared" si="9"/>
        <v>1.17E-2</v>
      </c>
      <c r="U62" s="58">
        <f t="shared" si="10"/>
        <v>1.61E-2</v>
      </c>
      <c r="V62" s="58">
        <f t="shared" si="11"/>
        <v>7.1000000000000004E-3</v>
      </c>
      <c r="W62" s="58">
        <f t="shared" si="12"/>
        <v>4.8999999999999998E-3</v>
      </c>
      <c r="Y62" s="59">
        <f t="shared" si="13"/>
        <v>108.5</v>
      </c>
      <c r="Z62" s="59">
        <f t="shared" si="14"/>
        <v>110.5</v>
      </c>
      <c r="AA62" s="59">
        <f t="shared" si="15"/>
        <v>106.5</v>
      </c>
      <c r="AB62" s="59">
        <f t="shared" si="16"/>
        <v>103</v>
      </c>
    </row>
    <row r="63" spans="1:28" ht="14.25">
      <c r="A63" s="10" t="s">
        <v>1290</v>
      </c>
      <c r="B63" s="18">
        <f t="shared" si="6"/>
        <v>1.18E-2</v>
      </c>
      <c r="C63" s="18">
        <f t="shared" si="6"/>
        <v>1.6400000000000001E-2</v>
      </c>
      <c r="D63" s="14">
        <f t="shared" si="2"/>
        <v>1.6400000000000001E-2</v>
      </c>
      <c r="E63" s="18">
        <f t="shared" si="7"/>
        <v>7.1000000000000004E-3</v>
      </c>
      <c r="F63" s="19">
        <f t="shared" si="7"/>
        <v>4.8999999999999998E-3</v>
      </c>
      <c r="L63" s="13">
        <f>AVERAGE(B63:B$66)</f>
        <v>1.0149999999999999E-2</v>
      </c>
      <c r="M63" s="5">
        <f>AVERAGE(C63:C$66)</f>
        <v>1.1225000000000001E-2</v>
      </c>
      <c r="N63" s="5">
        <f>AVERAGE(D63:D$66)</f>
        <v>1.1225000000000001E-2</v>
      </c>
      <c r="O63" s="5">
        <f>AVERAGE(E63:E$66)</f>
        <v>5.3749999999999996E-3</v>
      </c>
      <c r="P63" s="5">
        <f>AVERAGE(F63:F$66)</f>
        <v>4.9500000000000004E-3</v>
      </c>
      <c r="S63" s="56">
        <v>1</v>
      </c>
      <c r="T63" s="58">
        <f t="shared" si="9"/>
        <v>1.18E-2</v>
      </c>
      <c r="U63" s="58">
        <f t="shared" si="10"/>
        <v>1.6400000000000001E-2</v>
      </c>
      <c r="V63" s="58">
        <f t="shared" si="11"/>
        <v>7.1000000000000004E-3</v>
      </c>
      <c r="W63" s="58">
        <f t="shared" si="12"/>
        <v>4.8999999999999998E-3</v>
      </c>
      <c r="Y63" s="59">
        <f t="shared" si="13"/>
        <v>107.25</v>
      </c>
      <c r="Z63" s="59">
        <f t="shared" si="14"/>
        <v>108.75</v>
      </c>
      <c r="AA63" s="59">
        <f t="shared" si="15"/>
        <v>105.75</v>
      </c>
      <c r="AB63" s="59">
        <f t="shared" si="16"/>
        <v>102.5</v>
      </c>
    </row>
    <row r="64" spans="1:28" ht="14.25">
      <c r="A64" s="10" t="s">
        <v>1291</v>
      </c>
      <c r="B64" s="18">
        <f t="shared" si="6"/>
        <v>9.4999999999999998E-3</v>
      </c>
      <c r="C64" s="18">
        <f t="shared" si="6"/>
        <v>9.4000000000000004E-3</v>
      </c>
      <c r="D64" s="14">
        <f t="shared" si="2"/>
        <v>9.4000000000000004E-3</v>
      </c>
      <c r="E64" s="18">
        <f t="shared" si="7"/>
        <v>4.7999999999999996E-3</v>
      </c>
      <c r="F64" s="19">
        <f t="shared" si="7"/>
        <v>4.8999999999999998E-3</v>
      </c>
      <c r="L64" s="13">
        <f>AVERAGE(B64:B$66)</f>
        <v>9.5999999999999992E-3</v>
      </c>
      <c r="M64" s="5">
        <f>AVERAGE(C64:C$66)</f>
        <v>9.4999999999999998E-3</v>
      </c>
      <c r="N64" s="5">
        <f>AVERAGE(D64:D$66)</f>
        <v>9.4999999999999998E-3</v>
      </c>
      <c r="O64" s="5">
        <f>AVERAGE(E64:E$66)</f>
        <v>4.7999999999999996E-3</v>
      </c>
      <c r="P64" s="5">
        <f>AVERAGE(F64:F$66)</f>
        <v>4.966666666666667E-3</v>
      </c>
      <c r="R64" s="31">
        <v>2002</v>
      </c>
      <c r="S64" s="38">
        <v>4</v>
      </c>
      <c r="T64" s="58">
        <f t="shared" si="9"/>
        <v>9.4999999999999998E-3</v>
      </c>
      <c r="U64" s="58">
        <f t="shared" si="10"/>
        <v>9.4000000000000004E-3</v>
      </c>
      <c r="V64" s="58">
        <f t="shared" si="11"/>
        <v>4.7999999999999996E-3</v>
      </c>
      <c r="W64" s="58">
        <f t="shared" si="12"/>
        <v>4.8999999999999998E-3</v>
      </c>
      <c r="X64" s="34">
        <v>2002</v>
      </c>
      <c r="Y64" s="35">
        <v>106</v>
      </c>
      <c r="Z64" s="35">
        <v>107</v>
      </c>
      <c r="AA64" s="35">
        <v>105</v>
      </c>
      <c r="AB64" s="36">
        <v>102</v>
      </c>
    </row>
    <row r="65" spans="1:28" ht="14.25">
      <c r="A65" s="10" t="s">
        <v>1292</v>
      </c>
      <c r="B65" s="18">
        <f t="shared" si="6"/>
        <v>9.5999999999999992E-3</v>
      </c>
      <c r="C65" s="18">
        <f t="shared" si="6"/>
        <v>9.4999999999999998E-3</v>
      </c>
      <c r="D65" s="14">
        <f t="shared" si="2"/>
        <v>9.4999999999999998E-3</v>
      </c>
      <c r="E65" s="18">
        <f t="shared" si="7"/>
        <v>4.7999999999999996E-3</v>
      </c>
      <c r="F65" s="19">
        <f t="shared" si="7"/>
        <v>5.0000000000000001E-3</v>
      </c>
      <c r="L65" s="13">
        <f>AVERAGE(B65:B$66)</f>
        <v>9.6499999999999989E-3</v>
      </c>
      <c r="M65" s="5">
        <f>AVERAGE(C65:C$66)</f>
        <v>9.5499999999999995E-3</v>
      </c>
      <c r="N65" s="5">
        <f>AVERAGE(D65:D$66)</f>
        <v>9.5499999999999995E-3</v>
      </c>
      <c r="O65" s="5">
        <f>AVERAGE(E65:E$66)</f>
        <v>4.7999999999999996E-3</v>
      </c>
      <c r="P65" s="5">
        <f>AVERAGE(F65:F$66)</f>
        <v>5.0000000000000001E-3</v>
      </c>
      <c r="S65" s="41">
        <v>3</v>
      </c>
      <c r="T65" s="58">
        <f t="shared" si="9"/>
        <v>9.5999999999999992E-3</v>
      </c>
      <c r="U65" s="58">
        <f t="shared" si="10"/>
        <v>9.4999999999999998E-3</v>
      </c>
      <c r="V65" s="58">
        <f t="shared" si="11"/>
        <v>4.7999999999999996E-3</v>
      </c>
      <c r="W65" s="58">
        <f t="shared" si="12"/>
        <v>5.0000000000000001E-3</v>
      </c>
      <c r="Y65" s="59">
        <f t="shared" ref="Y65:AB67" si="17">Y66+(Y$64-Y$68)/4</f>
        <v>105</v>
      </c>
      <c r="Z65" s="59">
        <f t="shared" si="17"/>
        <v>106</v>
      </c>
      <c r="AA65" s="59">
        <f t="shared" si="17"/>
        <v>104.5</v>
      </c>
      <c r="AB65" s="59">
        <f t="shared" si="17"/>
        <v>101.5</v>
      </c>
    </row>
    <row r="66" spans="1:28" ht="14.25">
      <c r="A66" s="10" t="s">
        <v>1293</v>
      </c>
      <c r="B66" s="18">
        <f t="shared" si="6"/>
        <v>9.7000000000000003E-3</v>
      </c>
      <c r="C66" s="18">
        <f t="shared" si="6"/>
        <v>9.5999999999999992E-3</v>
      </c>
      <c r="D66" s="14">
        <f t="shared" si="2"/>
        <v>9.5999999999999992E-3</v>
      </c>
      <c r="E66" s="18">
        <f t="shared" si="7"/>
        <v>4.7999999999999996E-3</v>
      </c>
      <c r="F66" s="19">
        <f t="shared" si="7"/>
        <v>5.0000000000000001E-3</v>
      </c>
      <c r="L66" s="13">
        <f>B66</f>
        <v>9.7000000000000003E-3</v>
      </c>
      <c r="M66" s="5">
        <f t="shared" ref="M66:P66" si="18">C66</f>
        <v>9.5999999999999992E-3</v>
      </c>
      <c r="N66" s="5">
        <f t="shared" si="18"/>
        <v>9.5999999999999992E-3</v>
      </c>
      <c r="O66" s="5">
        <f t="shared" si="18"/>
        <v>4.7999999999999996E-3</v>
      </c>
      <c r="P66" s="5">
        <f t="shared" si="18"/>
        <v>5.0000000000000001E-3</v>
      </c>
      <c r="S66" s="35">
        <v>2</v>
      </c>
      <c r="T66" s="58">
        <f t="shared" si="9"/>
        <v>9.7000000000000003E-3</v>
      </c>
      <c r="U66" s="58">
        <f t="shared" si="10"/>
        <v>9.5999999999999992E-3</v>
      </c>
      <c r="V66" s="58">
        <f t="shared" si="11"/>
        <v>4.7999999999999996E-3</v>
      </c>
      <c r="W66" s="58">
        <f t="shared" si="12"/>
        <v>5.0000000000000001E-3</v>
      </c>
      <c r="Y66" s="59">
        <f t="shared" si="17"/>
        <v>104</v>
      </c>
      <c r="Z66" s="59">
        <f t="shared" si="17"/>
        <v>105</v>
      </c>
      <c r="AA66" s="59">
        <f t="shared" si="17"/>
        <v>104</v>
      </c>
      <c r="AB66" s="59">
        <f t="shared" si="17"/>
        <v>101</v>
      </c>
    </row>
    <row r="67" spans="1:28" ht="14.25">
      <c r="A67" s="10" t="s">
        <v>1294</v>
      </c>
      <c r="B67" s="18">
        <f t="shared" si="6"/>
        <v>9.7999999999999997E-3</v>
      </c>
      <c r="C67" s="18">
        <f t="shared" si="6"/>
        <v>9.7000000000000003E-3</v>
      </c>
      <c r="D67" s="14">
        <f t="shared" si="2"/>
        <v>9.7000000000000003E-3</v>
      </c>
      <c r="E67" s="18">
        <f t="shared" si="7"/>
        <v>4.8999999999999998E-3</v>
      </c>
      <c r="F67" s="19">
        <f t="shared" si="7"/>
        <v>5.0000000000000001E-3</v>
      </c>
      <c r="L67" s="16">
        <v>0</v>
      </c>
      <c r="M67" s="17">
        <v>0</v>
      </c>
      <c r="N67" s="17">
        <v>0</v>
      </c>
      <c r="O67" s="17">
        <v>0</v>
      </c>
      <c r="P67" s="17">
        <v>0</v>
      </c>
      <c r="S67" s="56">
        <v>1</v>
      </c>
      <c r="T67" s="58">
        <f t="shared" si="9"/>
        <v>9.7999999999999997E-3</v>
      </c>
      <c r="U67" s="58">
        <f t="shared" si="10"/>
        <v>9.7000000000000003E-3</v>
      </c>
      <c r="V67" s="58">
        <f t="shared" si="11"/>
        <v>4.8999999999999998E-3</v>
      </c>
      <c r="W67" s="58">
        <f t="shared" si="12"/>
        <v>5.0000000000000001E-3</v>
      </c>
      <c r="Y67" s="59">
        <f t="shared" si="17"/>
        <v>103</v>
      </c>
      <c r="Z67" s="59">
        <f t="shared" si="17"/>
        <v>104</v>
      </c>
      <c r="AA67" s="59">
        <f t="shared" si="17"/>
        <v>103.5</v>
      </c>
      <c r="AB67" s="59">
        <f t="shared" si="17"/>
        <v>100.5</v>
      </c>
    </row>
    <row r="68" spans="1:28">
      <c r="X68" s="31">
        <v>2001</v>
      </c>
      <c r="Y68" s="32">
        <v>102</v>
      </c>
      <c r="Z68" s="32">
        <v>103</v>
      </c>
      <c r="AA68" s="32">
        <v>103</v>
      </c>
      <c r="AB68" s="33">
        <v>100</v>
      </c>
    </row>
    <row r="70" spans="1:28">
      <c r="A70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8.75"/>
  <cols>
    <col min="1" max="1" width="9.5" style="1569" customWidth="1"/>
    <col min="2" max="2" width="30" style="1570" customWidth="1"/>
    <col min="3" max="3" width="45.5" style="1570" customWidth="1"/>
    <col min="4" max="4" width="2.625" style="1570" customWidth="1"/>
    <col min="5" max="5" width="5.875" style="1570" customWidth="1"/>
    <col min="6" max="6" width="30.25" style="1570" customWidth="1"/>
    <col min="7" max="7" width="41.875" style="1570" customWidth="1"/>
    <col min="8" max="8" width="11.875" style="1571" customWidth="1"/>
    <col min="9" max="9" width="16.75" style="1571" customWidth="1"/>
    <col min="10" max="10" width="2.625" style="1571" customWidth="1"/>
    <col min="11" max="11" width="11.875" style="1571" customWidth="1"/>
    <col min="12" max="12" width="16.75" style="1571" customWidth="1"/>
    <col min="13" max="13" width="2.625" style="1571" customWidth="1"/>
    <col min="14" max="14" width="11.875" style="1571" customWidth="1"/>
    <col min="15" max="15" width="16.75" style="1571" customWidth="1"/>
    <col min="16" max="16" width="2.625" style="1571" customWidth="1"/>
    <col min="17" max="17" width="11.875" style="1571" customWidth="1"/>
    <col min="18" max="18" width="16.75" style="1568" customWidth="1"/>
    <col min="19" max="29" width="9" style="1568"/>
    <col min="30" max="16384" width="9" style="1569"/>
  </cols>
  <sheetData>
    <row r="1" spans="1:17">
      <c r="A1" s="1572" t="s">
        <v>135</v>
      </c>
      <c r="B1" s="1573"/>
      <c r="C1" s="1573"/>
      <c r="D1" s="1574"/>
      <c r="E1" s="1573"/>
      <c r="F1" s="1573"/>
      <c r="G1" s="1573"/>
    </row>
    <row r="2" spans="1:17">
      <c r="A2" s="1575"/>
      <c r="B2" s="1576"/>
      <c r="C2" s="1577" t="s">
        <v>136</v>
      </c>
      <c r="D2" s="1578"/>
      <c r="E2" s="1579"/>
      <c r="F2" s="1579"/>
      <c r="G2" s="1580" t="s">
        <v>137</v>
      </c>
    </row>
    <row r="3" spans="1:17" ht="75">
      <c r="A3" s="1581" t="s">
        <v>138</v>
      </c>
      <c r="B3" s="1582" t="s">
        <v>139</v>
      </c>
      <c r="C3" s="1583" t="s">
        <v>140</v>
      </c>
      <c r="D3" s="1578"/>
      <c r="E3" s="1584" t="s">
        <v>138</v>
      </c>
      <c r="F3" s="1582" t="s">
        <v>141</v>
      </c>
      <c r="G3" s="1585" t="s">
        <v>142</v>
      </c>
    </row>
    <row r="4" spans="1:17" ht="56.25">
      <c r="A4" s="1586"/>
      <c r="B4" s="1587" t="s">
        <v>143</v>
      </c>
      <c r="C4" s="1588" t="s">
        <v>144</v>
      </c>
      <c r="D4" s="1578"/>
      <c r="E4" s="1589"/>
      <c r="F4" s="1590" t="s">
        <v>145</v>
      </c>
      <c r="G4" s="1591" t="s">
        <v>146</v>
      </c>
    </row>
    <row r="5" spans="1:17" ht="37.5">
      <c r="A5" s="1586"/>
      <c r="B5" s="1587" t="s">
        <v>147</v>
      </c>
      <c r="C5" s="1588" t="s">
        <v>148</v>
      </c>
      <c r="D5" s="1592"/>
      <c r="E5" s="1589"/>
      <c r="F5" s="1590" t="s">
        <v>38</v>
      </c>
      <c r="G5" s="1593" t="s">
        <v>149</v>
      </c>
    </row>
    <row r="6" spans="1:17" ht="56.25">
      <c r="A6" s="1586"/>
      <c r="B6" s="1590" t="s">
        <v>145</v>
      </c>
      <c r="C6" s="1591" t="s">
        <v>146</v>
      </c>
      <c r="D6" s="1592"/>
      <c r="E6" s="1589"/>
      <c r="F6" s="1590" t="s">
        <v>150</v>
      </c>
      <c r="G6" s="1591" t="s">
        <v>151</v>
      </c>
    </row>
    <row r="7" spans="1:17" ht="37.5">
      <c r="A7" s="1586"/>
      <c r="B7" s="1590" t="s">
        <v>38</v>
      </c>
      <c r="C7" s="1593" t="s">
        <v>149</v>
      </c>
      <c r="D7" s="1578"/>
      <c r="E7" s="1589"/>
      <c r="F7" s="1594" t="s">
        <v>39</v>
      </c>
      <c r="G7" s="1585" t="s">
        <v>152</v>
      </c>
    </row>
    <row r="8" spans="1:17" ht="37.5">
      <c r="A8" s="1586"/>
      <c r="B8" s="1590" t="s">
        <v>153</v>
      </c>
      <c r="C8" s="1588" t="s">
        <v>154</v>
      </c>
      <c r="D8" s="1592"/>
      <c r="E8" s="1589"/>
      <c r="F8" s="1594" t="s">
        <v>40</v>
      </c>
      <c r="G8" s="1591" t="s">
        <v>155</v>
      </c>
    </row>
    <row r="9" spans="1:17" ht="37.5">
      <c r="A9" s="1586"/>
      <c r="B9" s="1594" t="s">
        <v>39</v>
      </c>
      <c r="C9" s="1591" t="s">
        <v>152</v>
      </c>
      <c r="D9" s="1578"/>
      <c r="E9" s="1589"/>
      <c r="F9" s="1590" t="s">
        <v>156</v>
      </c>
      <c r="G9" s="1595"/>
    </row>
    <row r="10" spans="1:17">
      <c r="A10" s="1586"/>
      <c r="B10" s="1594" t="s">
        <v>40</v>
      </c>
      <c r="C10" s="1591" t="s">
        <v>155</v>
      </c>
      <c r="D10" s="1578"/>
      <c r="E10" s="1589"/>
      <c r="F10" s="1590" t="s">
        <v>157</v>
      </c>
      <c r="G10" s="1593"/>
    </row>
    <row r="11" spans="1:17" s="1568" customFormat="1">
      <c r="A11" s="1586"/>
      <c r="B11" s="1590" t="s">
        <v>156</v>
      </c>
      <c r="C11" s="1595"/>
      <c r="D11" s="1571"/>
      <c r="E11" s="1596"/>
      <c r="F11" s="1597" t="s">
        <v>25</v>
      </c>
      <c r="G11" s="1598"/>
      <c r="H11" s="1571"/>
      <c r="I11" s="1571"/>
      <c r="J11" s="1571"/>
      <c r="K11" s="1571"/>
      <c r="L11" s="1571"/>
      <c r="M11" s="1571"/>
      <c r="N11" s="1571"/>
      <c r="O11" s="1571"/>
      <c r="P11" s="1571"/>
      <c r="Q11" s="1571"/>
    </row>
    <row r="12" spans="1:17" s="1568" customFormat="1">
      <c r="A12" s="1599"/>
      <c r="B12" s="1597" t="s">
        <v>157</v>
      </c>
      <c r="C12" s="1600"/>
      <c r="D12" s="1571"/>
      <c r="E12" s="1592"/>
      <c r="F12" s="1592"/>
      <c r="G12" s="1592"/>
      <c r="H12" s="1571"/>
      <c r="I12" s="1571"/>
      <c r="J12" s="1571"/>
      <c r="K12" s="1571"/>
      <c r="L12" s="1571"/>
      <c r="M12" s="1571"/>
      <c r="N12" s="1571"/>
      <c r="O12" s="1571"/>
      <c r="P12" s="1571"/>
      <c r="Q12" s="1571"/>
    </row>
    <row r="13" spans="1:17" s="1568" customFormat="1">
      <c r="B13" s="1571"/>
      <c r="C13" s="1571"/>
      <c r="D13" s="1571"/>
      <c r="H13" s="1571"/>
      <c r="I13" s="1571"/>
      <c r="J13" s="1571"/>
      <c r="K13" s="1571"/>
      <c r="L13" s="1571"/>
      <c r="M13" s="1571"/>
      <c r="N13" s="1571"/>
      <c r="O13" s="1571"/>
      <c r="P13" s="1571"/>
      <c r="Q13" s="1571"/>
    </row>
    <row r="14" spans="1:17" s="1568" customFormat="1">
      <c r="B14" s="1571"/>
      <c r="C14" s="1571"/>
      <c r="D14" s="1571"/>
      <c r="H14" s="1571"/>
      <c r="I14" s="1571"/>
      <c r="J14" s="1571"/>
      <c r="K14" s="1571"/>
      <c r="L14" s="1571"/>
      <c r="M14" s="1571"/>
      <c r="N14" s="1571"/>
      <c r="O14" s="1571"/>
      <c r="P14" s="1571"/>
      <c r="Q14" s="1571"/>
    </row>
    <row r="15" spans="1:17" s="1568" customFormat="1">
      <c r="B15" s="1571"/>
      <c r="C15" s="1571"/>
      <c r="D15" s="1571"/>
      <c r="H15" s="1571"/>
      <c r="I15" s="1571"/>
      <c r="J15" s="1571"/>
      <c r="K15" s="1571"/>
      <c r="L15" s="1571"/>
      <c r="M15" s="1571"/>
      <c r="N15" s="1571"/>
      <c r="O15" s="1571"/>
      <c r="P15" s="1571"/>
      <c r="Q15" s="1571"/>
    </row>
    <row r="16" spans="1:17" s="1568" customFormat="1">
      <c r="B16" s="1571"/>
      <c r="C16" s="1571"/>
      <c r="D16" s="1571"/>
      <c r="H16" s="1571"/>
      <c r="I16" s="1571"/>
      <c r="J16" s="1571"/>
      <c r="K16" s="1571"/>
      <c r="L16" s="1571"/>
      <c r="M16" s="1571"/>
      <c r="N16" s="1571"/>
      <c r="O16" s="1571"/>
      <c r="P16" s="1571"/>
      <c r="Q16" s="1571"/>
    </row>
    <row r="17" spans="2:17" s="1568" customFormat="1">
      <c r="B17" s="1571"/>
      <c r="C17" s="1571"/>
      <c r="D17" s="1571"/>
      <c r="H17" s="1571"/>
      <c r="I17" s="1571"/>
      <c r="J17" s="1571"/>
      <c r="K17" s="1571"/>
      <c r="L17" s="1571"/>
      <c r="M17" s="1571"/>
      <c r="N17" s="1571"/>
      <c r="O17" s="1571"/>
      <c r="P17" s="1571"/>
      <c r="Q17" s="1571"/>
    </row>
    <row r="18" spans="2:17" s="1568" customFormat="1">
      <c r="B18" s="1571"/>
      <c r="C18" s="1571"/>
      <c r="D18" s="1571"/>
      <c r="H18" s="1571"/>
      <c r="I18" s="1571"/>
      <c r="J18" s="1571"/>
      <c r="K18" s="1571"/>
      <c r="L18" s="1571"/>
      <c r="M18" s="1571"/>
      <c r="N18" s="1571"/>
      <c r="O18" s="1571"/>
      <c r="P18" s="1571"/>
      <c r="Q18" s="1571"/>
    </row>
    <row r="19" spans="2:17" s="1568" customFormat="1">
      <c r="B19" s="1571"/>
      <c r="C19" s="1571"/>
      <c r="D19" s="1571"/>
      <c r="H19" s="1571"/>
      <c r="I19" s="1571"/>
      <c r="J19" s="1571"/>
      <c r="K19" s="1571"/>
      <c r="L19" s="1571"/>
      <c r="M19" s="1571"/>
      <c r="N19" s="1571"/>
      <c r="O19" s="1571"/>
      <c r="P19" s="1571"/>
      <c r="Q19" s="1571"/>
    </row>
    <row r="20" spans="2:17" s="1568" customFormat="1">
      <c r="B20" s="1571"/>
      <c r="C20" s="1571"/>
      <c r="D20" s="1571"/>
      <c r="H20" s="1571"/>
      <c r="I20" s="1571"/>
      <c r="J20" s="1571"/>
      <c r="K20" s="1571"/>
      <c r="L20" s="1571"/>
      <c r="M20" s="1571"/>
      <c r="N20" s="1571"/>
      <c r="O20" s="1571"/>
      <c r="P20" s="1571"/>
      <c r="Q20" s="1571"/>
    </row>
    <row r="21" spans="2:17" s="1568" customFormat="1">
      <c r="B21" s="1571"/>
      <c r="C21" s="1571"/>
      <c r="D21" s="1571"/>
      <c r="H21" s="1571"/>
      <c r="I21" s="1571"/>
      <c r="J21" s="1571"/>
      <c r="K21" s="1571"/>
      <c r="L21" s="1571"/>
      <c r="M21" s="1571"/>
      <c r="N21" s="1571"/>
      <c r="O21" s="1571"/>
      <c r="P21" s="1571"/>
      <c r="Q21" s="1571"/>
    </row>
    <row r="22" spans="2:17" s="1568" customFormat="1">
      <c r="B22" s="1571"/>
      <c r="C22" s="1571"/>
      <c r="D22" s="1571"/>
      <c r="H22" s="1571"/>
      <c r="I22" s="1571"/>
      <c r="J22" s="1571"/>
      <c r="K22" s="1571"/>
      <c r="L22" s="1571"/>
      <c r="M22" s="1571"/>
      <c r="N22" s="1571"/>
      <c r="O22" s="1571"/>
      <c r="P22" s="1571"/>
      <c r="Q22" s="1571"/>
    </row>
    <row r="23" spans="2:17" s="1568" customFormat="1">
      <c r="B23" s="1571"/>
      <c r="C23" s="1571"/>
      <c r="D23" s="1571"/>
      <c r="H23" s="1571"/>
      <c r="I23" s="1571"/>
      <c r="J23" s="1571"/>
      <c r="K23" s="1571"/>
      <c r="L23" s="1571"/>
      <c r="M23" s="1571"/>
      <c r="N23" s="1571"/>
      <c r="O23" s="1571"/>
      <c r="P23" s="1571"/>
      <c r="Q23" s="1571"/>
    </row>
    <row r="24" spans="2:17" s="1568" customFormat="1">
      <c r="B24" s="1571"/>
      <c r="C24" s="1571"/>
      <c r="D24" s="1571"/>
      <c r="H24" s="1571"/>
      <c r="I24" s="1571"/>
      <c r="J24" s="1571"/>
      <c r="K24" s="1571"/>
      <c r="L24" s="1571"/>
      <c r="M24" s="1571"/>
      <c r="N24" s="1571"/>
      <c r="O24" s="1571"/>
      <c r="P24" s="1571"/>
      <c r="Q24" s="1571"/>
    </row>
    <row r="25" spans="2:17" s="1568" customFormat="1">
      <c r="B25" s="1571"/>
      <c r="C25" s="1571"/>
      <c r="D25" s="1571"/>
      <c r="H25" s="1571"/>
      <c r="I25" s="1571"/>
      <c r="J25" s="1571"/>
      <c r="K25" s="1571"/>
      <c r="L25" s="1571"/>
      <c r="M25" s="1571"/>
      <c r="N25" s="1571"/>
      <c r="O25" s="1571"/>
      <c r="P25" s="1571"/>
      <c r="Q25" s="1571"/>
    </row>
    <row r="26" spans="2:17" s="1568" customFormat="1">
      <c r="B26" s="1571"/>
      <c r="C26" s="1571"/>
      <c r="D26" s="1571"/>
      <c r="E26" s="1571"/>
      <c r="F26" s="1571"/>
      <c r="G26" s="1571"/>
      <c r="H26" s="1571"/>
      <c r="I26" s="1571"/>
      <c r="J26" s="1571"/>
      <c r="K26" s="1571"/>
      <c r="L26" s="1571"/>
      <c r="M26" s="1571"/>
      <c r="N26" s="1571"/>
      <c r="O26" s="1571"/>
      <c r="P26" s="1571"/>
      <c r="Q26" s="1571"/>
    </row>
    <row r="27" spans="2:17" s="1568" customFormat="1">
      <c r="B27" s="1571"/>
      <c r="C27" s="1571"/>
      <c r="D27" s="1571"/>
      <c r="E27" s="1571"/>
      <c r="F27" s="1571"/>
      <c r="G27" s="1571"/>
      <c r="H27" s="1571"/>
      <c r="I27" s="1571"/>
      <c r="J27" s="1571"/>
      <c r="K27" s="1571"/>
      <c r="L27" s="1571"/>
      <c r="M27" s="1571"/>
      <c r="N27" s="1571"/>
      <c r="O27" s="1571"/>
      <c r="P27" s="1571"/>
      <c r="Q27" s="1571"/>
    </row>
    <row r="28" spans="2:17" s="1568" customFormat="1">
      <c r="B28" s="1571"/>
      <c r="C28" s="1571"/>
      <c r="D28" s="1571"/>
      <c r="E28" s="1571"/>
      <c r="F28" s="1571"/>
      <c r="G28" s="1571"/>
      <c r="H28" s="1571"/>
      <c r="I28" s="1571"/>
      <c r="J28" s="1571"/>
      <c r="K28" s="1571"/>
      <c r="L28" s="1571"/>
      <c r="M28" s="1571"/>
      <c r="N28" s="1571"/>
      <c r="O28" s="1571"/>
      <c r="P28" s="1571"/>
      <c r="Q28" s="1571"/>
    </row>
    <row r="29" spans="2:17" s="1568" customFormat="1">
      <c r="B29" s="1571"/>
      <c r="C29" s="1571"/>
      <c r="D29" s="1571"/>
      <c r="E29" s="1571"/>
      <c r="F29" s="1571"/>
      <c r="G29" s="1571"/>
      <c r="H29" s="1571"/>
      <c r="I29" s="1571"/>
      <c r="J29" s="1571"/>
      <c r="K29" s="1571"/>
      <c r="L29" s="1571"/>
      <c r="M29" s="1571"/>
      <c r="N29" s="1571"/>
      <c r="O29" s="1571"/>
      <c r="P29" s="1571"/>
      <c r="Q29" s="1571"/>
    </row>
    <row r="30" spans="2:17" s="1568" customFormat="1">
      <c r="B30" s="1571"/>
      <c r="C30" s="1571"/>
      <c r="D30" s="1571"/>
      <c r="E30" s="1571"/>
      <c r="F30" s="1571"/>
      <c r="G30" s="1571"/>
      <c r="H30" s="1571"/>
      <c r="I30" s="1571"/>
      <c r="J30" s="1571"/>
      <c r="K30" s="1571"/>
      <c r="L30" s="1571"/>
      <c r="M30" s="1571"/>
      <c r="N30" s="1571"/>
      <c r="O30" s="1571"/>
      <c r="P30" s="1571"/>
      <c r="Q30" s="1571"/>
    </row>
    <row r="31" spans="2:17" s="1568" customFormat="1">
      <c r="B31" s="1571"/>
      <c r="C31" s="1571"/>
      <c r="D31" s="1571"/>
      <c r="E31" s="1571"/>
      <c r="F31" s="1571"/>
      <c r="G31" s="1571"/>
      <c r="H31" s="1571"/>
      <c r="I31" s="1571"/>
      <c r="J31" s="1571"/>
      <c r="K31" s="1571"/>
      <c r="L31" s="1571"/>
      <c r="M31" s="1571"/>
      <c r="N31" s="1571"/>
      <c r="O31" s="1571"/>
      <c r="P31" s="1571"/>
      <c r="Q31" s="1571"/>
    </row>
    <row r="32" spans="2:17" s="1568" customFormat="1">
      <c r="B32" s="1571"/>
      <c r="C32" s="1571"/>
      <c r="D32" s="1571"/>
      <c r="E32" s="1571"/>
      <c r="F32" s="1571"/>
      <c r="G32" s="1571"/>
      <c r="H32" s="1571"/>
      <c r="I32" s="1571"/>
      <c r="J32" s="1571"/>
      <c r="K32" s="1571"/>
      <c r="L32" s="1571"/>
      <c r="M32" s="1571"/>
      <c r="N32" s="1571"/>
      <c r="O32" s="1571"/>
      <c r="P32" s="1571"/>
      <c r="Q32" s="1571"/>
    </row>
    <row r="33" spans="2:17" s="1568" customFormat="1">
      <c r="B33" s="1571"/>
      <c r="C33" s="1571"/>
      <c r="D33" s="1571"/>
      <c r="E33" s="1571"/>
      <c r="F33" s="1571"/>
      <c r="G33" s="1571"/>
      <c r="H33" s="1571"/>
      <c r="I33" s="1571"/>
      <c r="J33" s="1571"/>
      <c r="K33" s="1571"/>
      <c r="L33" s="1571"/>
      <c r="M33" s="1571"/>
      <c r="N33" s="1571"/>
      <c r="O33" s="1571"/>
      <c r="P33" s="1571"/>
      <c r="Q33" s="1571"/>
    </row>
    <row r="34" spans="2:17" s="1568" customFormat="1">
      <c r="B34" s="1571"/>
      <c r="C34" s="1571"/>
      <c r="D34" s="1571"/>
      <c r="E34" s="1571"/>
      <c r="F34" s="1571"/>
      <c r="G34" s="1571"/>
      <c r="H34" s="1571"/>
      <c r="I34" s="1571"/>
      <c r="J34" s="1571"/>
      <c r="K34" s="1571"/>
      <c r="L34" s="1571"/>
      <c r="M34" s="1571"/>
      <c r="N34" s="1571"/>
      <c r="O34" s="1571"/>
      <c r="P34" s="1571"/>
      <c r="Q34" s="1571"/>
    </row>
    <row r="35" spans="2:17" s="1568" customFormat="1">
      <c r="B35" s="1571"/>
      <c r="C35" s="1571"/>
      <c r="D35" s="1571"/>
      <c r="E35" s="1571"/>
      <c r="F35" s="1571"/>
      <c r="G35" s="1571"/>
      <c r="H35" s="1571"/>
      <c r="I35" s="1571"/>
      <c r="J35" s="1571"/>
      <c r="K35" s="1571"/>
      <c r="L35" s="1571"/>
      <c r="M35" s="1571"/>
      <c r="N35" s="1571"/>
      <c r="O35" s="1571"/>
      <c r="P35" s="1571"/>
      <c r="Q35" s="1571"/>
    </row>
    <row r="36" spans="2:17" s="1568" customFormat="1">
      <c r="B36" s="1571"/>
      <c r="C36" s="1571"/>
      <c r="D36" s="1571"/>
      <c r="E36" s="1571"/>
      <c r="F36" s="1571"/>
      <c r="G36" s="1571"/>
      <c r="H36" s="1571"/>
      <c r="I36" s="1571"/>
      <c r="J36" s="1571"/>
      <c r="K36" s="1571"/>
      <c r="L36" s="1571"/>
      <c r="M36" s="1571"/>
      <c r="N36" s="1571"/>
      <c r="O36" s="1571"/>
      <c r="P36" s="1571"/>
      <c r="Q36" s="1571"/>
    </row>
    <row r="37" spans="2:17" s="1568" customFormat="1">
      <c r="B37" s="1571"/>
      <c r="C37" s="1571"/>
      <c r="D37" s="1571"/>
      <c r="E37" s="1571"/>
      <c r="F37" s="1571"/>
      <c r="G37" s="1571"/>
      <c r="H37" s="1571"/>
      <c r="I37" s="1571"/>
      <c r="J37" s="1571"/>
      <c r="K37" s="1571"/>
      <c r="L37" s="1571"/>
      <c r="M37" s="1571"/>
      <c r="N37" s="1571"/>
      <c r="O37" s="1571"/>
      <c r="P37" s="1571"/>
      <c r="Q37" s="1571"/>
    </row>
    <row r="38" spans="2:17" s="1568" customFormat="1">
      <c r="B38" s="1571"/>
      <c r="C38" s="1571"/>
      <c r="D38" s="1571"/>
      <c r="E38" s="1571"/>
      <c r="F38" s="1571"/>
      <c r="G38" s="1571"/>
      <c r="H38" s="1571"/>
      <c r="I38" s="1571"/>
      <c r="J38" s="1571"/>
      <c r="K38" s="1571"/>
      <c r="L38" s="1571"/>
      <c r="M38" s="1571"/>
      <c r="N38" s="1571"/>
      <c r="O38" s="1571"/>
      <c r="P38" s="1571"/>
      <c r="Q38" s="1571"/>
    </row>
    <row r="39" spans="2:17" s="1568" customFormat="1">
      <c r="B39" s="1571"/>
      <c r="C39" s="1571"/>
      <c r="D39" s="1571"/>
      <c r="E39" s="1571"/>
      <c r="F39" s="1571"/>
      <c r="G39" s="1571"/>
      <c r="H39" s="1571"/>
      <c r="I39" s="1571"/>
      <c r="J39" s="1571"/>
      <c r="K39" s="1571"/>
      <c r="L39" s="1571"/>
      <c r="M39" s="1571"/>
      <c r="N39" s="1571"/>
      <c r="O39" s="1571"/>
      <c r="P39" s="1571"/>
      <c r="Q39" s="1571"/>
    </row>
    <row r="40" spans="2:17" s="1568" customFormat="1">
      <c r="B40" s="1571"/>
      <c r="C40" s="1571"/>
      <c r="D40" s="1571"/>
      <c r="E40" s="1571"/>
      <c r="F40" s="1571"/>
      <c r="G40" s="1571"/>
      <c r="H40" s="1571"/>
      <c r="I40" s="1571"/>
      <c r="J40" s="1571"/>
      <c r="K40" s="1571"/>
      <c r="L40" s="1571"/>
      <c r="M40" s="1571"/>
      <c r="N40" s="1571"/>
      <c r="O40" s="1571"/>
      <c r="P40" s="1571"/>
      <c r="Q40" s="1571"/>
    </row>
    <row r="41" spans="2:17" s="1568" customFormat="1">
      <c r="B41" s="1571"/>
      <c r="C41" s="1571"/>
      <c r="D41" s="1571"/>
      <c r="E41" s="1571"/>
      <c r="F41" s="1571"/>
      <c r="G41" s="1571"/>
      <c r="H41" s="1571"/>
      <c r="I41" s="1571"/>
      <c r="J41" s="1571"/>
      <c r="K41" s="1571"/>
      <c r="L41" s="1571"/>
      <c r="M41" s="1571"/>
      <c r="N41" s="1571"/>
      <c r="O41" s="1571"/>
      <c r="P41" s="1571"/>
      <c r="Q41" s="1571"/>
    </row>
    <row r="42" spans="2:17" s="1568" customFormat="1">
      <c r="B42" s="1571"/>
      <c r="C42" s="1571"/>
      <c r="D42" s="1571"/>
      <c r="E42" s="1571"/>
      <c r="F42" s="1571"/>
      <c r="G42" s="1571"/>
      <c r="H42" s="1571"/>
      <c r="I42" s="1571"/>
      <c r="J42" s="1571"/>
      <c r="K42" s="1571"/>
      <c r="L42" s="1571"/>
      <c r="M42" s="1571"/>
      <c r="N42" s="1571"/>
      <c r="O42" s="1571"/>
      <c r="P42" s="1571"/>
      <c r="Q42" s="1571"/>
    </row>
    <row r="43" spans="2:17" s="1568" customFormat="1">
      <c r="B43" s="1571"/>
      <c r="C43" s="1571"/>
      <c r="D43" s="1571"/>
      <c r="E43" s="1571"/>
      <c r="F43" s="1571"/>
      <c r="G43" s="1571"/>
      <c r="H43" s="1571"/>
      <c r="I43" s="1571"/>
      <c r="J43" s="1571"/>
      <c r="K43" s="1571"/>
      <c r="L43" s="1571"/>
      <c r="M43" s="1571"/>
      <c r="N43" s="1571"/>
      <c r="O43" s="1571"/>
      <c r="P43" s="1571"/>
      <c r="Q43" s="1571"/>
    </row>
    <row r="44" spans="2:17" s="1568" customFormat="1">
      <c r="B44" s="1571"/>
      <c r="C44" s="1571"/>
      <c r="D44" s="1571"/>
      <c r="E44" s="1571"/>
      <c r="F44" s="1571"/>
      <c r="G44" s="1571"/>
      <c r="H44" s="1571"/>
      <c r="I44" s="1571"/>
      <c r="J44" s="1571"/>
      <c r="K44" s="1571"/>
      <c r="L44" s="1571"/>
      <c r="M44" s="1571"/>
      <c r="N44" s="1571"/>
      <c r="O44" s="1571"/>
      <c r="P44" s="1571"/>
      <c r="Q44" s="1571"/>
    </row>
    <row r="45" spans="2:17" s="1568" customFormat="1">
      <c r="B45" s="1571"/>
      <c r="C45" s="1571"/>
      <c r="D45" s="1571"/>
      <c r="E45" s="1571"/>
      <c r="F45" s="1571"/>
      <c r="G45" s="1571"/>
      <c r="H45" s="1571"/>
      <c r="I45" s="1571"/>
      <c r="J45" s="1571"/>
      <c r="K45" s="1571"/>
      <c r="L45" s="1571"/>
      <c r="M45" s="1571"/>
      <c r="N45" s="1571"/>
      <c r="O45" s="1571"/>
      <c r="P45" s="1571"/>
      <c r="Q45" s="1571"/>
    </row>
    <row r="46" spans="2:17" s="1568" customFormat="1">
      <c r="B46" s="1571"/>
      <c r="C46" s="1571"/>
      <c r="D46" s="1571"/>
      <c r="E46" s="1571"/>
      <c r="F46" s="1571"/>
      <c r="G46" s="1571"/>
      <c r="H46" s="1571"/>
      <c r="I46" s="1571"/>
      <c r="J46" s="1571"/>
      <c r="K46" s="1571"/>
      <c r="L46" s="1571"/>
      <c r="M46" s="1571"/>
      <c r="N46" s="1571"/>
      <c r="O46" s="1571"/>
      <c r="P46" s="1571"/>
      <c r="Q46" s="1571"/>
    </row>
    <row r="47" spans="2:17" s="1568" customFormat="1">
      <c r="B47" s="1571"/>
      <c r="C47" s="1571"/>
      <c r="D47" s="1571"/>
      <c r="E47" s="1571"/>
      <c r="F47" s="1571"/>
      <c r="G47" s="1571"/>
      <c r="H47" s="1571"/>
      <c r="I47" s="1571"/>
      <c r="J47" s="1571"/>
      <c r="K47" s="1571"/>
      <c r="L47" s="1571"/>
      <c r="M47" s="1571"/>
      <c r="N47" s="1571"/>
      <c r="O47" s="1571"/>
      <c r="P47" s="1571"/>
      <c r="Q47" s="1571"/>
    </row>
    <row r="48" spans="2:17" s="1568" customFormat="1">
      <c r="B48" s="1571"/>
      <c r="C48" s="1571"/>
      <c r="D48" s="1571"/>
      <c r="E48" s="1571"/>
      <c r="F48" s="1571"/>
      <c r="G48" s="1571"/>
      <c r="H48" s="1571"/>
      <c r="I48" s="1571"/>
      <c r="J48" s="1571"/>
      <c r="K48" s="1571"/>
      <c r="L48" s="1571"/>
      <c r="M48" s="1571"/>
      <c r="N48" s="1571"/>
      <c r="O48" s="1571"/>
      <c r="P48" s="1571"/>
      <c r="Q48" s="1571"/>
    </row>
    <row r="49" spans="2:17" s="1568" customFormat="1">
      <c r="B49" s="1571"/>
      <c r="C49" s="1571"/>
      <c r="D49" s="1571"/>
      <c r="E49" s="1571"/>
      <c r="F49" s="1571"/>
      <c r="G49" s="1571"/>
      <c r="H49" s="1571"/>
      <c r="I49" s="1571"/>
      <c r="J49" s="1571"/>
      <c r="K49" s="1571"/>
      <c r="L49" s="1571"/>
      <c r="M49" s="1571"/>
      <c r="N49" s="1571"/>
      <c r="O49" s="1571"/>
      <c r="P49" s="1571"/>
      <c r="Q49" s="1571"/>
    </row>
    <row r="50" spans="2:17" s="1568" customFormat="1">
      <c r="B50" s="1571"/>
      <c r="C50" s="1571"/>
      <c r="D50" s="1571"/>
      <c r="E50" s="1571"/>
      <c r="F50" s="1571"/>
      <c r="G50" s="1571"/>
      <c r="H50" s="1571"/>
      <c r="I50" s="1571"/>
      <c r="J50" s="1571"/>
      <c r="K50" s="1571"/>
      <c r="L50" s="1571"/>
      <c r="M50" s="1571"/>
      <c r="N50" s="1571"/>
      <c r="O50" s="1571"/>
      <c r="P50" s="1571"/>
      <c r="Q50" s="1571"/>
    </row>
    <row r="51" spans="2:17" s="1568" customFormat="1">
      <c r="B51" s="1571"/>
      <c r="C51" s="1571"/>
      <c r="D51" s="1571"/>
      <c r="E51" s="1571"/>
      <c r="F51" s="1571"/>
      <c r="G51" s="1571"/>
      <c r="H51" s="1571"/>
      <c r="I51" s="1571"/>
      <c r="J51" s="1571"/>
      <c r="K51" s="1571"/>
      <c r="L51" s="1571"/>
      <c r="M51" s="1571"/>
      <c r="N51" s="1571"/>
      <c r="O51" s="1571"/>
      <c r="P51" s="1571"/>
      <c r="Q51" s="1571"/>
    </row>
    <row r="52" spans="2:17" s="1568" customFormat="1">
      <c r="B52" s="1571"/>
      <c r="C52" s="1571"/>
      <c r="D52" s="1571"/>
      <c r="E52" s="1571"/>
      <c r="F52" s="1571"/>
      <c r="G52" s="1571"/>
      <c r="H52" s="1571"/>
      <c r="I52" s="1571"/>
      <c r="J52" s="1571"/>
      <c r="K52" s="1571"/>
      <c r="L52" s="1571"/>
      <c r="M52" s="1571"/>
      <c r="N52" s="1571"/>
      <c r="O52" s="1571"/>
      <c r="P52" s="1571"/>
      <c r="Q52" s="1571"/>
    </row>
    <row r="53" spans="2:17" s="1568" customFormat="1">
      <c r="B53" s="1571"/>
      <c r="C53" s="1571"/>
      <c r="D53" s="1571"/>
      <c r="E53" s="1571"/>
      <c r="F53" s="1571"/>
      <c r="G53" s="1571"/>
      <c r="H53" s="1571"/>
      <c r="I53" s="1571"/>
      <c r="J53" s="1571"/>
      <c r="K53" s="1571"/>
      <c r="L53" s="1571"/>
      <c r="M53" s="1571"/>
      <c r="N53" s="1571"/>
      <c r="O53" s="1571"/>
      <c r="P53" s="1571"/>
      <c r="Q53" s="1571"/>
    </row>
    <row r="54" spans="2:17" s="1568" customFormat="1">
      <c r="B54" s="1571"/>
      <c r="C54" s="1571"/>
      <c r="D54" s="1571"/>
      <c r="E54" s="1571"/>
      <c r="F54" s="1571"/>
      <c r="G54" s="1571"/>
      <c r="H54" s="1571"/>
      <c r="I54" s="1571"/>
      <c r="J54" s="1571"/>
      <c r="K54" s="1571"/>
      <c r="L54" s="1571"/>
      <c r="M54" s="1571"/>
      <c r="N54" s="1571"/>
      <c r="O54" s="1571"/>
      <c r="P54" s="1571"/>
      <c r="Q54" s="1571"/>
    </row>
    <row r="55" spans="2:17" s="1568" customFormat="1">
      <c r="B55" s="1571"/>
      <c r="C55" s="1571"/>
      <c r="D55" s="1571"/>
      <c r="E55" s="1571"/>
      <c r="F55" s="1571"/>
      <c r="G55" s="1571"/>
      <c r="H55" s="1571"/>
      <c r="I55" s="1571"/>
      <c r="J55" s="1571"/>
      <c r="K55" s="1571"/>
      <c r="L55" s="1571"/>
      <c r="M55" s="1571"/>
      <c r="N55" s="1571"/>
      <c r="O55" s="1571"/>
      <c r="P55" s="1571"/>
      <c r="Q55" s="1571"/>
    </row>
    <row r="56" spans="2:17" s="1568" customFormat="1">
      <c r="B56" s="1571"/>
      <c r="C56" s="1571"/>
      <c r="D56" s="1571"/>
      <c r="E56" s="1571"/>
      <c r="F56" s="1571"/>
      <c r="G56" s="1571"/>
      <c r="H56" s="1571"/>
      <c r="I56" s="1571"/>
      <c r="J56" s="1571"/>
      <c r="K56" s="1571"/>
      <c r="L56" s="1571"/>
      <c r="M56" s="1571"/>
      <c r="N56" s="1571"/>
      <c r="O56" s="1571"/>
      <c r="P56" s="1571"/>
      <c r="Q56" s="1571"/>
    </row>
    <row r="57" spans="2:17" s="1568" customFormat="1">
      <c r="B57" s="1571"/>
      <c r="C57" s="1571"/>
      <c r="D57" s="1571"/>
      <c r="E57" s="1571"/>
      <c r="F57" s="1571"/>
      <c r="G57" s="1571"/>
      <c r="H57" s="1571"/>
      <c r="I57" s="1571"/>
      <c r="J57" s="1571"/>
      <c r="K57" s="1571"/>
      <c r="L57" s="1571"/>
      <c r="M57" s="1571"/>
      <c r="N57" s="1571"/>
      <c r="O57" s="1571"/>
      <c r="P57" s="1571"/>
      <c r="Q57" s="1571"/>
    </row>
    <row r="58" spans="2:17" s="1568" customFormat="1">
      <c r="B58" s="1571"/>
      <c r="C58" s="1571"/>
      <c r="D58" s="1571"/>
      <c r="E58" s="1571"/>
      <c r="F58" s="1571"/>
      <c r="G58" s="1571"/>
      <c r="H58" s="1571"/>
      <c r="I58" s="1571"/>
      <c r="J58" s="1571"/>
      <c r="K58" s="1571"/>
      <c r="L58" s="1571"/>
      <c r="M58" s="1571"/>
      <c r="N58" s="1571"/>
      <c r="O58" s="1571"/>
      <c r="P58" s="1571"/>
      <c r="Q58" s="1571"/>
    </row>
    <row r="59" spans="2:17" s="1568" customFormat="1">
      <c r="B59" s="1571"/>
      <c r="C59" s="1571"/>
      <c r="D59" s="1571"/>
      <c r="E59" s="1571"/>
      <c r="F59" s="1571"/>
      <c r="G59" s="1571"/>
      <c r="H59" s="1571"/>
      <c r="I59" s="1571"/>
      <c r="J59" s="1571"/>
      <c r="K59" s="1571"/>
      <c r="L59" s="1571"/>
      <c r="M59" s="1571"/>
      <c r="N59" s="1571"/>
      <c r="O59" s="1571"/>
      <c r="P59" s="1571"/>
      <c r="Q59" s="1571"/>
    </row>
    <row r="60" spans="2:17" s="1568" customFormat="1">
      <c r="B60" s="1571"/>
      <c r="C60" s="1571"/>
      <c r="D60" s="1571"/>
      <c r="E60" s="1571"/>
      <c r="F60" s="1571"/>
      <c r="G60" s="1571"/>
      <c r="H60" s="1571"/>
      <c r="I60" s="1571"/>
      <c r="J60" s="1571"/>
      <c r="K60" s="1571"/>
      <c r="L60" s="1571"/>
      <c r="M60" s="1571"/>
      <c r="N60" s="1571"/>
      <c r="O60" s="1571"/>
      <c r="P60" s="1571"/>
      <c r="Q60" s="1571"/>
    </row>
    <row r="61" spans="2:17" s="1568" customFormat="1">
      <c r="B61" s="1571"/>
      <c r="C61" s="1571"/>
      <c r="D61" s="1571"/>
      <c r="E61" s="1571"/>
      <c r="F61" s="1571"/>
      <c r="G61" s="1571"/>
      <c r="H61" s="1571"/>
      <c r="I61" s="1571"/>
      <c r="J61" s="1571"/>
      <c r="K61" s="1571"/>
      <c r="L61" s="1571"/>
      <c r="M61" s="1571"/>
      <c r="N61" s="1571"/>
      <c r="O61" s="1571"/>
      <c r="P61" s="1571"/>
      <c r="Q61" s="1571"/>
    </row>
    <row r="62" spans="2:17" s="1568" customFormat="1">
      <c r="B62" s="1571"/>
      <c r="C62" s="1571"/>
      <c r="D62" s="1571"/>
      <c r="E62" s="1571"/>
      <c r="F62" s="1571"/>
      <c r="G62" s="1571"/>
      <c r="H62" s="1571"/>
      <c r="I62" s="1571"/>
      <c r="J62" s="1571"/>
      <c r="K62" s="1571"/>
      <c r="L62" s="1571"/>
      <c r="M62" s="1571"/>
      <c r="N62" s="1571"/>
      <c r="O62" s="1571"/>
      <c r="P62" s="1571"/>
      <c r="Q62" s="1571"/>
    </row>
    <row r="63" spans="2:17" s="1568" customFormat="1">
      <c r="B63" s="1571"/>
      <c r="C63" s="1571"/>
      <c r="D63" s="1571"/>
      <c r="E63" s="1571"/>
      <c r="F63" s="1571"/>
      <c r="G63" s="1571"/>
      <c r="H63" s="1571"/>
      <c r="I63" s="1571"/>
      <c r="J63" s="1571"/>
      <c r="K63" s="1571"/>
      <c r="L63" s="1571"/>
      <c r="M63" s="1571"/>
      <c r="N63" s="1571"/>
      <c r="O63" s="1571"/>
      <c r="P63" s="1571"/>
      <c r="Q63" s="1571"/>
    </row>
    <row r="64" spans="2:17" s="1568" customFormat="1">
      <c r="B64" s="1571"/>
      <c r="C64" s="1571"/>
      <c r="D64" s="1571"/>
      <c r="E64" s="1571"/>
      <c r="F64" s="1571"/>
      <c r="G64" s="1571"/>
      <c r="H64" s="1571"/>
      <c r="I64" s="1571"/>
      <c r="J64" s="1571"/>
      <c r="K64" s="1571"/>
      <c r="L64" s="1571"/>
      <c r="M64" s="1571"/>
      <c r="N64" s="1571"/>
      <c r="O64" s="1571"/>
      <c r="P64" s="1571"/>
      <c r="Q64" s="1571"/>
    </row>
    <row r="65" spans="2:17" s="1568" customFormat="1">
      <c r="B65" s="1571"/>
      <c r="C65" s="1571"/>
      <c r="D65" s="1571"/>
      <c r="E65" s="1571"/>
      <c r="F65" s="1571"/>
      <c r="G65" s="1571"/>
      <c r="H65" s="1571"/>
      <c r="I65" s="1571"/>
      <c r="J65" s="1571"/>
      <c r="K65" s="1571"/>
      <c r="L65" s="1571"/>
      <c r="M65" s="1571"/>
      <c r="N65" s="1571"/>
      <c r="O65" s="1571"/>
      <c r="P65" s="1571"/>
      <c r="Q65" s="1571"/>
    </row>
    <row r="66" spans="2:17" s="1568" customFormat="1">
      <c r="B66" s="1571"/>
      <c r="C66" s="1571"/>
      <c r="D66" s="1571"/>
      <c r="E66" s="1571"/>
      <c r="F66" s="1571"/>
      <c r="G66" s="1571"/>
      <c r="H66" s="1571"/>
      <c r="I66" s="1571"/>
      <c r="J66" s="1571"/>
      <c r="K66" s="1571"/>
      <c r="L66" s="1571"/>
      <c r="M66" s="1571"/>
      <c r="N66" s="1571"/>
      <c r="O66" s="1571"/>
      <c r="P66" s="1571"/>
      <c r="Q66" s="1571"/>
    </row>
    <row r="67" spans="2:17" s="1568" customFormat="1">
      <c r="B67" s="1571"/>
      <c r="C67" s="1571"/>
      <c r="D67" s="1571"/>
      <c r="E67" s="1571"/>
      <c r="F67" s="1571"/>
      <c r="G67" s="1571"/>
      <c r="H67" s="1571"/>
      <c r="I67" s="1571"/>
      <c r="J67" s="1571"/>
      <c r="K67" s="1571"/>
      <c r="L67" s="1571"/>
      <c r="M67" s="1571"/>
      <c r="N67" s="1571"/>
      <c r="O67" s="1571"/>
      <c r="P67" s="1571"/>
      <c r="Q67" s="1571"/>
    </row>
    <row r="68" spans="2:17" s="1568" customFormat="1">
      <c r="B68" s="1571"/>
      <c r="C68" s="1571"/>
      <c r="D68" s="1571"/>
      <c r="E68" s="1571"/>
      <c r="F68" s="1571"/>
      <c r="G68" s="1571"/>
      <c r="H68" s="1571"/>
      <c r="I68" s="1571"/>
      <c r="J68" s="1571"/>
      <c r="K68" s="1571"/>
      <c r="L68" s="1571"/>
      <c r="M68" s="1571"/>
      <c r="N68" s="1571"/>
      <c r="O68" s="1571"/>
      <c r="P68" s="1571"/>
      <c r="Q68" s="1571"/>
    </row>
    <row r="69" spans="2:17" s="1568" customFormat="1">
      <c r="B69" s="1571"/>
      <c r="C69" s="1571"/>
      <c r="D69" s="1571"/>
      <c r="E69" s="1571"/>
      <c r="F69" s="1571"/>
      <c r="G69" s="1571"/>
      <c r="H69" s="1571"/>
      <c r="I69" s="1571"/>
      <c r="J69" s="1571"/>
      <c r="K69" s="1571"/>
      <c r="L69" s="1571"/>
      <c r="M69" s="1571"/>
      <c r="N69" s="1571"/>
      <c r="O69" s="1571"/>
      <c r="P69" s="1571"/>
      <c r="Q69" s="1571"/>
    </row>
    <row r="70" spans="2:17" s="1568" customFormat="1">
      <c r="B70" s="1571"/>
      <c r="C70" s="1571"/>
      <c r="D70" s="1571"/>
      <c r="E70" s="1571"/>
      <c r="F70" s="1571"/>
      <c r="G70" s="1571"/>
      <c r="H70" s="1571"/>
      <c r="I70" s="1571"/>
      <c r="J70" s="1571"/>
      <c r="K70" s="1571"/>
      <c r="L70" s="1571"/>
      <c r="M70" s="1571"/>
      <c r="N70" s="1571"/>
      <c r="O70" s="1571"/>
      <c r="P70" s="1571"/>
      <c r="Q70" s="1571"/>
    </row>
    <row r="71" spans="2:17" s="1568" customFormat="1">
      <c r="B71" s="1571"/>
      <c r="C71" s="1571"/>
      <c r="D71" s="1571"/>
      <c r="E71" s="1571"/>
      <c r="F71" s="1571"/>
      <c r="G71" s="1571"/>
      <c r="H71" s="1571"/>
      <c r="I71" s="1571"/>
      <c r="J71" s="1571"/>
      <c r="K71" s="1571"/>
      <c r="L71" s="1571"/>
      <c r="M71" s="1571"/>
      <c r="N71" s="1571"/>
      <c r="O71" s="1571"/>
      <c r="P71" s="1571"/>
      <c r="Q71" s="1571"/>
    </row>
    <row r="72" spans="2:17" s="1568" customFormat="1">
      <c r="B72" s="1571"/>
      <c r="C72" s="1571"/>
      <c r="D72" s="1571"/>
      <c r="E72" s="1571"/>
      <c r="F72" s="1571"/>
      <c r="G72" s="1571"/>
      <c r="H72" s="1571"/>
      <c r="I72" s="1571"/>
      <c r="J72" s="1571"/>
      <c r="K72" s="1571"/>
      <c r="L72" s="1571"/>
      <c r="M72" s="1571"/>
      <c r="N72" s="1571"/>
      <c r="O72" s="1571"/>
      <c r="P72" s="1571"/>
      <c r="Q72" s="1571"/>
    </row>
    <row r="73" spans="2:17" s="1568" customFormat="1">
      <c r="B73" s="1571"/>
      <c r="C73" s="1571"/>
      <c r="D73" s="1571"/>
      <c r="E73" s="1571"/>
      <c r="F73" s="1571"/>
      <c r="G73" s="1571"/>
      <c r="H73" s="1571"/>
      <c r="I73" s="1571"/>
      <c r="J73" s="1571"/>
      <c r="K73" s="1571"/>
      <c r="L73" s="1571"/>
      <c r="M73" s="1571"/>
      <c r="N73" s="1571"/>
      <c r="O73" s="1571"/>
      <c r="P73" s="1571"/>
      <c r="Q73" s="1571"/>
    </row>
    <row r="74" spans="2:17" s="1568" customFormat="1">
      <c r="B74" s="1571"/>
      <c r="C74" s="1571"/>
      <c r="D74" s="1571"/>
      <c r="E74" s="1571"/>
      <c r="F74" s="1571"/>
      <c r="G74" s="1571"/>
      <c r="H74" s="1571"/>
      <c r="I74" s="1571"/>
      <c r="J74" s="1571"/>
      <c r="K74" s="1571"/>
      <c r="L74" s="1571"/>
      <c r="M74" s="1571"/>
      <c r="N74" s="1571"/>
      <c r="O74" s="1571"/>
      <c r="P74" s="1571"/>
      <c r="Q74" s="1571"/>
    </row>
    <row r="75" spans="2:17" s="1568" customFormat="1">
      <c r="B75" s="1571"/>
      <c r="C75" s="1571"/>
      <c r="D75" s="1571"/>
      <c r="E75" s="1571"/>
      <c r="F75" s="1571"/>
      <c r="G75" s="1571"/>
      <c r="H75" s="1571"/>
      <c r="I75" s="1571"/>
      <c r="J75" s="1571"/>
      <c r="K75" s="1571"/>
      <c r="L75" s="1571"/>
      <c r="M75" s="1571"/>
      <c r="N75" s="1571"/>
      <c r="O75" s="1571"/>
      <c r="P75" s="1571"/>
      <c r="Q75" s="1571"/>
    </row>
    <row r="76" spans="2:17" s="1568" customFormat="1">
      <c r="B76" s="1571"/>
      <c r="C76" s="1571"/>
      <c r="D76" s="1571"/>
      <c r="E76" s="1571"/>
      <c r="F76" s="1571"/>
      <c r="G76" s="1571"/>
      <c r="H76" s="1571"/>
      <c r="I76" s="1571"/>
      <c r="J76" s="1571"/>
      <c r="K76" s="1571"/>
      <c r="L76" s="1571"/>
      <c r="M76" s="1571"/>
      <c r="N76" s="1571"/>
      <c r="O76" s="1571"/>
      <c r="P76" s="1571"/>
      <c r="Q76" s="1571"/>
    </row>
    <row r="77" spans="2:17" s="1568" customFormat="1">
      <c r="B77" s="1571"/>
      <c r="C77" s="1571"/>
      <c r="D77" s="1571"/>
      <c r="E77" s="1571"/>
      <c r="F77" s="1571"/>
      <c r="G77" s="1571"/>
      <c r="H77" s="1571"/>
      <c r="I77" s="1571"/>
      <c r="J77" s="1571"/>
      <c r="K77" s="1571"/>
      <c r="L77" s="1571"/>
      <c r="M77" s="1571"/>
      <c r="N77" s="1571"/>
      <c r="O77" s="1571"/>
      <c r="P77" s="1571"/>
      <c r="Q77" s="1571"/>
    </row>
    <row r="78" spans="2:17" s="1568" customFormat="1">
      <c r="B78" s="1571"/>
      <c r="C78" s="1571"/>
      <c r="D78" s="1571"/>
      <c r="E78" s="1571"/>
      <c r="F78" s="1571"/>
      <c r="G78" s="1571"/>
      <c r="H78" s="1571"/>
      <c r="I78" s="1571"/>
      <c r="J78" s="1571"/>
      <c r="K78" s="1571"/>
      <c r="L78" s="1571"/>
      <c r="M78" s="1571"/>
      <c r="N78" s="1571"/>
      <c r="O78" s="1571"/>
      <c r="P78" s="1571"/>
      <c r="Q78" s="1571"/>
    </row>
    <row r="79" spans="2:17" s="1568" customFormat="1">
      <c r="B79" s="1571"/>
      <c r="C79" s="1571"/>
      <c r="D79" s="1571"/>
      <c r="E79" s="1571"/>
      <c r="F79" s="1571"/>
      <c r="G79" s="1571"/>
      <c r="H79" s="1571"/>
      <c r="I79" s="1571"/>
      <c r="J79" s="1571"/>
      <c r="K79" s="1571"/>
      <c r="L79" s="1571"/>
      <c r="M79" s="1571"/>
      <c r="N79" s="1571"/>
      <c r="O79" s="1571"/>
      <c r="P79" s="1571"/>
      <c r="Q79" s="1571"/>
    </row>
    <row r="80" spans="2:17" s="1568" customFormat="1">
      <c r="B80" s="1571"/>
      <c r="C80" s="1571"/>
      <c r="D80" s="1571"/>
      <c r="E80" s="1571"/>
      <c r="F80" s="1571"/>
      <c r="G80" s="1571"/>
      <c r="H80" s="1571"/>
      <c r="I80" s="1571"/>
      <c r="J80" s="1571"/>
      <c r="K80" s="1571"/>
      <c r="L80" s="1571"/>
      <c r="M80" s="1571"/>
      <c r="N80" s="1571"/>
      <c r="O80" s="1571"/>
      <c r="P80" s="1571"/>
      <c r="Q80" s="1571"/>
    </row>
    <row r="81" spans="2:17" s="1568" customFormat="1">
      <c r="B81" s="1571"/>
      <c r="C81" s="1571"/>
      <c r="D81" s="1571"/>
      <c r="E81" s="1571"/>
      <c r="F81" s="1571"/>
      <c r="G81" s="1571"/>
      <c r="H81" s="1571"/>
      <c r="I81" s="1571"/>
      <c r="J81" s="1571"/>
      <c r="K81" s="1571"/>
      <c r="L81" s="1571"/>
      <c r="M81" s="1571"/>
      <c r="N81" s="1571"/>
      <c r="O81" s="1571"/>
      <c r="P81" s="1571"/>
      <c r="Q81" s="1571"/>
    </row>
    <row r="82" spans="2:17" s="1568" customFormat="1">
      <c r="B82" s="1571"/>
      <c r="C82" s="1571"/>
      <c r="D82" s="1571"/>
      <c r="E82" s="1571"/>
      <c r="F82" s="1571"/>
      <c r="G82" s="1571"/>
      <c r="H82" s="1571"/>
      <c r="I82" s="1571"/>
      <c r="J82" s="1571"/>
      <c r="K82" s="1571"/>
      <c r="L82" s="1571"/>
      <c r="M82" s="1571"/>
      <c r="N82" s="1571"/>
      <c r="O82" s="1571"/>
      <c r="P82" s="1571"/>
      <c r="Q82" s="1571"/>
    </row>
    <row r="83" spans="2:17" s="1568" customFormat="1">
      <c r="B83" s="1571"/>
      <c r="C83" s="1571"/>
      <c r="D83" s="1571"/>
      <c r="E83" s="1571"/>
      <c r="F83" s="1571"/>
      <c r="G83" s="1571"/>
      <c r="H83" s="1571"/>
      <c r="I83" s="1571"/>
      <c r="J83" s="1571"/>
      <c r="K83" s="1571"/>
      <c r="L83" s="1571"/>
      <c r="M83" s="1571"/>
      <c r="N83" s="1571"/>
      <c r="O83" s="1571"/>
      <c r="P83" s="1571"/>
      <c r="Q83" s="1571"/>
    </row>
    <row r="84" spans="2:17" s="1568" customFormat="1">
      <c r="B84" s="1571"/>
      <c r="C84" s="1571"/>
      <c r="D84" s="1571"/>
      <c r="E84" s="1571"/>
      <c r="F84" s="1571"/>
      <c r="G84" s="1571"/>
      <c r="H84" s="1571"/>
      <c r="I84" s="1571"/>
      <c r="J84" s="1571"/>
      <c r="K84" s="1571"/>
      <c r="L84" s="1571"/>
      <c r="M84" s="1571"/>
      <c r="N84" s="1571"/>
      <c r="O84" s="1571"/>
      <c r="P84" s="1571"/>
      <c r="Q84" s="1571"/>
    </row>
    <row r="85" spans="2:17" s="1568" customFormat="1">
      <c r="B85" s="1571"/>
      <c r="C85" s="1571"/>
      <c r="D85" s="1571"/>
      <c r="E85" s="1571"/>
      <c r="F85" s="1571"/>
      <c r="G85" s="1571"/>
      <c r="H85" s="1571"/>
      <c r="I85" s="1571"/>
      <c r="J85" s="1571"/>
      <c r="K85" s="1571"/>
      <c r="L85" s="1571"/>
      <c r="M85" s="1571"/>
      <c r="N85" s="1571"/>
      <c r="O85" s="1571"/>
      <c r="P85" s="1571"/>
      <c r="Q85" s="1571"/>
    </row>
    <row r="86" spans="2:17" s="1568" customFormat="1">
      <c r="B86" s="1571"/>
      <c r="C86" s="1571"/>
      <c r="D86" s="1571"/>
      <c r="E86" s="1571"/>
      <c r="F86" s="1571"/>
      <c r="G86" s="1571"/>
      <c r="H86" s="1571"/>
      <c r="I86" s="1571"/>
      <c r="J86" s="1571"/>
      <c r="K86" s="1571"/>
      <c r="L86" s="1571"/>
      <c r="M86" s="1571"/>
      <c r="N86" s="1571"/>
      <c r="O86" s="1571"/>
      <c r="P86" s="1571"/>
      <c r="Q86" s="1571"/>
    </row>
    <row r="87" spans="2:17" s="1568" customFormat="1">
      <c r="B87" s="1571"/>
      <c r="C87" s="1571"/>
      <c r="D87" s="1571"/>
      <c r="E87" s="1571"/>
      <c r="F87" s="1571"/>
      <c r="G87" s="1571"/>
      <c r="H87" s="1571"/>
      <c r="I87" s="1571"/>
      <c r="J87" s="1571"/>
      <c r="K87" s="1571"/>
      <c r="L87" s="1571"/>
      <c r="M87" s="1571"/>
      <c r="N87" s="1571"/>
      <c r="O87" s="1571"/>
      <c r="P87" s="1571"/>
      <c r="Q87" s="1571"/>
    </row>
    <row r="88" spans="2:17" s="1568" customFormat="1">
      <c r="B88" s="1571"/>
      <c r="C88" s="1571"/>
      <c r="D88" s="1571"/>
      <c r="E88" s="1571"/>
      <c r="F88" s="1571"/>
      <c r="G88" s="1571"/>
      <c r="H88" s="1571"/>
      <c r="I88" s="1571"/>
      <c r="J88" s="1571"/>
      <c r="K88" s="1571"/>
      <c r="L88" s="1571"/>
      <c r="M88" s="1571"/>
      <c r="N88" s="1571"/>
      <c r="O88" s="1571"/>
      <c r="P88" s="1571"/>
      <c r="Q88" s="1571"/>
    </row>
    <row r="89" spans="2:17" s="1568" customFormat="1">
      <c r="B89" s="1571"/>
      <c r="C89" s="1571"/>
      <c r="D89" s="1571"/>
      <c r="E89" s="1571"/>
      <c r="F89" s="1571"/>
      <c r="G89" s="1571"/>
      <c r="H89" s="1571"/>
      <c r="I89" s="1571"/>
      <c r="J89" s="1571"/>
      <c r="K89" s="1571"/>
      <c r="L89" s="1571"/>
      <c r="M89" s="1571"/>
      <c r="N89" s="1571"/>
      <c r="O89" s="1571"/>
      <c r="P89" s="1571"/>
      <c r="Q89" s="1571"/>
    </row>
    <row r="90" spans="2:17" s="1568" customFormat="1">
      <c r="B90" s="1571"/>
      <c r="C90" s="1571"/>
      <c r="D90" s="1571"/>
      <c r="E90" s="1571"/>
      <c r="F90" s="1571"/>
      <c r="G90" s="1571"/>
      <c r="H90" s="1571"/>
      <c r="I90" s="1571"/>
      <c r="J90" s="1571"/>
      <c r="K90" s="1571"/>
      <c r="L90" s="1571"/>
      <c r="M90" s="1571"/>
      <c r="N90" s="1571"/>
      <c r="O90" s="1571"/>
      <c r="P90" s="1571"/>
      <c r="Q90" s="1571"/>
    </row>
    <row r="91" spans="2:17" s="1568" customFormat="1">
      <c r="B91" s="1571"/>
      <c r="C91" s="1571"/>
      <c r="D91" s="1571"/>
      <c r="E91" s="1571"/>
      <c r="F91" s="1571"/>
      <c r="G91" s="1571"/>
      <c r="H91" s="1571"/>
      <c r="I91" s="1571"/>
      <c r="J91" s="1571"/>
      <c r="K91" s="1571"/>
      <c r="L91" s="1571"/>
      <c r="M91" s="1571"/>
      <c r="N91" s="1571"/>
      <c r="O91" s="1571"/>
      <c r="P91" s="1571"/>
      <c r="Q91" s="1571"/>
    </row>
    <row r="92" spans="2:17" s="1568" customFormat="1">
      <c r="B92" s="1571"/>
      <c r="C92" s="1571"/>
      <c r="D92" s="1571"/>
      <c r="E92" s="1571"/>
      <c r="F92" s="1571"/>
      <c r="G92" s="1571"/>
      <c r="H92" s="1571"/>
      <c r="I92" s="1571"/>
      <c r="J92" s="1571"/>
      <c r="K92" s="1571"/>
      <c r="L92" s="1571"/>
      <c r="M92" s="1571"/>
      <c r="N92" s="1571"/>
      <c r="O92" s="1571"/>
      <c r="P92" s="1571"/>
      <c r="Q92" s="1571"/>
    </row>
    <row r="93" spans="2:17" s="1568" customFormat="1">
      <c r="B93" s="1571"/>
      <c r="C93" s="1571"/>
      <c r="D93" s="1571"/>
      <c r="E93" s="1571"/>
      <c r="F93" s="1571"/>
      <c r="G93" s="1571"/>
      <c r="H93" s="1571"/>
      <c r="I93" s="1571"/>
      <c r="J93" s="1571"/>
      <c r="K93" s="1571"/>
      <c r="L93" s="1571"/>
      <c r="M93" s="1571"/>
      <c r="N93" s="1571"/>
      <c r="O93" s="1571"/>
      <c r="P93" s="1571"/>
      <c r="Q93" s="1571"/>
    </row>
    <row r="94" spans="2:17" s="1568" customFormat="1">
      <c r="B94" s="1571"/>
      <c r="C94" s="1571"/>
      <c r="D94" s="1571"/>
      <c r="E94" s="1571"/>
      <c r="F94" s="1571"/>
      <c r="G94" s="1571"/>
      <c r="H94" s="1571"/>
      <c r="I94" s="1571"/>
      <c r="J94" s="1571"/>
      <c r="K94" s="1571"/>
      <c r="L94" s="1571"/>
      <c r="M94" s="1571"/>
      <c r="N94" s="1571"/>
      <c r="O94" s="1571"/>
      <c r="P94" s="1571"/>
      <c r="Q94" s="1571"/>
    </row>
    <row r="95" spans="2:17" s="1568" customFormat="1">
      <c r="B95" s="1571"/>
      <c r="C95" s="1571"/>
      <c r="D95" s="1571"/>
      <c r="E95" s="1571"/>
      <c r="F95" s="1571"/>
      <c r="G95" s="1571"/>
      <c r="H95" s="1571"/>
      <c r="I95" s="1571"/>
      <c r="J95" s="1571"/>
      <c r="K95" s="1571"/>
      <c r="L95" s="1571"/>
      <c r="M95" s="1571"/>
      <c r="N95" s="1571"/>
      <c r="O95" s="1571"/>
      <c r="P95" s="1571"/>
      <c r="Q95" s="1571"/>
    </row>
    <row r="96" spans="2:17" s="1568" customFormat="1">
      <c r="B96" s="1571"/>
      <c r="C96" s="1571"/>
      <c r="D96" s="1571"/>
      <c r="E96" s="1571"/>
      <c r="F96" s="1571"/>
      <c r="G96" s="1571"/>
      <c r="H96" s="1571"/>
      <c r="I96" s="1571"/>
      <c r="J96" s="1571"/>
      <c r="K96" s="1571"/>
      <c r="L96" s="1571"/>
      <c r="M96" s="1571"/>
      <c r="N96" s="1571"/>
      <c r="O96" s="1571"/>
      <c r="P96" s="1571"/>
      <c r="Q96" s="1571"/>
    </row>
    <row r="97" spans="2:17" s="1568" customFormat="1">
      <c r="B97" s="1571"/>
      <c r="C97" s="1571"/>
      <c r="D97" s="1571"/>
      <c r="E97" s="1571"/>
      <c r="F97" s="1571"/>
      <c r="G97" s="1571"/>
      <c r="H97" s="1571"/>
      <c r="I97" s="1571"/>
      <c r="J97" s="1571"/>
      <c r="K97" s="1571"/>
      <c r="L97" s="1571"/>
      <c r="M97" s="1571"/>
      <c r="N97" s="1571"/>
      <c r="O97" s="1571"/>
      <c r="P97" s="1571"/>
      <c r="Q97" s="1571"/>
    </row>
    <row r="98" spans="2:17" s="1568" customFormat="1">
      <c r="B98" s="1571"/>
      <c r="C98" s="1571"/>
      <c r="D98" s="1571"/>
      <c r="E98" s="1571"/>
      <c r="F98" s="1571"/>
      <c r="G98" s="1571"/>
      <c r="H98" s="1571"/>
      <c r="I98" s="1571"/>
      <c r="J98" s="1571"/>
      <c r="K98" s="1571"/>
      <c r="L98" s="1571"/>
      <c r="M98" s="1571"/>
      <c r="N98" s="1571"/>
      <c r="O98" s="1571"/>
      <c r="P98" s="1571"/>
      <c r="Q98" s="1571"/>
    </row>
    <row r="99" spans="2:17" s="1568" customFormat="1">
      <c r="B99" s="1571"/>
      <c r="C99" s="1571"/>
      <c r="D99" s="1571"/>
      <c r="E99" s="1571"/>
      <c r="F99" s="1571"/>
      <c r="G99" s="1571"/>
      <c r="H99" s="1571"/>
      <c r="I99" s="1571"/>
      <c r="J99" s="1571"/>
      <c r="K99" s="1571"/>
      <c r="L99" s="1571"/>
      <c r="M99" s="1571"/>
      <c r="N99" s="1571"/>
      <c r="O99" s="1571"/>
      <c r="P99" s="1571"/>
      <c r="Q99" s="1571"/>
    </row>
    <row r="100" spans="2:17" s="1568" customFormat="1">
      <c r="B100" s="1571"/>
      <c r="C100" s="1571"/>
      <c r="D100" s="1571"/>
      <c r="E100" s="1571"/>
      <c r="F100" s="1571"/>
      <c r="G100" s="1571"/>
      <c r="H100" s="1571"/>
      <c r="I100" s="1571"/>
      <c r="J100" s="1571"/>
      <c r="K100" s="1571"/>
      <c r="L100" s="1571"/>
      <c r="M100" s="1571"/>
      <c r="N100" s="1571"/>
      <c r="O100" s="1571"/>
      <c r="P100" s="1571"/>
      <c r="Q100" s="1571"/>
    </row>
    <row r="101" spans="2:17" s="1568" customFormat="1">
      <c r="B101" s="1571"/>
      <c r="C101" s="1571"/>
      <c r="D101" s="1571"/>
      <c r="E101" s="1571"/>
      <c r="F101" s="1571"/>
      <c r="G101" s="1571"/>
      <c r="H101" s="1571"/>
      <c r="I101" s="1571"/>
      <c r="J101" s="1571"/>
      <c r="K101" s="1571"/>
      <c r="L101" s="1571"/>
      <c r="M101" s="1571"/>
      <c r="N101" s="1571"/>
      <c r="O101" s="1571"/>
      <c r="P101" s="1571"/>
      <c r="Q101" s="1571"/>
    </row>
    <row r="102" spans="2:17" s="1568" customFormat="1">
      <c r="B102" s="1571"/>
      <c r="C102" s="1571"/>
      <c r="D102" s="1571"/>
      <c r="E102" s="1571"/>
      <c r="F102" s="1571"/>
      <c r="G102" s="1571"/>
      <c r="H102" s="1571"/>
      <c r="I102" s="1571"/>
      <c r="J102" s="1571"/>
      <c r="K102" s="1571"/>
      <c r="L102" s="1571"/>
      <c r="M102" s="1571"/>
      <c r="N102" s="1571"/>
      <c r="O102" s="1571"/>
      <c r="P102" s="1571"/>
      <c r="Q102" s="1571"/>
    </row>
    <row r="103" spans="2:17" s="1568" customFormat="1">
      <c r="B103" s="1571"/>
      <c r="C103" s="1571"/>
      <c r="D103" s="1571"/>
      <c r="E103" s="1571"/>
      <c r="F103" s="1571"/>
      <c r="G103" s="1571"/>
      <c r="H103" s="1571"/>
      <c r="I103" s="1571"/>
      <c r="J103" s="1571"/>
      <c r="K103" s="1571"/>
      <c r="L103" s="1571"/>
      <c r="M103" s="1571"/>
      <c r="N103" s="1571"/>
      <c r="O103" s="1571"/>
      <c r="P103" s="1571"/>
      <c r="Q103" s="1571"/>
    </row>
    <row r="104" spans="2:17" s="1568" customFormat="1">
      <c r="B104" s="1571"/>
      <c r="C104" s="1571"/>
      <c r="D104" s="1571"/>
      <c r="E104" s="1571"/>
      <c r="F104" s="1571"/>
      <c r="G104" s="1571"/>
      <c r="H104" s="1571"/>
      <c r="I104" s="1571"/>
      <c r="J104" s="1571"/>
      <c r="K104" s="1571"/>
      <c r="L104" s="1571"/>
      <c r="M104" s="1571"/>
      <c r="N104" s="1571"/>
      <c r="O104" s="1571"/>
      <c r="P104" s="1571"/>
      <c r="Q104" s="1571"/>
    </row>
    <row r="105" spans="2:17" s="1568" customFormat="1">
      <c r="B105" s="1571"/>
      <c r="C105" s="1571"/>
      <c r="D105" s="1571"/>
      <c r="E105" s="1571"/>
      <c r="F105" s="1571"/>
      <c r="G105" s="1571"/>
      <c r="H105" s="1571"/>
      <c r="I105" s="1571"/>
      <c r="J105" s="1571"/>
      <c r="K105" s="1571"/>
      <c r="L105" s="1571"/>
      <c r="M105" s="1571"/>
      <c r="N105" s="1571"/>
      <c r="O105" s="1571"/>
      <c r="P105" s="1571"/>
      <c r="Q105" s="1571"/>
    </row>
    <row r="106" spans="2:17" s="1568" customFormat="1">
      <c r="B106" s="1571"/>
      <c r="C106" s="1571"/>
      <c r="D106" s="1571"/>
      <c r="E106" s="1571"/>
      <c r="F106" s="1571"/>
      <c r="G106" s="1571"/>
      <c r="H106" s="1571"/>
      <c r="I106" s="1571"/>
      <c r="J106" s="1571"/>
      <c r="K106" s="1571"/>
      <c r="L106" s="1571"/>
      <c r="M106" s="1571"/>
      <c r="N106" s="1571"/>
      <c r="O106" s="1571"/>
      <c r="P106" s="1571"/>
      <c r="Q106" s="1571"/>
    </row>
    <row r="107" spans="2:17" s="1568" customFormat="1">
      <c r="B107" s="1571"/>
      <c r="C107" s="1571"/>
      <c r="D107" s="1571"/>
      <c r="E107" s="1571"/>
      <c r="F107" s="1571"/>
      <c r="G107" s="1571"/>
      <c r="H107" s="1571"/>
      <c r="I107" s="1571"/>
      <c r="J107" s="1571"/>
      <c r="K107" s="1571"/>
      <c r="L107" s="1571"/>
      <c r="M107" s="1571"/>
      <c r="N107" s="1571"/>
      <c r="O107" s="1571"/>
      <c r="P107" s="1571"/>
      <c r="Q107" s="1571"/>
    </row>
    <row r="108" spans="2:17" s="1568" customFormat="1">
      <c r="B108" s="1571"/>
      <c r="C108" s="1571"/>
      <c r="D108" s="1571"/>
      <c r="E108" s="1571"/>
      <c r="F108" s="1571"/>
      <c r="G108" s="1571"/>
      <c r="H108" s="1571"/>
      <c r="I108" s="1571"/>
      <c r="J108" s="1571"/>
      <c r="K108" s="1571"/>
      <c r="L108" s="1571"/>
      <c r="M108" s="1571"/>
      <c r="N108" s="1571"/>
      <c r="O108" s="1571"/>
      <c r="P108" s="1571"/>
      <c r="Q108" s="1571"/>
    </row>
    <row r="109" spans="2:17" s="1568" customFormat="1">
      <c r="B109" s="1571"/>
      <c r="C109" s="1571"/>
      <c r="D109" s="1571"/>
      <c r="E109" s="1571"/>
      <c r="F109" s="1571"/>
      <c r="G109" s="1571"/>
      <c r="H109" s="1571"/>
      <c r="I109" s="1571"/>
      <c r="J109" s="1571"/>
      <c r="K109" s="1571"/>
      <c r="L109" s="1571"/>
      <c r="M109" s="1571"/>
      <c r="N109" s="1571"/>
      <c r="O109" s="1571"/>
      <c r="P109" s="1571"/>
      <c r="Q109" s="1571"/>
    </row>
    <row r="110" spans="2:17" s="1568" customFormat="1">
      <c r="B110" s="1571"/>
      <c r="C110" s="1571"/>
      <c r="D110" s="1571"/>
      <c r="E110" s="1571"/>
      <c r="F110" s="1571"/>
      <c r="G110" s="1571"/>
      <c r="H110" s="1571"/>
      <c r="I110" s="1571"/>
      <c r="J110" s="1571"/>
      <c r="K110" s="1571"/>
      <c r="L110" s="1571"/>
      <c r="M110" s="1571"/>
      <c r="N110" s="1571"/>
      <c r="O110" s="1571"/>
      <c r="P110" s="1571"/>
      <c r="Q110" s="1571"/>
    </row>
    <row r="111" spans="2:17" s="1568" customFormat="1">
      <c r="B111" s="1571"/>
      <c r="C111" s="1571"/>
      <c r="D111" s="1571"/>
      <c r="E111" s="1571"/>
      <c r="F111" s="1571"/>
      <c r="G111" s="1571"/>
      <c r="H111" s="1571"/>
      <c r="I111" s="1571"/>
      <c r="J111" s="1571"/>
      <c r="K111" s="1571"/>
      <c r="L111" s="1571"/>
      <c r="M111" s="1571"/>
      <c r="N111" s="1571"/>
      <c r="O111" s="1571"/>
      <c r="P111" s="1571"/>
      <c r="Q111" s="1571"/>
    </row>
    <row r="112" spans="2:17" s="1568" customFormat="1">
      <c r="B112" s="1571"/>
      <c r="C112" s="1571"/>
      <c r="D112" s="1571"/>
      <c r="E112" s="1571"/>
      <c r="F112" s="1571"/>
      <c r="G112" s="1571"/>
      <c r="H112" s="1571"/>
      <c r="I112" s="1571"/>
      <c r="J112" s="1571"/>
      <c r="K112" s="1571"/>
      <c r="L112" s="1571"/>
      <c r="M112" s="1571"/>
      <c r="N112" s="1571"/>
      <c r="O112" s="1571"/>
      <c r="P112" s="1571"/>
      <c r="Q112" s="1571"/>
    </row>
    <row r="113" spans="2:17" s="1568" customFormat="1">
      <c r="B113" s="1571"/>
      <c r="C113" s="1571"/>
      <c r="D113" s="1571"/>
      <c r="E113" s="1571"/>
      <c r="F113" s="1571"/>
      <c r="G113" s="1571"/>
      <c r="H113" s="1571"/>
      <c r="I113" s="1571"/>
      <c r="J113" s="1571"/>
      <c r="K113" s="1571"/>
      <c r="L113" s="1571"/>
      <c r="M113" s="1571"/>
      <c r="N113" s="1571"/>
      <c r="O113" s="1571"/>
      <c r="P113" s="1571"/>
      <c r="Q113" s="1571"/>
    </row>
    <row r="114" spans="2:17" s="1568" customFormat="1">
      <c r="B114" s="1571"/>
      <c r="C114" s="1571"/>
      <c r="D114" s="1571"/>
      <c r="E114" s="1571"/>
      <c r="F114" s="1571"/>
      <c r="G114" s="1571"/>
      <c r="H114" s="1571"/>
      <c r="I114" s="1571"/>
      <c r="J114" s="1571"/>
      <c r="K114" s="1571"/>
      <c r="L114" s="1571"/>
      <c r="M114" s="1571"/>
      <c r="N114" s="1571"/>
      <c r="O114" s="1571"/>
      <c r="P114" s="1571"/>
      <c r="Q114" s="1571"/>
    </row>
    <row r="115" spans="2:17" s="1568" customFormat="1">
      <c r="B115" s="1571"/>
      <c r="C115" s="1571"/>
      <c r="D115" s="1571"/>
      <c r="E115" s="1571"/>
      <c r="F115" s="1571"/>
      <c r="G115" s="1571"/>
      <c r="H115" s="1571"/>
      <c r="I115" s="1571"/>
      <c r="J115" s="1571"/>
      <c r="K115" s="1571"/>
      <c r="L115" s="1571"/>
      <c r="M115" s="1571"/>
      <c r="N115" s="1571"/>
      <c r="O115" s="1571"/>
      <c r="P115" s="1571"/>
      <c r="Q115" s="1571"/>
    </row>
    <row r="116" spans="2:17" s="1568" customFormat="1">
      <c r="B116" s="1571"/>
      <c r="C116" s="1571"/>
      <c r="D116" s="1571"/>
      <c r="E116" s="1571"/>
      <c r="F116" s="1571"/>
      <c r="G116" s="1571"/>
      <c r="H116" s="1571"/>
      <c r="I116" s="1571"/>
      <c r="J116" s="1571"/>
      <c r="K116" s="1571"/>
      <c r="L116" s="1571"/>
      <c r="M116" s="1571"/>
      <c r="N116" s="1571"/>
      <c r="O116" s="1571"/>
      <c r="P116" s="1571"/>
      <c r="Q116" s="1571"/>
    </row>
    <row r="117" spans="2:17" s="1568" customFormat="1">
      <c r="B117" s="1571"/>
      <c r="C117" s="1571"/>
      <c r="D117" s="1571"/>
      <c r="E117" s="1571"/>
      <c r="F117" s="1571"/>
      <c r="G117" s="1571"/>
      <c r="H117" s="1571"/>
      <c r="I117" s="1571"/>
      <c r="J117" s="1571"/>
      <c r="K117" s="1571"/>
      <c r="L117" s="1571"/>
      <c r="M117" s="1571"/>
      <c r="N117" s="1571"/>
      <c r="O117" s="1571"/>
      <c r="P117" s="1571"/>
      <c r="Q117" s="1571"/>
    </row>
    <row r="118" spans="2:17" s="1568" customFormat="1">
      <c r="B118" s="1571"/>
      <c r="C118" s="1571"/>
      <c r="D118" s="1571"/>
      <c r="E118" s="1571"/>
      <c r="F118" s="1571"/>
      <c r="G118" s="1571"/>
      <c r="H118" s="1571"/>
      <c r="I118" s="1571"/>
      <c r="J118" s="1571"/>
      <c r="K118" s="1571"/>
      <c r="L118" s="1571"/>
      <c r="M118" s="1571"/>
      <c r="N118" s="1571"/>
      <c r="O118" s="1571"/>
      <c r="P118" s="1571"/>
      <c r="Q118" s="1571"/>
    </row>
    <row r="119" spans="2:17" s="1568" customFormat="1">
      <c r="B119" s="1571"/>
      <c r="C119" s="1571"/>
      <c r="D119" s="1571"/>
      <c r="E119" s="1571"/>
      <c r="F119" s="1571"/>
      <c r="G119" s="1571"/>
      <c r="H119" s="1571"/>
      <c r="I119" s="1571"/>
      <c r="J119" s="1571"/>
      <c r="K119" s="1571"/>
      <c r="L119" s="1571"/>
      <c r="M119" s="1571"/>
      <c r="N119" s="1571"/>
      <c r="O119" s="1571"/>
      <c r="P119" s="1571"/>
      <c r="Q119" s="1571"/>
    </row>
    <row r="120" spans="2:17" s="1568" customFormat="1">
      <c r="B120" s="1571"/>
      <c r="C120" s="1571"/>
      <c r="D120" s="1571"/>
      <c r="E120" s="1571"/>
      <c r="F120" s="1571"/>
      <c r="G120" s="1571"/>
      <c r="H120" s="1571"/>
      <c r="I120" s="1571"/>
      <c r="J120" s="1571"/>
      <c r="K120" s="1571"/>
      <c r="L120" s="1571"/>
      <c r="M120" s="1571"/>
      <c r="N120" s="1571"/>
      <c r="O120" s="1571"/>
      <c r="P120" s="1571"/>
      <c r="Q120" s="1571"/>
    </row>
    <row r="121" spans="2:17" s="1568" customFormat="1">
      <c r="B121" s="1571"/>
      <c r="C121" s="1571"/>
      <c r="D121" s="1571"/>
      <c r="E121" s="1571"/>
      <c r="F121" s="1571"/>
      <c r="G121" s="1571"/>
      <c r="H121" s="1571"/>
      <c r="I121" s="1571"/>
      <c r="J121" s="1571"/>
      <c r="K121" s="1571"/>
      <c r="L121" s="1571"/>
      <c r="M121" s="1571"/>
      <c r="N121" s="1571"/>
      <c r="O121" s="1571"/>
      <c r="P121" s="1571"/>
      <c r="Q121" s="1571"/>
    </row>
    <row r="122" spans="2:17" s="1568" customFormat="1">
      <c r="B122" s="1571"/>
      <c r="C122" s="1571"/>
      <c r="D122" s="1571"/>
      <c r="E122" s="1571"/>
      <c r="F122" s="1571"/>
      <c r="G122" s="1571"/>
      <c r="H122" s="1571"/>
      <c r="I122" s="1571"/>
      <c r="J122" s="1571"/>
      <c r="K122" s="1571"/>
      <c r="L122" s="1571"/>
      <c r="M122" s="1571"/>
      <c r="N122" s="1571"/>
      <c r="O122" s="1571"/>
      <c r="P122" s="1571"/>
      <c r="Q122" s="1571"/>
    </row>
    <row r="123" spans="2:17" s="1568" customFormat="1">
      <c r="B123" s="1571"/>
      <c r="C123" s="1571"/>
      <c r="D123" s="1571"/>
      <c r="E123" s="1571"/>
      <c r="F123" s="1571"/>
      <c r="G123" s="1571"/>
      <c r="H123" s="1571"/>
      <c r="I123" s="1571"/>
      <c r="J123" s="1571"/>
      <c r="K123" s="1571"/>
      <c r="L123" s="1571"/>
      <c r="M123" s="1571"/>
      <c r="N123" s="1571"/>
      <c r="O123" s="1571"/>
      <c r="P123" s="1571"/>
      <c r="Q123" s="1571"/>
    </row>
    <row r="124" spans="2:17" s="1568" customFormat="1">
      <c r="B124" s="1571"/>
      <c r="C124" s="1571"/>
      <c r="D124" s="1571"/>
      <c r="E124" s="1571"/>
      <c r="F124" s="1571"/>
      <c r="G124" s="1571"/>
      <c r="H124" s="1571"/>
      <c r="I124" s="1571"/>
      <c r="J124" s="1571"/>
      <c r="K124" s="1571"/>
      <c r="L124" s="1571"/>
      <c r="M124" s="1571"/>
      <c r="N124" s="1571"/>
      <c r="O124" s="1571"/>
      <c r="P124" s="1571"/>
      <c r="Q124" s="1571"/>
    </row>
    <row r="125" spans="2:17" s="1568" customFormat="1">
      <c r="B125" s="1571"/>
      <c r="C125" s="1571"/>
      <c r="D125" s="1571"/>
      <c r="E125" s="1571"/>
      <c r="F125" s="1571"/>
      <c r="G125" s="1571"/>
      <c r="H125" s="1571"/>
      <c r="I125" s="1571"/>
      <c r="J125" s="1571"/>
      <c r="K125" s="1571"/>
      <c r="L125" s="1571"/>
      <c r="M125" s="1571"/>
      <c r="N125" s="1571"/>
      <c r="O125" s="1571"/>
      <c r="P125" s="1571"/>
      <c r="Q125" s="1571"/>
    </row>
    <row r="126" spans="2:17" s="1568" customFormat="1">
      <c r="B126" s="1571"/>
      <c r="C126" s="1571"/>
      <c r="D126" s="1571"/>
      <c r="E126" s="1571"/>
      <c r="F126" s="1571"/>
      <c r="G126" s="1571"/>
      <c r="H126" s="1571"/>
      <c r="I126" s="1571"/>
      <c r="J126" s="1571"/>
      <c r="K126" s="1571"/>
      <c r="L126" s="1571"/>
      <c r="M126" s="1571"/>
      <c r="N126" s="1571"/>
      <c r="O126" s="1571"/>
      <c r="P126" s="1571"/>
      <c r="Q126" s="1571"/>
    </row>
    <row r="127" spans="2:17" s="1568" customFormat="1">
      <c r="B127" s="1571"/>
      <c r="C127" s="1571"/>
      <c r="D127" s="1571"/>
      <c r="E127" s="1571"/>
      <c r="F127" s="1571"/>
      <c r="G127" s="1571"/>
      <c r="H127" s="1571"/>
      <c r="I127" s="1571"/>
      <c r="J127" s="1571"/>
      <c r="K127" s="1571"/>
      <c r="L127" s="1571"/>
      <c r="M127" s="1571"/>
      <c r="N127" s="1571"/>
      <c r="O127" s="1571"/>
      <c r="P127" s="1571"/>
      <c r="Q127" s="1571"/>
    </row>
    <row r="128" spans="2:17" s="1568" customFormat="1">
      <c r="B128" s="1571"/>
      <c r="C128" s="1571"/>
      <c r="D128" s="1571"/>
      <c r="E128" s="1571"/>
      <c r="F128" s="1571"/>
      <c r="G128" s="1571"/>
      <c r="H128" s="1571"/>
      <c r="I128" s="1571"/>
      <c r="J128" s="1571"/>
      <c r="K128" s="1571"/>
      <c r="L128" s="1571"/>
      <c r="M128" s="1571"/>
      <c r="N128" s="1571"/>
      <c r="O128" s="1571"/>
      <c r="P128" s="1571"/>
      <c r="Q128" s="1571"/>
    </row>
    <row r="129" spans="2:17" s="1568" customFormat="1">
      <c r="B129" s="1571"/>
      <c r="C129" s="1571"/>
      <c r="D129" s="1571"/>
      <c r="E129" s="1571"/>
      <c r="F129" s="1571"/>
      <c r="G129" s="1571"/>
      <c r="H129" s="1571"/>
      <c r="I129" s="1571"/>
      <c r="J129" s="1571"/>
      <c r="K129" s="1571"/>
      <c r="L129" s="1571"/>
      <c r="M129" s="1571"/>
      <c r="N129" s="1571"/>
      <c r="O129" s="1571"/>
      <c r="P129" s="1571"/>
      <c r="Q129" s="1571"/>
    </row>
    <row r="130" spans="2:17" s="1568" customFormat="1">
      <c r="B130" s="1571"/>
      <c r="C130" s="1571"/>
      <c r="D130" s="1571"/>
      <c r="E130" s="1571"/>
      <c r="F130" s="1571"/>
      <c r="G130" s="1571"/>
      <c r="H130" s="1571"/>
      <c r="I130" s="1571"/>
      <c r="J130" s="1571"/>
      <c r="K130" s="1571"/>
      <c r="L130" s="1571"/>
      <c r="M130" s="1571"/>
      <c r="N130" s="1571"/>
      <c r="O130" s="1571"/>
      <c r="P130" s="1571"/>
      <c r="Q130" s="1571"/>
    </row>
    <row r="131" spans="2:17" s="1568" customFormat="1">
      <c r="B131" s="1571"/>
      <c r="C131" s="1571"/>
      <c r="D131" s="1571"/>
      <c r="E131" s="1571"/>
      <c r="F131" s="1571"/>
      <c r="G131" s="1571"/>
      <c r="H131" s="1571"/>
      <c r="I131" s="1571"/>
      <c r="J131" s="1571"/>
      <c r="K131" s="1571"/>
      <c r="L131" s="1571"/>
      <c r="M131" s="1571"/>
      <c r="N131" s="1571"/>
      <c r="O131" s="1571"/>
      <c r="P131" s="1571"/>
      <c r="Q131" s="1571"/>
    </row>
    <row r="132" spans="2:17" s="1568" customFormat="1">
      <c r="B132" s="1571"/>
      <c r="C132" s="1571"/>
      <c r="D132" s="1571"/>
      <c r="E132" s="1571"/>
      <c r="F132" s="1571"/>
      <c r="G132" s="1571"/>
      <c r="H132" s="1571"/>
      <c r="I132" s="1571"/>
      <c r="J132" s="1571"/>
      <c r="K132" s="1571"/>
      <c r="L132" s="1571"/>
      <c r="M132" s="1571"/>
      <c r="N132" s="1571"/>
      <c r="O132" s="1571"/>
      <c r="P132" s="1571"/>
      <c r="Q132" s="1571"/>
    </row>
    <row r="133" spans="2:17" s="1568" customFormat="1">
      <c r="B133" s="1571"/>
      <c r="C133" s="1571"/>
      <c r="D133" s="1571"/>
      <c r="E133" s="1571"/>
      <c r="F133" s="1571"/>
      <c r="G133" s="1571"/>
      <c r="H133" s="1571"/>
      <c r="I133" s="1571"/>
      <c r="J133" s="1571"/>
      <c r="K133" s="1571"/>
      <c r="L133" s="1571"/>
      <c r="M133" s="1571"/>
      <c r="N133" s="1571"/>
      <c r="O133" s="1571"/>
      <c r="P133" s="1571"/>
      <c r="Q133" s="1571"/>
    </row>
    <row r="134" spans="2:17" s="1568" customFormat="1">
      <c r="B134" s="1571"/>
      <c r="C134" s="1571"/>
      <c r="D134" s="1571"/>
      <c r="E134" s="1571"/>
      <c r="F134" s="1571"/>
      <c r="G134" s="1571"/>
      <c r="H134" s="1571"/>
      <c r="I134" s="1571"/>
      <c r="J134" s="1571"/>
      <c r="K134" s="1571"/>
      <c r="L134" s="1571"/>
      <c r="M134" s="1571"/>
      <c r="N134" s="1571"/>
      <c r="O134" s="1571"/>
      <c r="P134" s="1571"/>
      <c r="Q134" s="1571"/>
    </row>
    <row r="135" spans="2:17" s="1568" customFormat="1">
      <c r="B135" s="1571"/>
      <c r="C135" s="1571"/>
      <c r="D135" s="1571"/>
      <c r="E135" s="1571"/>
      <c r="F135" s="1571"/>
      <c r="G135" s="1571"/>
      <c r="H135" s="1571"/>
      <c r="I135" s="1571"/>
      <c r="J135" s="1571"/>
      <c r="K135" s="1571"/>
      <c r="L135" s="1571"/>
      <c r="M135" s="1571"/>
      <c r="N135" s="1571"/>
      <c r="O135" s="1571"/>
      <c r="P135" s="1571"/>
      <c r="Q135" s="1571"/>
    </row>
    <row r="136" spans="2:17" s="1568" customFormat="1">
      <c r="B136" s="1571"/>
      <c r="C136" s="1571"/>
      <c r="D136" s="1571"/>
      <c r="E136" s="1571"/>
      <c r="F136" s="1571"/>
      <c r="G136" s="1571"/>
      <c r="H136" s="1571"/>
      <c r="I136" s="1571"/>
      <c r="J136" s="1571"/>
      <c r="K136" s="1571"/>
      <c r="L136" s="1571"/>
      <c r="M136" s="1571"/>
      <c r="N136" s="1571"/>
      <c r="O136" s="1571"/>
      <c r="P136" s="1571"/>
      <c r="Q136" s="1571"/>
    </row>
    <row r="137" spans="2:17" s="1568" customFormat="1">
      <c r="B137" s="1571"/>
      <c r="C137" s="1571"/>
      <c r="D137" s="1571"/>
      <c r="E137" s="1571"/>
      <c r="F137" s="1571"/>
      <c r="G137" s="1571"/>
      <c r="H137" s="1571"/>
      <c r="I137" s="1571"/>
      <c r="J137" s="1571"/>
      <c r="K137" s="1571"/>
      <c r="L137" s="1571"/>
      <c r="M137" s="1571"/>
      <c r="N137" s="1571"/>
      <c r="O137" s="1571"/>
      <c r="P137" s="1571"/>
      <c r="Q137" s="1571"/>
    </row>
    <row r="138" spans="2:17" s="1568" customFormat="1">
      <c r="B138" s="1571"/>
      <c r="C138" s="1571"/>
      <c r="D138" s="1571"/>
      <c r="E138" s="1571"/>
      <c r="F138" s="1571"/>
      <c r="G138" s="1571"/>
      <c r="H138" s="1571"/>
      <c r="I138" s="1571"/>
      <c r="J138" s="1571"/>
      <c r="K138" s="1571"/>
      <c r="L138" s="1571"/>
      <c r="M138" s="1571"/>
      <c r="N138" s="1571"/>
      <c r="O138" s="1571"/>
      <c r="P138" s="1571"/>
      <c r="Q138" s="1571"/>
    </row>
    <row r="139" spans="2:17" s="1568" customFormat="1">
      <c r="B139" s="1571"/>
      <c r="C139" s="1571"/>
      <c r="D139" s="1571"/>
      <c r="E139" s="1571"/>
      <c r="F139" s="1571"/>
      <c r="G139" s="1571"/>
      <c r="H139" s="1571"/>
      <c r="I139" s="1571"/>
      <c r="J139" s="1571"/>
      <c r="K139" s="1571"/>
      <c r="L139" s="1571"/>
      <c r="M139" s="1571"/>
      <c r="N139" s="1571"/>
      <c r="O139" s="1571"/>
      <c r="P139" s="1571"/>
      <c r="Q139" s="1571"/>
    </row>
    <row r="140" spans="2:17" s="1568" customFormat="1">
      <c r="B140" s="1571"/>
      <c r="C140" s="1571"/>
      <c r="D140" s="1571"/>
      <c r="E140" s="1571"/>
      <c r="F140" s="1571"/>
      <c r="G140" s="1571"/>
      <c r="H140" s="1571"/>
      <c r="I140" s="1571"/>
      <c r="J140" s="1571"/>
      <c r="K140" s="1571"/>
      <c r="L140" s="1571"/>
      <c r="M140" s="1571"/>
      <c r="N140" s="1571"/>
      <c r="O140" s="1571"/>
      <c r="P140" s="1571"/>
      <c r="Q140" s="1571"/>
    </row>
    <row r="141" spans="2:17" s="1568" customFormat="1">
      <c r="B141" s="1571"/>
      <c r="C141" s="1571"/>
      <c r="D141" s="1571"/>
      <c r="E141" s="1571"/>
      <c r="F141" s="1571"/>
      <c r="G141" s="1571"/>
      <c r="H141" s="1571"/>
      <c r="I141" s="1571"/>
      <c r="J141" s="1571"/>
      <c r="K141" s="1571"/>
      <c r="L141" s="1571"/>
      <c r="M141" s="1571"/>
      <c r="N141" s="1571"/>
      <c r="O141" s="1571"/>
      <c r="P141" s="1571"/>
      <c r="Q141" s="1571"/>
    </row>
    <row r="142" spans="2:17" s="1568" customFormat="1">
      <c r="B142" s="1571"/>
      <c r="C142" s="1571"/>
      <c r="D142" s="1571"/>
      <c r="E142" s="1571"/>
      <c r="F142" s="1571"/>
      <c r="G142" s="1571"/>
      <c r="H142" s="1571"/>
      <c r="I142" s="1571"/>
      <c r="J142" s="1571"/>
      <c r="K142" s="1571"/>
      <c r="L142" s="1571"/>
      <c r="M142" s="1571"/>
      <c r="N142" s="1571"/>
      <c r="O142" s="1571"/>
      <c r="P142" s="1571"/>
      <c r="Q142" s="1571"/>
    </row>
    <row r="143" spans="2:17" s="1568" customFormat="1">
      <c r="B143" s="1571"/>
      <c r="C143" s="1571"/>
      <c r="D143" s="1571"/>
      <c r="E143" s="1571"/>
      <c r="F143" s="1571"/>
      <c r="G143" s="1571"/>
      <c r="H143" s="1571"/>
      <c r="I143" s="1571"/>
      <c r="J143" s="1571"/>
      <c r="K143" s="1571"/>
      <c r="L143" s="1571"/>
      <c r="M143" s="1571"/>
      <c r="N143" s="1571"/>
      <c r="O143" s="1571"/>
      <c r="P143" s="1571"/>
      <c r="Q143" s="1571"/>
    </row>
    <row r="144" spans="2:17" s="1568" customFormat="1">
      <c r="B144" s="1571"/>
      <c r="C144" s="1571"/>
      <c r="D144" s="1571"/>
      <c r="E144" s="1571"/>
      <c r="F144" s="1571"/>
      <c r="G144" s="1571"/>
      <c r="H144" s="1571"/>
      <c r="I144" s="1571"/>
      <c r="J144" s="1571"/>
      <c r="K144" s="1571"/>
      <c r="L144" s="1571"/>
      <c r="M144" s="1571"/>
      <c r="N144" s="1571"/>
      <c r="O144" s="1571"/>
      <c r="P144" s="1571"/>
      <c r="Q144" s="1571"/>
    </row>
    <row r="145" spans="2:17" s="1568" customFormat="1">
      <c r="B145" s="1571"/>
      <c r="C145" s="1571"/>
      <c r="D145" s="1571"/>
      <c r="E145" s="1571"/>
      <c r="F145" s="1571"/>
      <c r="G145" s="1571"/>
      <c r="H145" s="1571"/>
      <c r="I145" s="1571"/>
      <c r="J145" s="1571"/>
      <c r="K145" s="1571"/>
      <c r="L145" s="1571"/>
      <c r="M145" s="1571"/>
      <c r="N145" s="1571"/>
      <c r="O145" s="1571"/>
      <c r="P145" s="1571"/>
      <c r="Q145" s="1571"/>
    </row>
    <row r="146" spans="2:17" s="1568" customFormat="1">
      <c r="B146" s="1571"/>
      <c r="C146" s="1571"/>
      <c r="D146" s="1571"/>
      <c r="E146" s="1571"/>
      <c r="F146" s="1571"/>
      <c r="G146" s="1571"/>
      <c r="H146" s="1571"/>
      <c r="I146" s="1571"/>
      <c r="J146" s="1571"/>
      <c r="K146" s="1571"/>
      <c r="L146" s="1571"/>
      <c r="M146" s="1571"/>
      <c r="N146" s="1571"/>
      <c r="O146" s="1571"/>
      <c r="P146" s="1571"/>
      <c r="Q146" s="1571"/>
    </row>
    <row r="147" spans="2:17" s="1568" customFormat="1">
      <c r="B147" s="1571"/>
      <c r="C147" s="1571"/>
      <c r="D147" s="1571"/>
      <c r="E147" s="1571"/>
      <c r="F147" s="1571"/>
      <c r="G147" s="1571"/>
      <c r="H147" s="1571"/>
      <c r="I147" s="1571"/>
      <c r="J147" s="1571"/>
      <c r="K147" s="1571"/>
      <c r="L147" s="1571"/>
      <c r="M147" s="1571"/>
      <c r="N147" s="1571"/>
      <c r="O147" s="1571"/>
      <c r="P147" s="1571"/>
      <c r="Q147" s="1571"/>
    </row>
    <row r="148" spans="2:17" s="1568" customFormat="1">
      <c r="B148" s="1571"/>
      <c r="C148" s="1571"/>
      <c r="D148" s="1571"/>
      <c r="E148" s="1571"/>
      <c r="F148" s="1571"/>
      <c r="G148" s="1571"/>
      <c r="H148" s="1571"/>
      <c r="I148" s="1571"/>
      <c r="J148" s="1571"/>
      <c r="K148" s="1571"/>
      <c r="L148" s="1571"/>
      <c r="M148" s="1571"/>
      <c r="N148" s="1571"/>
      <c r="O148" s="1571"/>
      <c r="P148" s="1571"/>
      <c r="Q148" s="1571"/>
    </row>
    <row r="149" spans="2:17" s="1568" customFormat="1">
      <c r="B149" s="1571"/>
      <c r="C149" s="1571"/>
      <c r="D149" s="1571"/>
      <c r="E149" s="1571"/>
      <c r="F149" s="1571"/>
      <c r="G149" s="1571"/>
      <c r="H149" s="1571"/>
      <c r="I149" s="1571"/>
      <c r="J149" s="1571"/>
      <c r="K149" s="1571"/>
      <c r="L149" s="1571"/>
      <c r="M149" s="1571"/>
      <c r="N149" s="1571"/>
      <c r="O149" s="1571"/>
      <c r="P149" s="1571"/>
      <c r="Q149" s="1571"/>
    </row>
    <row r="150" spans="2:17" s="1568" customFormat="1">
      <c r="B150" s="1571"/>
      <c r="C150" s="1571"/>
      <c r="D150" s="1571"/>
      <c r="E150" s="1571"/>
      <c r="F150" s="1571"/>
      <c r="G150" s="1571"/>
      <c r="H150" s="1571"/>
      <c r="I150" s="1571"/>
      <c r="J150" s="1571"/>
      <c r="K150" s="1571"/>
      <c r="L150" s="1571"/>
      <c r="M150" s="1571"/>
      <c r="N150" s="1571"/>
      <c r="O150" s="1571"/>
      <c r="P150" s="1571"/>
      <c r="Q150" s="1571"/>
    </row>
    <row r="151" spans="2:17" s="1568" customFormat="1">
      <c r="B151" s="1571"/>
      <c r="C151" s="1571"/>
      <c r="D151" s="1571"/>
      <c r="E151" s="1571"/>
      <c r="F151" s="1571"/>
      <c r="G151" s="1571"/>
      <c r="H151" s="1571"/>
      <c r="I151" s="1571"/>
      <c r="J151" s="1571"/>
      <c r="K151" s="1571"/>
      <c r="L151" s="1571"/>
      <c r="M151" s="1571"/>
      <c r="N151" s="1571"/>
      <c r="O151" s="1571"/>
      <c r="P151" s="1571"/>
      <c r="Q151" s="1571"/>
    </row>
    <row r="152" spans="2:17" s="1568" customFormat="1">
      <c r="B152" s="1571"/>
      <c r="C152" s="1571"/>
      <c r="D152" s="1571"/>
      <c r="E152" s="1571"/>
      <c r="F152" s="1571"/>
      <c r="G152" s="1571"/>
      <c r="H152" s="1571"/>
      <c r="I152" s="1571"/>
      <c r="J152" s="1571"/>
      <c r="K152" s="1571"/>
      <c r="L152" s="1571"/>
      <c r="M152" s="1571"/>
      <c r="N152" s="1571"/>
      <c r="O152" s="1571"/>
      <c r="P152" s="1571"/>
      <c r="Q152" s="1571"/>
    </row>
    <row r="153" spans="2:17" s="1568" customFormat="1">
      <c r="B153" s="1571"/>
      <c r="C153" s="1571"/>
      <c r="D153" s="1571"/>
      <c r="E153" s="1571"/>
      <c r="F153" s="1571"/>
      <c r="G153" s="1571"/>
      <c r="H153" s="1571"/>
      <c r="I153" s="1571"/>
      <c r="J153" s="1571"/>
      <c r="K153" s="1571"/>
      <c r="L153" s="1571"/>
      <c r="M153" s="1571"/>
      <c r="N153" s="1571"/>
      <c r="O153" s="1571"/>
      <c r="P153" s="1571"/>
      <c r="Q153" s="1571"/>
    </row>
    <row r="154" spans="2:17" s="1568" customFormat="1">
      <c r="B154" s="1571"/>
      <c r="C154" s="1571"/>
      <c r="D154" s="1571"/>
      <c r="E154" s="1571"/>
      <c r="F154" s="1571"/>
      <c r="G154" s="1571"/>
      <c r="H154" s="1571"/>
      <c r="I154" s="1571"/>
      <c r="J154" s="1571"/>
      <c r="K154" s="1571"/>
      <c r="L154" s="1571"/>
      <c r="M154" s="1571"/>
      <c r="N154" s="1571"/>
      <c r="O154" s="1571"/>
      <c r="P154" s="1571"/>
      <c r="Q154" s="1571"/>
    </row>
    <row r="155" spans="2:17" s="1568" customFormat="1">
      <c r="B155" s="1571"/>
      <c r="C155" s="1571"/>
      <c r="D155" s="1571"/>
      <c r="E155" s="1571"/>
      <c r="F155" s="1571"/>
      <c r="G155" s="1571"/>
      <c r="H155" s="1571"/>
      <c r="I155" s="1571"/>
      <c r="J155" s="1571"/>
      <c r="K155" s="1571"/>
      <c r="L155" s="1571"/>
      <c r="M155" s="1571"/>
      <c r="N155" s="1571"/>
      <c r="O155" s="1571"/>
      <c r="P155" s="1571"/>
      <c r="Q155" s="1571"/>
    </row>
    <row r="156" spans="2:17" s="1568" customFormat="1">
      <c r="B156" s="1571"/>
      <c r="C156" s="1571"/>
      <c r="D156" s="1571"/>
      <c r="E156" s="1571"/>
      <c r="F156" s="1571"/>
      <c r="G156" s="1571"/>
      <c r="H156" s="1571"/>
      <c r="I156" s="1571"/>
      <c r="J156" s="1571"/>
      <c r="K156" s="1571"/>
      <c r="L156" s="1571"/>
      <c r="M156" s="1571"/>
      <c r="N156" s="1571"/>
      <c r="O156" s="1571"/>
      <c r="P156" s="1571"/>
      <c r="Q156" s="1571"/>
    </row>
    <row r="157" spans="2:17" s="1568" customFormat="1">
      <c r="B157" s="1571"/>
      <c r="C157" s="1571"/>
      <c r="D157" s="1571"/>
      <c r="E157" s="1571"/>
      <c r="F157" s="1571"/>
      <c r="G157" s="1571"/>
      <c r="H157" s="1571"/>
      <c r="I157" s="1571"/>
      <c r="J157" s="1571"/>
      <c r="K157" s="1571"/>
      <c r="L157" s="1571"/>
      <c r="M157" s="1571"/>
      <c r="N157" s="1571"/>
      <c r="O157" s="1571"/>
      <c r="P157" s="1571"/>
      <c r="Q157" s="1571"/>
    </row>
    <row r="158" spans="2:17" s="1568" customFormat="1">
      <c r="B158" s="1571"/>
      <c r="C158" s="1571"/>
      <c r="D158" s="1571"/>
      <c r="E158" s="1571"/>
      <c r="F158" s="1571"/>
      <c r="G158" s="1571"/>
      <c r="H158" s="1571"/>
      <c r="I158" s="1571"/>
      <c r="J158" s="1571"/>
      <c r="K158" s="1571"/>
      <c r="L158" s="1571"/>
      <c r="M158" s="1571"/>
      <c r="N158" s="1571"/>
      <c r="O158" s="1571"/>
      <c r="P158" s="1571"/>
      <c r="Q158" s="1571"/>
    </row>
    <row r="159" spans="2:17" s="1568" customFormat="1">
      <c r="B159" s="1571"/>
      <c r="C159" s="1571"/>
      <c r="D159" s="1571"/>
      <c r="E159" s="1571"/>
      <c r="F159" s="1571"/>
      <c r="G159" s="1571"/>
      <c r="H159" s="1571"/>
      <c r="I159" s="1571"/>
      <c r="J159" s="1571"/>
      <c r="K159" s="1571"/>
      <c r="L159" s="1571"/>
      <c r="M159" s="1571"/>
      <c r="N159" s="1571"/>
      <c r="O159" s="1571"/>
      <c r="P159" s="1571"/>
      <c r="Q159" s="1571"/>
    </row>
    <row r="160" spans="2:17" s="1568" customFormat="1">
      <c r="B160" s="1571"/>
      <c r="C160" s="1571"/>
      <c r="D160" s="1571"/>
      <c r="E160" s="1571"/>
      <c r="F160" s="1571"/>
      <c r="G160" s="1571"/>
      <c r="H160" s="1571"/>
      <c r="I160" s="1571"/>
      <c r="J160" s="1571"/>
      <c r="K160" s="1571"/>
      <c r="L160" s="1571"/>
      <c r="M160" s="1571"/>
      <c r="N160" s="1571"/>
      <c r="O160" s="1571"/>
      <c r="P160" s="1571"/>
      <c r="Q160" s="1571"/>
    </row>
    <row r="161" spans="1:17" s="1568" customFormat="1">
      <c r="B161" s="1571"/>
      <c r="C161" s="1571"/>
      <c r="D161" s="1571"/>
      <c r="E161" s="1571"/>
      <c r="F161" s="1571"/>
      <c r="G161" s="1571"/>
      <c r="H161" s="1571"/>
      <c r="I161" s="1571"/>
      <c r="J161" s="1571"/>
      <c r="K161" s="1571"/>
      <c r="L161" s="1571"/>
      <c r="M161" s="1571"/>
      <c r="N161" s="1571"/>
      <c r="O161" s="1571"/>
      <c r="P161" s="1571"/>
      <c r="Q161" s="1571"/>
    </row>
    <row r="162" spans="1:17" s="1568" customFormat="1">
      <c r="B162" s="1571"/>
      <c r="C162" s="1571"/>
      <c r="D162" s="1571"/>
      <c r="E162" s="1571"/>
      <c r="F162" s="1571"/>
      <c r="G162" s="1571"/>
      <c r="H162" s="1571"/>
      <c r="I162" s="1571"/>
      <c r="J162" s="1571"/>
      <c r="K162" s="1571"/>
      <c r="L162" s="1571"/>
      <c r="M162" s="1571"/>
      <c r="N162" s="1571"/>
      <c r="O162" s="1571"/>
      <c r="P162" s="1571"/>
      <c r="Q162" s="1571"/>
    </row>
    <row r="163" spans="1:17" s="1568" customFormat="1">
      <c r="B163" s="1571"/>
      <c r="C163" s="1571"/>
      <c r="D163" s="1571"/>
      <c r="E163" s="1571"/>
      <c r="F163" s="1571"/>
      <c r="G163" s="1571"/>
      <c r="H163" s="1571"/>
      <c r="I163" s="1571"/>
      <c r="J163" s="1571"/>
      <c r="K163" s="1571"/>
      <c r="L163" s="1571"/>
      <c r="M163" s="1571"/>
      <c r="N163" s="1571"/>
      <c r="O163" s="1571"/>
      <c r="P163" s="1571"/>
      <c r="Q163" s="1571"/>
    </row>
    <row r="164" spans="1:17" s="1568" customFormat="1">
      <c r="B164" s="1571"/>
      <c r="C164" s="1571"/>
      <c r="D164" s="1571"/>
      <c r="E164" s="1571"/>
      <c r="F164" s="1571"/>
      <c r="G164" s="1571"/>
      <c r="H164" s="1571"/>
      <c r="I164" s="1571"/>
      <c r="J164" s="1571"/>
      <c r="K164" s="1571"/>
      <c r="L164" s="1571"/>
      <c r="M164" s="1571"/>
      <c r="N164" s="1571"/>
      <c r="O164" s="1571"/>
      <c r="P164" s="1571"/>
      <c r="Q164" s="1571"/>
    </row>
    <row r="165" spans="1:17" s="1568" customFormat="1">
      <c r="B165" s="1571"/>
      <c r="C165" s="1571"/>
      <c r="D165" s="1571"/>
      <c r="E165" s="1571"/>
      <c r="F165" s="1571"/>
      <c r="G165" s="1571"/>
      <c r="H165" s="1571"/>
      <c r="I165" s="1571"/>
      <c r="J165" s="1571"/>
      <c r="K165" s="1571"/>
      <c r="L165" s="1571"/>
      <c r="M165" s="1571"/>
      <c r="N165" s="1571"/>
      <c r="O165" s="1571"/>
      <c r="P165" s="1571"/>
      <c r="Q165" s="1571"/>
    </row>
    <row r="166" spans="1:17" s="1568" customFormat="1">
      <c r="B166" s="1571"/>
      <c r="C166" s="1571"/>
      <c r="D166" s="1571"/>
      <c r="E166" s="1571"/>
      <c r="F166" s="1571"/>
      <c r="G166" s="1571"/>
      <c r="H166" s="1571"/>
      <c r="I166" s="1571"/>
      <c r="J166" s="1571"/>
      <c r="K166" s="1571"/>
      <c r="L166" s="1571"/>
      <c r="M166" s="1571"/>
      <c r="N166" s="1571"/>
      <c r="O166" s="1571"/>
      <c r="P166" s="1571"/>
      <c r="Q166" s="1571"/>
    </row>
    <row r="167" spans="1:17" s="1568" customFormat="1">
      <c r="B167" s="1571"/>
      <c r="C167" s="1571"/>
      <c r="D167" s="1571"/>
      <c r="E167" s="1571"/>
      <c r="F167" s="1571"/>
      <c r="G167" s="1571"/>
      <c r="H167" s="1571"/>
      <c r="I167" s="1571"/>
      <c r="J167" s="1571"/>
      <c r="K167" s="1571"/>
      <c r="L167" s="1571"/>
      <c r="M167" s="1571"/>
      <c r="N167" s="1571"/>
      <c r="O167" s="1571"/>
      <c r="P167" s="1571"/>
      <c r="Q167" s="1571"/>
    </row>
    <row r="168" spans="1:17" s="1568" customFormat="1">
      <c r="B168" s="1571"/>
      <c r="C168" s="1571"/>
      <c r="D168" s="1571"/>
      <c r="E168" s="1571"/>
      <c r="F168" s="1571"/>
      <c r="G168" s="1571"/>
      <c r="H168" s="1571"/>
      <c r="I168" s="1571"/>
      <c r="J168" s="1571"/>
      <c r="K168" s="1571"/>
      <c r="L168" s="1571"/>
      <c r="M168" s="1571"/>
      <c r="N168" s="1571"/>
      <c r="O168" s="1571"/>
      <c r="P168" s="1571"/>
      <c r="Q168" s="1571"/>
    </row>
    <row r="169" spans="1:17" s="1568" customFormat="1">
      <c r="B169" s="1571"/>
      <c r="C169" s="1571"/>
      <c r="D169" s="1571"/>
      <c r="E169" s="1571"/>
      <c r="F169" s="1571"/>
      <c r="G169" s="1571"/>
      <c r="H169" s="1571"/>
      <c r="I169" s="1571"/>
      <c r="J169" s="1571"/>
      <c r="K169" s="1571"/>
      <c r="L169" s="1571"/>
      <c r="M169" s="1571"/>
      <c r="N169" s="1571"/>
      <c r="O169" s="1571"/>
      <c r="P169" s="1571"/>
      <c r="Q169" s="1571"/>
    </row>
    <row r="170" spans="1:17" s="1568" customFormat="1">
      <c r="B170" s="1571"/>
      <c r="C170" s="1571"/>
      <c r="D170" s="1571"/>
      <c r="E170" s="1571"/>
      <c r="F170" s="1571"/>
      <c r="G170" s="1571"/>
      <c r="H170" s="1571"/>
      <c r="I170" s="1571"/>
      <c r="J170" s="1571"/>
      <c r="K170" s="1571"/>
      <c r="L170" s="1571"/>
      <c r="M170" s="1571"/>
      <c r="N170" s="1571"/>
      <c r="O170" s="1571"/>
      <c r="P170" s="1571"/>
      <c r="Q170" s="1571"/>
    </row>
    <row r="171" spans="1:17" s="1568" customFormat="1">
      <c r="B171" s="1571"/>
      <c r="C171" s="1571"/>
      <c r="D171" s="1571"/>
      <c r="E171" s="1571"/>
      <c r="F171" s="1571"/>
      <c r="G171" s="1571"/>
      <c r="H171" s="1571"/>
      <c r="I171" s="1571"/>
      <c r="J171" s="1571"/>
      <c r="K171" s="1571"/>
      <c r="L171" s="1571"/>
      <c r="M171" s="1571"/>
      <c r="N171" s="1571"/>
      <c r="O171" s="1571"/>
      <c r="P171" s="1571"/>
      <c r="Q171" s="1571"/>
    </row>
    <row r="172" spans="1:17" s="1568" customFormat="1">
      <c r="B172" s="1571"/>
      <c r="C172" s="1571"/>
      <c r="D172" s="1571"/>
      <c r="E172" s="1571"/>
      <c r="F172" s="1571"/>
      <c r="G172" s="1571"/>
      <c r="H172" s="1571"/>
      <c r="I172" s="1571"/>
      <c r="J172" s="1571"/>
      <c r="K172" s="1571"/>
      <c r="L172" s="1571"/>
      <c r="M172" s="1571"/>
      <c r="N172" s="1571"/>
      <c r="O172" s="1571"/>
      <c r="P172" s="1571"/>
      <c r="Q172" s="1571"/>
    </row>
    <row r="173" spans="1:17" s="1568" customFormat="1">
      <c r="B173" s="1571"/>
      <c r="C173" s="1571"/>
      <c r="D173" s="1571"/>
      <c r="E173" s="1571"/>
      <c r="F173" s="1571"/>
      <c r="G173" s="1571"/>
      <c r="H173" s="1571"/>
      <c r="I173" s="1571"/>
      <c r="J173" s="1571"/>
      <c r="K173" s="1571"/>
      <c r="L173" s="1571"/>
      <c r="M173" s="1571"/>
      <c r="N173" s="1571"/>
      <c r="O173" s="1571"/>
      <c r="P173" s="1571"/>
      <c r="Q173" s="1571"/>
    </row>
    <row r="174" spans="1:17">
      <c r="A174" s="1568"/>
      <c r="B174" s="1571"/>
      <c r="C174" s="1571"/>
      <c r="E174" s="1571"/>
      <c r="F174" s="1571"/>
      <c r="G174" s="1571"/>
    </row>
    <row r="175" spans="1:17">
      <c r="A175" s="1568"/>
      <c r="B175" s="1571"/>
      <c r="C175" s="1571"/>
      <c r="E175" s="1571"/>
      <c r="F175" s="1571"/>
      <c r="G175" s="1571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557" customWidth="1"/>
    <col min="2" max="9" width="15.75" style="1557" customWidth="1"/>
    <col min="10" max="16384" width="9" style="1557"/>
  </cols>
  <sheetData>
    <row r="1" spans="1:9" ht="16.5">
      <c r="A1" s="1558" t="s">
        <v>158</v>
      </c>
      <c r="B1" s="1559">
        <f>SUM(B14:B23)</f>
        <v>52.76</v>
      </c>
      <c r="C1" s="1560"/>
      <c r="D1" s="1560"/>
      <c r="E1" s="1560"/>
      <c r="F1" s="1560"/>
      <c r="G1" s="1561"/>
      <c r="H1" s="1561"/>
      <c r="I1" s="1561"/>
    </row>
    <row r="2" spans="1:9" ht="16.5">
      <c r="A2" s="1558" t="s">
        <v>159</v>
      </c>
      <c r="B2" s="1559">
        <f>SUM(C14:C23)</f>
        <v>0</v>
      </c>
      <c r="C2" s="1560"/>
      <c r="D2" s="1560"/>
      <c r="E2" s="1560"/>
      <c r="F2" s="1560"/>
      <c r="G2" s="1561"/>
      <c r="H2" s="1561"/>
      <c r="I2" s="1561"/>
    </row>
    <row r="3" spans="1:9" ht="16.5">
      <c r="A3" s="1559" t="s">
        <v>160</v>
      </c>
      <c r="B3" s="1562">
        <f>主表!B3</f>
        <v>37924</v>
      </c>
      <c r="C3" s="1560"/>
      <c r="D3" s="1560"/>
      <c r="E3" s="1560"/>
      <c r="F3" s="1560"/>
      <c r="G3" s="1561"/>
      <c r="H3" s="1561"/>
      <c r="I3" s="1561"/>
    </row>
    <row r="4" spans="1:9" ht="33">
      <c r="A4" s="1559" t="s">
        <v>161</v>
      </c>
      <c r="B4" s="1559" t="s">
        <v>162</v>
      </c>
      <c r="C4" s="1559" t="s">
        <v>163</v>
      </c>
      <c r="D4" s="1559" t="s">
        <v>164</v>
      </c>
      <c r="E4" s="1560"/>
      <c r="F4" s="1561"/>
      <c r="G4" s="1561"/>
      <c r="H4" s="1561"/>
      <c r="I4" s="1561"/>
    </row>
    <row r="5" spans="1:9" ht="16.5">
      <c r="A5" s="1559" t="s">
        <v>165</v>
      </c>
      <c r="B5" s="1559">
        <f>SUM(D14:D23)</f>
        <v>0</v>
      </c>
      <c r="C5" s="1559">
        <f>ROUND(B5*10000/$B$1,0)</f>
        <v>0</v>
      </c>
      <c r="D5" s="1559" t="e">
        <f>ROUND(B5*10000/$B$2,0)</f>
        <v>#DIV/0!</v>
      </c>
      <c r="E5" s="1560"/>
      <c r="F5" s="1561"/>
      <c r="G5" s="1561"/>
      <c r="H5" s="1561"/>
      <c r="I5" s="1561"/>
    </row>
    <row r="6" spans="1:9" ht="16.5">
      <c r="A6" s="1559" t="s">
        <v>166</v>
      </c>
      <c r="B6" s="1559">
        <f>SUM(G14:G23)</f>
        <v>0</v>
      </c>
      <c r="C6" s="1559">
        <f>ROUND(B6*10000/$B$1,0)</f>
        <v>0</v>
      </c>
      <c r="D6" s="1559" t="e">
        <f>ROUND(B6*10000/$B$2,0)</f>
        <v>#DIV/0!</v>
      </c>
      <c r="E6" s="1560"/>
      <c r="F6" s="1561"/>
      <c r="G6" s="1561"/>
      <c r="H6" s="1561"/>
      <c r="I6" s="1561"/>
    </row>
    <row r="7" spans="1:9" ht="16.5">
      <c r="A7" s="1559" t="s">
        <v>167</v>
      </c>
      <c r="B7" s="1559">
        <f>SUM(H14:H23)</f>
        <v>0</v>
      </c>
      <c r="C7" s="1559">
        <f>ROUND(B7*10000/$B$1,0)</f>
        <v>0</v>
      </c>
      <c r="D7" s="1559" t="e">
        <f>ROUND(B7*10000/$B$2,0)</f>
        <v>#DIV/0!</v>
      </c>
      <c r="E7" s="1560"/>
      <c r="F7" s="1561"/>
      <c r="G7" s="1561"/>
      <c r="H7" s="1561"/>
      <c r="I7" s="1561"/>
    </row>
    <row r="8" spans="1:9" ht="16.5">
      <c r="A8" s="1559" t="s">
        <v>168</v>
      </c>
      <c r="B8" s="1559">
        <f>SUM(I14:I23)</f>
        <v>0</v>
      </c>
      <c r="C8" s="1559">
        <f>ROUND(B8*10000/$B$1,0)</f>
        <v>0</v>
      </c>
      <c r="D8" s="1559" t="e">
        <f>ROUND(B8*10000/$B$2,0)</f>
        <v>#DIV/0!</v>
      </c>
      <c r="E8" s="1560"/>
      <c r="F8" s="1561"/>
      <c r="G8" s="1561"/>
      <c r="H8" s="1561"/>
      <c r="I8" s="1561"/>
    </row>
    <row r="9" spans="1:9" ht="16.5">
      <c r="A9" s="1559" t="s">
        <v>169</v>
      </c>
      <c r="B9" s="1563"/>
      <c r="C9" s="1560"/>
      <c r="D9" s="1560"/>
      <c r="E9" s="1560"/>
      <c r="F9" s="1561"/>
      <c r="G9" s="1561"/>
      <c r="H9" s="1561"/>
      <c r="I9" s="1561"/>
    </row>
    <row r="10" spans="1:9" ht="16.5">
      <c r="A10" s="1559" t="s">
        <v>170</v>
      </c>
      <c r="B10" s="1563"/>
      <c r="C10" s="1560"/>
      <c r="D10" s="1560"/>
      <c r="E10" s="1560"/>
      <c r="F10" s="1561"/>
      <c r="G10" s="1561"/>
      <c r="H10" s="1561"/>
      <c r="I10" s="1561"/>
    </row>
    <row r="11" spans="1:9" ht="16.5">
      <c r="A11" s="1558" t="s">
        <v>171</v>
      </c>
      <c r="B11" s="1558">
        <f ca="1">结果表!B19</f>
        <v>0</v>
      </c>
      <c r="C11" s="1558">
        <f ca="1">结果表!B18</f>
        <v>0</v>
      </c>
      <c r="D11" s="1560"/>
      <c r="E11" s="1560"/>
      <c r="F11" s="1561"/>
      <c r="G11" s="1561"/>
      <c r="H11" s="1561"/>
      <c r="I11" s="1561"/>
    </row>
    <row r="12" spans="1:9" ht="16.5">
      <c r="A12" s="1560"/>
      <c r="B12" s="1560"/>
      <c r="C12" s="1560"/>
      <c r="D12" s="1560"/>
      <c r="E12" s="1560"/>
      <c r="F12" s="1561"/>
      <c r="G12" s="1561"/>
      <c r="H12" s="1561"/>
      <c r="I12" s="1561"/>
    </row>
    <row r="13" spans="1:9" ht="33">
      <c r="A13" s="1564" t="s">
        <v>172</v>
      </c>
      <c r="B13" s="1565" t="s">
        <v>173</v>
      </c>
      <c r="C13" s="1565" t="s">
        <v>174</v>
      </c>
      <c r="D13" s="1565" t="s">
        <v>175</v>
      </c>
      <c r="E13" s="1559" t="s">
        <v>163</v>
      </c>
      <c r="F13" s="1559" t="s">
        <v>164</v>
      </c>
      <c r="G13" s="1565" t="s">
        <v>176</v>
      </c>
      <c r="H13" s="1565" t="s">
        <v>177</v>
      </c>
      <c r="I13" s="1565" t="s">
        <v>178</v>
      </c>
    </row>
    <row r="14" spans="1:9" ht="16.5">
      <c r="A14" s="1566" t="s">
        <v>179</v>
      </c>
      <c r="B14" s="1567">
        <f>主表!B7</f>
        <v>52.76</v>
      </c>
      <c r="C14" s="1567">
        <f>主表!B6</f>
        <v>0</v>
      </c>
      <c r="D14" s="1567"/>
      <c r="E14" s="1567">
        <f>ROUND(D14*10000/B14,0)</f>
        <v>0</v>
      </c>
      <c r="F14" s="1567" t="e">
        <f>ROUND(D14*10000/C14,0)</f>
        <v>#DIV/0!</v>
      </c>
      <c r="G14" s="1567"/>
      <c r="H14" s="1567"/>
      <c r="I14" s="1567"/>
    </row>
    <row r="15" spans="1:9" ht="16.5">
      <c r="A15" s="1566" t="s">
        <v>180</v>
      </c>
      <c r="B15" s="1566"/>
      <c r="C15" s="1566"/>
      <c r="D15" s="1566"/>
      <c r="E15" s="1567" t="e">
        <f t="shared" ref="E15:E23" si="0">ROUND(D15*10000/B15,0)</f>
        <v>#DIV/0!</v>
      </c>
      <c r="F15" s="1567" t="e">
        <f t="shared" ref="F15:F23" si="1">ROUND(D15*10000/C15,0)</f>
        <v>#DIV/0!</v>
      </c>
      <c r="G15" s="1563"/>
      <c r="H15" s="1563"/>
      <c r="I15" s="1566"/>
    </row>
    <row r="16" spans="1:9" ht="16.5">
      <c r="A16" s="1566" t="s">
        <v>181</v>
      </c>
      <c r="B16" s="1566"/>
      <c r="C16" s="1566"/>
      <c r="D16" s="1566"/>
      <c r="E16" s="1567" t="e">
        <f t="shared" si="0"/>
        <v>#DIV/0!</v>
      </c>
      <c r="F16" s="1567" t="e">
        <f t="shared" si="1"/>
        <v>#DIV/0!</v>
      </c>
      <c r="G16" s="1563"/>
      <c r="H16" s="1563"/>
      <c r="I16" s="1566"/>
    </row>
    <row r="17" spans="1:9" ht="16.5">
      <c r="A17" s="1566" t="s">
        <v>182</v>
      </c>
      <c r="B17" s="1566"/>
      <c r="C17" s="1566"/>
      <c r="D17" s="1566"/>
      <c r="E17" s="1567" t="e">
        <f t="shared" si="0"/>
        <v>#DIV/0!</v>
      </c>
      <c r="F17" s="1567" t="e">
        <f t="shared" si="1"/>
        <v>#DIV/0!</v>
      </c>
      <c r="G17" s="1563"/>
      <c r="H17" s="1563"/>
      <c r="I17" s="1566"/>
    </row>
    <row r="18" spans="1:9" ht="16.5">
      <c r="A18" s="1566" t="s">
        <v>183</v>
      </c>
      <c r="B18" s="1566"/>
      <c r="C18" s="1566"/>
      <c r="D18" s="1566"/>
      <c r="E18" s="1567" t="e">
        <f t="shared" si="0"/>
        <v>#DIV/0!</v>
      </c>
      <c r="F18" s="1567" t="e">
        <f t="shared" si="1"/>
        <v>#DIV/0!</v>
      </c>
      <c r="G18" s="1566"/>
      <c r="H18" s="1566"/>
      <c r="I18" s="1566"/>
    </row>
    <row r="19" spans="1:9" ht="16.5">
      <c r="A19" s="1566" t="s">
        <v>184</v>
      </c>
      <c r="B19" s="1566"/>
      <c r="C19" s="1566"/>
      <c r="D19" s="1566"/>
      <c r="E19" s="1567" t="e">
        <f t="shared" si="0"/>
        <v>#DIV/0!</v>
      </c>
      <c r="F19" s="1567" t="e">
        <f t="shared" si="1"/>
        <v>#DIV/0!</v>
      </c>
      <c r="G19" s="1566"/>
      <c r="H19" s="1566"/>
      <c r="I19" s="1566"/>
    </row>
    <row r="20" spans="1:9" ht="16.5">
      <c r="A20" s="1566" t="s">
        <v>185</v>
      </c>
      <c r="B20" s="1566"/>
      <c r="C20" s="1566"/>
      <c r="D20" s="1566"/>
      <c r="E20" s="1567" t="e">
        <f t="shared" si="0"/>
        <v>#DIV/0!</v>
      </c>
      <c r="F20" s="1567" t="e">
        <f t="shared" si="1"/>
        <v>#DIV/0!</v>
      </c>
      <c r="G20" s="1566"/>
      <c r="H20" s="1566"/>
      <c r="I20" s="1566"/>
    </row>
    <row r="21" spans="1:9" ht="16.5">
      <c r="A21" s="1566" t="s">
        <v>186</v>
      </c>
      <c r="B21" s="1566"/>
      <c r="C21" s="1566"/>
      <c r="D21" s="1566"/>
      <c r="E21" s="1567" t="e">
        <f t="shared" si="0"/>
        <v>#DIV/0!</v>
      </c>
      <c r="F21" s="1567" t="e">
        <f t="shared" si="1"/>
        <v>#DIV/0!</v>
      </c>
      <c r="G21" s="1566"/>
      <c r="H21" s="1566"/>
      <c r="I21" s="1566"/>
    </row>
    <row r="22" spans="1:9" ht="16.5">
      <c r="A22" s="1566" t="s">
        <v>187</v>
      </c>
      <c r="B22" s="1566"/>
      <c r="C22" s="1566"/>
      <c r="D22" s="1566"/>
      <c r="E22" s="1567" t="e">
        <f t="shared" si="0"/>
        <v>#DIV/0!</v>
      </c>
      <c r="F22" s="1567" t="e">
        <f t="shared" si="1"/>
        <v>#DIV/0!</v>
      </c>
      <c r="G22" s="1566"/>
      <c r="H22" s="1566"/>
      <c r="I22" s="1566"/>
    </row>
    <row r="23" spans="1:9" ht="16.5">
      <c r="A23" s="1566" t="s">
        <v>188</v>
      </c>
      <c r="B23" s="1566"/>
      <c r="C23" s="1566"/>
      <c r="D23" s="1566"/>
      <c r="E23" s="1563" t="e">
        <f t="shared" si="0"/>
        <v>#DIV/0!</v>
      </c>
      <c r="F23" s="1563" t="e">
        <f t="shared" si="1"/>
        <v>#DIV/0!</v>
      </c>
      <c r="G23" s="1566"/>
      <c r="H23" s="1566"/>
      <c r="I23" s="1566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PageLayoutView="80" workbookViewId="0">
      <selection activeCell="E31" sqref="E31:E32"/>
    </sheetView>
  </sheetViews>
  <sheetFormatPr defaultColWidth="12.625" defaultRowHeight="12"/>
  <cols>
    <col min="1" max="1" width="14.875" style="1519" customWidth="1"/>
    <col min="2" max="2" width="12.625" style="1519"/>
    <col min="3" max="3" width="26.75" style="1519" customWidth="1"/>
    <col min="4" max="4" width="10.75" style="1519" customWidth="1"/>
    <col min="5" max="6" width="12.625" style="1519"/>
    <col min="7" max="7" width="25.625" style="1519" customWidth="1"/>
    <col min="8" max="8" width="9.625" style="1519" customWidth="1"/>
    <col min="9" max="9" width="28" style="1519" customWidth="1"/>
    <col min="10" max="10" width="12.625" style="1517"/>
    <col min="11" max="11" width="14.125" style="1517" customWidth="1"/>
    <col min="12" max="24" width="12.625" style="1517"/>
    <col min="25" max="33" width="12.625" style="1518"/>
    <col min="34" max="16384" width="12.625" style="1519"/>
  </cols>
  <sheetData>
    <row r="1" spans="1:33" ht="18.75">
      <c r="A1" s="1520" t="s">
        <v>189</v>
      </c>
      <c r="B1" s="1521"/>
      <c r="C1" s="1521"/>
      <c r="D1" s="1521"/>
      <c r="E1" s="1521"/>
      <c r="F1" s="1521"/>
      <c r="G1" s="1521"/>
      <c r="H1" s="1522"/>
      <c r="I1" s="1522"/>
      <c r="X1" s="1518"/>
      <c r="AG1" s="1519"/>
    </row>
    <row r="2" spans="1:33" ht="18.75">
      <c r="A2" s="1650" t="s">
        <v>190</v>
      </c>
      <c r="B2" s="1650"/>
      <c r="C2" s="1650"/>
      <c r="D2" s="1650"/>
      <c r="E2" s="1650"/>
      <c r="F2" s="1650"/>
      <c r="G2" s="1650"/>
      <c r="H2" s="1523"/>
      <c r="I2" s="1522"/>
      <c r="X2" s="1518"/>
      <c r="AG2" s="1519"/>
    </row>
    <row r="3" spans="1:33" ht="13.5">
      <c r="A3" s="1651" t="s">
        <v>191</v>
      </c>
      <c r="B3" s="1652"/>
      <c r="C3" s="1653"/>
      <c r="D3" s="1654" t="s">
        <v>192</v>
      </c>
      <c r="E3" s="1652"/>
      <c r="F3" s="1652"/>
      <c r="G3" s="1655"/>
      <c r="H3" s="1523"/>
      <c r="I3" s="1522"/>
      <c r="X3" s="1518"/>
      <c r="AG3" s="1519"/>
    </row>
    <row r="4" spans="1:33" ht="27">
      <c r="A4" s="1524" t="s">
        <v>193</v>
      </c>
      <c r="B4" s="1525" t="s">
        <v>194</v>
      </c>
      <c r="C4" s="1526" t="s">
        <v>195</v>
      </c>
      <c r="D4" s="1656" t="s">
        <v>193</v>
      </c>
      <c r="E4" s="1657"/>
      <c r="F4" s="1525" t="s">
        <v>194</v>
      </c>
      <c r="G4" s="1527" t="s">
        <v>195</v>
      </c>
      <c r="H4" s="1523"/>
      <c r="I4" s="1522"/>
      <c r="X4" s="1518"/>
      <c r="AG4" s="1519"/>
    </row>
    <row r="5" spans="1:33" ht="13.5">
      <c r="A5" s="1659" t="s">
        <v>196</v>
      </c>
      <c r="B5" s="1660">
        <f>主表!F5</f>
        <v>2106</v>
      </c>
      <c r="C5" s="1661" t="s">
        <v>197</v>
      </c>
      <c r="D5" s="1657" t="s">
        <v>198</v>
      </c>
      <c r="E5" s="1658"/>
      <c r="F5" s="1528">
        <f>SUM(F6:F10)</f>
        <v>0</v>
      </c>
      <c r="G5" s="1530" t="s">
        <v>199</v>
      </c>
      <c r="H5" s="1523"/>
      <c r="I5" s="1522"/>
      <c r="X5" s="1518"/>
      <c r="AG5" s="1519"/>
    </row>
    <row r="6" spans="1:33" ht="27">
      <c r="A6" s="1659"/>
      <c r="B6" s="1660"/>
      <c r="C6" s="1661"/>
      <c r="D6" s="1662" t="s">
        <v>200</v>
      </c>
      <c r="E6" s="1528" t="s">
        <v>201</v>
      </c>
      <c r="F6" s="1528">
        <f>主表!F14</f>
        <v>0</v>
      </c>
      <c r="G6" s="1530" t="s">
        <v>202</v>
      </c>
      <c r="H6" s="1523"/>
      <c r="I6" s="1522"/>
      <c r="X6" s="1518"/>
      <c r="AG6" s="1519"/>
    </row>
    <row r="7" spans="1:33" ht="13.5">
      <c r="A7" s="1659"/>
      <c r="B7" s="1660"/>
      <c r="C7" s="1661"/>
      <c r="D7" s="1662"/>
      <c r="E7" s="1528" t="s">
        <v>203</v>
      </c>
      <c r="F7" s="1528">
        <f>主表!F15</f>
        <v>0</v>
      </c>
      <c r="G7" s="1530"/>
      <c r="H7" s="1523"/>
      <c r="I7" s="1522"/>
      <c r="X7" s="1518"/>
      <c r="AG7" s="1519"/>
    </row>
    <row r="8" spans="1:33" ht="13.5">
      <c r="A8" s="1659"/>
      <c r="B8" s="1660"/>
      <c r="C8" s="1661"/>
      <c r="D8" s="1663" t="s">
        <v>204</v>
      </c>
      <c r="E8" s="1664"/>
      <c r="F8" s="1528">
        <f>主表!F16</f>
        <v>0</v>
      </c>
      <c r="G8" s="1530" t="str">
        <f>"按建安工程费的"&amp;TEXT(主表!G16,"0.0%")&amp;"计取"</f>
        <v>按建安工程费的0.0%计取</v>
      </c>
      <c r="H8" s="1523"/>
      <c r="I8" s="1522"/>
      <c r="X8" s="1518"/>
      <c r="AG8" s="1519"/>
    </row>
    <row r="9" spans="1:33" ht="13.5">
      <c r="A9" s="1659"/>
      <c r="B9" s="1660"/>
      <c r="C9" s="1661"/>
      <c r="D9" s="1663" t="s">
        <v>205</v>
      </c>
      <c r="E9" s="1664"/>
      <c r="F9" s="1528">
        <f>主表!F18</f>
        <v>0</v>
      </c>
      <c r="G9" s="1530" t="str">
        <f>"按建安工程费的"&amp;TEXT(主表!G18,"0.0%")&amp;"计取"</f>
        <v>按建安工程费的0.0%计取</v>
      </c>
      <c r="H9" s="1523"/>
      <c r="I9" s="1522"/>
      <c r="X9" s="1518"/>
      <c r="AG9" s="1519"/>
    </row>
    <row r="10" spans="1:33" ht="13.5">
      <c r="A10" s="1659"/>
      <c r="B10" s="1660"/>
      <c r="C10" s="1661"/>
      <c r="D10" s="1663" t="s">
        <v>206</v>
      </c>
      <c r="E10" s="1664"/>
      <c r="F10" s="1528">
        <f>主表!F19</f>
        <v>0</v>
      </c>
      <c r="G10" s="1530" t="str">
        <f>"按建安工程费的"&amp;TEXT(主表!G19,"0.0%")&amp;"计取"</f>
        <v>按建安工程费的0.0%计取</v>
      </c>
      <c r="H10" s="1523"/>
      <c r="I10" s="1522"/>
      <c r="X10" s="1518"/>
      <c r="AG10" s="1519"/>
    </row>
    <row r="11" spans="1:33" ht="13.5">
      <c r="A11" s="1524" t="s">
        <v>207</v>
      </c>
      <c r="B11" s="1528">
        <f>主表!F8</f>
        <v>0</v>
      </c>
      <c r="C11" s="1531" t="str">
        <f>"按前期开发成本的"&amp;TEXT(主表!G8,"0.0%")&amp;"计取"</f>
        <v>按前期开发成本的0.0%计取</v>
      </c>
      <c r="D11" s="1657" t="s">
        <v>207</v>
      </c>
      <c r="E11" s="1658"/>
      <c r="F11" s="1528">
        <f>主表!F20</f>
        <v>0</v>
      </c>
      <c r="G11" s="1530" t="str">
        <f>"按房屋建设成本的"&amp;主表!G20&amp;"计取"</f>
        <v>按房屋建设成本的计取</v>
      </c>
      <c r="H11" s="1523"/>
      <c r="I11" s="1522"/>
      <c r="X11" s="1518"/>
      <c r="AG11" s="1519"/>
    </row>
    <row r="12" spans="1:33" ht="40.5">
      <c r="A12" s="1524" t="s">
        <v>208</v>
      </c>
      <c r="B12" s="1528">
        <f ca="1">主表!F9</f>
        <v>0</v>
      </c>
      <c r="C12" s="1529" t="str">
        <f ca="1">"前期开发期为"&amp;主表!B24&amp;"年，贷款利率为"&amp;TEXT(主表!G9,"0.00%")&amp;"，"&amp;主表!H9</f>
        <v>前期开发期为0年，贷款利率为3.00%，计息期为0年，复利计息</v>
      </c>
      <c r="D12" s="1657" t="s">
        <v>208</v>
      </c>
      <c r="E12" s="1658"/>
      <c r="F12" s="1528">
        <f ca="1">主表!F21</f>
        <v>0</v>
      </c>
      <c r="G12" s="1530" t="str">
        <f ca="1">"房屋建设期为"&amp;主表!B23&amp;"年，贷款利率为"&amp;TEXT(主表!G21,"0.00%")&amp;"，"&amp;主表!H21</f>
        <v>房屋建设期为1年，贷款利率为5.31%，计息期为1年，复利计息</v>
      </c>
      <c r="H12" s="1523"/>
      <c r="I12" s="1522"/>
      <c r="X12" s="1518"/>
      <c r="AG12" s="1519"/>
    </row>
    <row r="13" spans="1:33" ht="27">
      <c r="A13" s="1524" t="s">
        <v>209</v>
      </c>
      <c r="B13" s="1528">
        <f>主表!F10</f>
        <v>0</v>
      </c>
      <c r="C13" s="1529" t="str">
        <f>"按前期开发成本及其管理费用的"&amp;TEXT(主表!G10,"0%")&amp;"计取"</f>
        <v>按前期开发成本及其管理费用的0%计取</v>
      </c>
      <c r="D13" s="1657" t="s">
        <v>209</v>
      </c>
      <c r="E13" s="1658"/>
      <c r="F13" s="1528">
        <f>主表!F22</f>
        <v>0</v>
      </c>
      <c r="G13" s="1530" t="str">
        <f>"按房屋建设成本及其管理费用的"&amp;TEXT(主表!G22,"0%")&amp;"计取"</f>
        <v>按房屋建设成本及其管理费用的0%计取</v>
      </c>
      <c r="H13" s="1523"/>
      <c r="I13" s="1522"/>
      <c r="X13" s="1518"/>
      <c r="AG13" s="1519"/>
    </row>
    <row r="14" spans="1:33" ht="13.5">
      <c r="A14" s="1524" t="s">
        <v>210</v>
      </c>
      <c r="B14" s="1528">
        <f ca="1">SUM(B5:B13)</f>
        <v>2106</v>
      </c>
      <c r="C14" s="1529" t="s">
        <v>211</v>
      </c>
      <c r="D14" s="1657" t="s">
        <v>210</v>
      </c>
      <c r="E14" s="1658"/>
      <c r="F14" s="1528">
        <f ca="1">F5+F11+F12+F13</f>
        <v>0</v>
      </c>
      <c r="G14" s="1530" t="s">
        <v>211</v>
      </c>
      <c r="H14" s="1523"/>
      <c r="I14" s="1522"/>
      <c r="X14" s="1518"/>
      <c r="AG14" s="1519"/>
    </row>
    <row r="15" spans="1:33" ht="27">
      <c r="A15" s="1524" t="s">
        <v>212</v>
      </c>
      <c r="B15" s="1660">
        <f ca="1">主表!F24</f>
        <v>2106</v>
      </c>
      <c r="C15" s="1665"/>
      <c r="D15" s="1663" t="s">
        <v>213</v>
      </c>
      <c r="E15" s="1664"/>
      <c r="F15" s="1664"/>
      <c r="G15" s="1666"/>
      <c r="H15" s="1523"/>
      <c r="I15" s="1522"/>
      <c r="X15" s="1518"/>
      <c r="AG15" s="1519"/>
    </row>
    <row r="16" spans="1:33" ht="27">
      <c r="A16" s="1524" t="s">
        <v>214</v>
      </c>
      <c r="B16" s="1660">
        <f ca="1">主表!F25</f>
        <v>11.1113</v>
      </c>
      <c r="C16" s="1665"/>
      <c r="D16" s="1663" t="s">
        <v>215</v>
      </c>
      <c r="E16" s="1664"/>
      <c r="F16" s="1664"/>
      <c r="G16" s="1666"/>
      <c r="H16" s="1532" t="str">
        <f ca="1">NUMBERSTRING(INT(B16*10000),2)&amp;"元整"</f>
        <v>壹拾壹万壹仟壹佰壹拾叁元整</v>
      </c>
      <c r="I16" s="1555"/>
      <c r="X16" s="1518"/>
      <c r="AG16" s="1519"/>
    </row>
    <row r="17" spans="1:33" ht="13.5">
      <c r="A17" s="1524" t="s">
        <v>216</v>
      </c>
      <c r="B17" s="1672">
        <f>主表!F33</f>
        <v>0</v>
      </c>
      <c r="C17" s="1665"/>
      <c r="D17" s="1663" t="s">
        <v>217</v>
      </c>
      <c r="E17" s="1664"/>
      <c r="F17" s="1664"/>
      <c r="G17" s="1666"/>
      <c r="H17" s="1523"/>
      <c r="I17" s="1522"/>
      <c r="X17" s="1518"/>
      <c r="AG17" s="1519"/>
    </row>
    <row r="18" spans="1:33" ht="27">
      <c r="A18" s="1524" t="s">
        <v>218</v>
      </c>
      <c r="B18" s="1660">
        <f ca="1">主表!F35</f>
        <v>0</v>
      </c>
      <c r="C18" s="1665"/>
      <c r="D18" s="1663" t="s">
        <v>219</v>
      </c>
      <c r="E18" s="1664"/>
      <c r="F18" s="1664"/>
      <c r="G18" s="1666"/>
      <c r="H18" s="1523"/>
      <c r="I18" s="1522"/>
      <c r="X18" s="1518"/>
      <c r="AG18" s="1519"/>
    </row>
    <row r="19" spans="1:33" ht="27">
      <c r="A19" s="1533" t="s">
        <v>220</v>
      </c>
      <c r="B19" s="1667">
        <f ca="1">主表!F36</f>
        <v>0</v>
      </c>
      <c r="C19" s="1668"/>
      <c r="D19" s="1669" t="s">
        <v>221</v>
      </c>
      <c r="E19" s="1670"/>
      <c r="F19" s="1670"/>
      <c r="G19" s="1671"/>
      <c r="H19" s="1532" t="str">
        <f ca="1">NUMBERSTRING(INT(B19*10000),2)&amp;"元整"</f>
        <v>零元整</v>
      </c>
      <c r="I19" s="1555"/>
      <c r="X19" s="1518"/>
      <c r="AG19" s="1519"/>
    </row>
    <row r="20" spans="1:33" ht="20.25">
      <c r="A20" s="1534" t="s">
        <v>222</v>
      </c>
      <c r="B20" s="1535"/>
      <c r="C20" s="1536" t="s">
        <v>223</v>
      </c>
      <c r="D20" s="1537"/>
      <c r="E20" s="1537"/>
      <c r="F20" s="1537"/>
      <c r="G20" s="1538"/>
      <c r="H20" s="1539"/>
      <c r="I20" s="1556"/>
    </row>
    <row r="21" spans="1:33">
      <c r="A21" s="1540">
        <v>1</v>
      </c>
      <c r="B21" s="1541"/>
      <c r="C21" s="1541"/>
      <c r="D21" s="1542"/>
      <c r="E21" s="1542"/>
      <c r="F21" s="1543"/>
      <c r="G21" s="1544"/>
      <c r="H21" s="1517"/>
      <c r="I21" s="1517"/>
      <c r="W21" s="1518"/>
      <c r="X21" s="1518"/>
      <c r="AF21" s="1519"/>
      <c r="AG21" s="1519"/>
    </row>
    <row r="22" spans="1:33">
      <c r="A22" s="1540">
        <v>2</v>
      </c>
      <c r="B22" s="1541"/>
      <c r="C22" s="1541"/>
      <c r="D22" s="1542"/>
      <c r="E22" s="1542"/>
      <c r="F22" s="1543"/>
      <c r="G22" s="1544"/>
      <c r="H22" s="1517"/>
      <c r="I22" s="1517"/>
      <c r="W22" s="1518"/>
      <c r="X22" s="1518"/>
      <c r="AF22" s="1519"/>
      <c r="AG22" s="1519"/>
    </row>
    <row r="23" spans="1:33">
      <c r="A23" s="1541">
        <v>3</v>
      </c>
      <c r="B23" s="1541"/>
      <c r="C23" s="1541"/>
      <c r="D23" s="1516"/>
      <c r="E23" s="1516"/>
      <c r="F23" s="1516"/>
      <c r="G23" s="1545"/>
      <c r="H23" s="1517"/>
      <c r="I23" s="1517"/>
      <c r="W23" s="1518"/>
      <c r="X23" s="1518"/>
      <c r="AF23" s="1519"/>
      <c r="AG23" s="1519"/>
    </row>
    <row r="24" spans="1:33">
      <c r="A24" s="1541"/>
      <c r="B24" s="1541"/>
      <c r="C24" s="1541"/>
      <c r="D24" s="1542"/>
      <c r="E24" s="1542"/>
      <c r="F24" s="1543"/>
      <c r="G24" s="1544"/>
      <c r="H24" s="1517"/>
      <c r="I24" s="1517"/>
      <c r="W24" s="1518"/>
      <c r="X24" s="1518"/>
      <c r="AF24" s="1519"/>
      <c r="AG24" s="1519"/>
    </row>
    <row r="25" spans="1:33">
      <c r="A25" s="1541"/>
      <c r="B25" s="1541"/>
      <c r="C25" s="1541"/>
      <c r="D25" s="1542"/>
      <c r="E25" s="1542"/>
      <c r="F25" s="1543"/>
      <c r="G25" s="1544"/>
      <c r="H25" s="1517"/>
      <c r="I25" s="1517"/>
      <c r="W25" s="1518"/>
      <c r="X25" s="1518"/>
      <c r="AF25" s="1519"/>
      <c r="AG25" s="1519"/>
    </row>
    <row r="26" spans="1:33">
      <c r="A26" s="1517"/>
      <c r="B26" s="1517"/>
      <c r="C26" s="1517"/>
      <c r="D26" s="1546" t="s">
        <v>224</v>
      </c>
      <c r="E26" s="1547"/>
      <c r="F26" s="1547"/>
      <c r="G26" s="1548" t="s">
        <v>225</v>
      </c>
      <c r="H26" s="1517"/>
      <c r="I26" s="1517"/>
      <c r="W26" s="1518"/>
      <c r="X26" s="1518"/>
      <c r="AF26" s="1519"/>
      <c r="AG26" s="1519"/>
    </row>
    <row r="27" spans="1:33">
      <c r="A27" s="1549" t="s">
        <v>226</v>
      </c>
      <c r="B27" s="1550"/>
      <c r="C27" s="1550"/>
      <c r="D27" s="1517"/>
      <c r="E27" s="1517"/>
      <c r="F27" s="1517"/>
      <c r="G27" s="1544"/>
      <c r="H27" s="1517"/>
      <c r="I27" s="1517"/>
      <c r="W27" s="1518"/>
      <c r="X27" s="1518"/>
      <c r="AF27" s="1519"/>
      <c r="AG27" s="1519"/>
    </row>
    <row r="28" spans="1:33">
      <c r="A28" s="1517"/>
      <c r="B28" s="1517"/>
      <c r="C28" s="1517"/>
      <c r="D28" s="1517"/>
      <c r="E28" s="1517"/>
      <c r="F28" s="1517"/>
      <c r="G28" s="1544"/>
      <c r="H28" s="1517"/>
      <c r="I28" s="1517"/>
      <c r="W28" s="1518"/>
      <c r="X28" s="1518"/>
      <c r="AF28" s="1519"/>
      <c r="AG28" s="1519"/>
    </row>
    <row r="29" spans="1:33">
      <c r="A29" s="1547"/>
      <c r="B29" s="1547"/>
      <c r="C29" s="1547"/>
      <c r="D29" s="1547"/>
      <c r="E29" s="1547"/>
      <c r="F29" s="1547"/>
      <c r="G29" s="1548" t="s">
        <v>227</v>
      </c>
      <c r="H29" s="1517"/>
      <c r="I29" s="1517"/>
      <c r="W29" s="1518"/>
      <c r="X29" s="1518"/>
      <c r="AF29" s="1519"/>
      <c r="AG29" s="1519"/>
    </row>
    <row r="30" spans="1:33">
      <c r="A30" s="1551" t="s">
        <v>228</v>
      </c>
      <c r="B30" s="1517"/>
      <c r="C30" s="1517"/>
      <c r="D30" s="1517"/>
      <c r="E30" s="1517"/>
      <c r="F30" s="1517"/>
      <c r="G30" s="1544"/>
      <c r="H30" s="1517"/>
      <c r="I30" s="1517"/>
      <c r="W30" s="1518"/>
      <c r="X30" s="1518"/>
      <c r="AF30" s="1519"/>
      <c r="AG30" s="1519"/>
    </row>
    <row r="31" spans="1:33">
      <c r="A31" s="1551"/>
      <c r="B31" s="1517"/>
      <c r="C31" s="1517"/>
      <c r="D31" s="1517"/>
      <c r="E31" s="1517"/>
      <c r="F31" s="1517"/>
      <c r="G31" s="1544"/>
      <c r="H31" s="1517"/>
      <c r="I31" s="1517"/>
      <c r="W31" s="1518"/>
      <c r="X31" s="1518"/>
      <c r="AF31" s="1519"/>
      <c r="AG31" s="1519"/>
    </row>
    <row r="32" spans="1:33">
      <c r="A32" s="1547"/>
      <c r="B32" s="1547"/>
      <c r="C32" s="1547"/>
      <c r="D32" s="1547"/>
      <c r="E32" s="1547"/>
      <c r="F32" s="1547"/>
      <c r="G32" s="1548" t="s">
        <v>227</v>
      </c>
      <c r="H32" s="1517"/>
      <c r="I32" s="1517"/>
      <c r="W32" s="1518"/>
      <c r="X32" s="1518"/>
      <c r="AF32" s="1519"/>
      <c r="AG32" s="1519"/>
    </row>
    <row r="33" spans="1:33">
      <c r="A33" s="1517"/>
      <c r="B33" s="1551"/>
      <c r="C33" s="1552"/>
      <c r="D33" s="1553"/>
      <c r="E33" s="1517"/>
      <c r="F33" s="1517"/>
      <c r="G33" s="1517"/>
      <c r="H33" s="1517"/>
      <c r="I33" s="1517"/>
      <c r="W33" s="1518"/>
      <c r="X33" s="1518"/>
      <c r="AF33" s="1519"/>
      <c r="AG33" s="1519"/>
    </row>
    <row r="34" spans="1:33" s="1516" customFormat="1">
      <c r="A34" s="1517"/>
      <c r="B34" s="1551"/>
      <c r="C34" s="1552"/>
      <c r="D34" s="1554"/>
      <c r="E34" s="1554"/>
      <c r="F34" s="1517"/>
      <c r="G34" s="1517"/>
      <c r="H34" s="1517"/>
      <c r="I34" s="1517"/>
      <c r="J34" s="1517"/>
      <c r="K34" s="1517"/>
      <c r="L34" s="1517"/>
      <c r="M34" s="1517"/>
      <c r="N34" s="1517"/>
      <c r="O34" s="1517"/>
      <c r="P34" s="1517"/>
      <c r="Q34" s="1517"/>
      <c r="R34" s="1517"/>
      <c r="S34" s="1517"/>
      <c r="T34" s="1517"/>
      <c r="U34" s="1517"/>
      <c r="V34" s="1517"/>
      <c r="W34" s="1517"/>
      <c r="X34" s="1517"/>
      <c r="Y34" s="1517"/>
      <c r="Z34" s="1517"/>
      <c r="AA34" s="1517"/>
      <c r="AB34" s="1517"/>
      <c r="AC34" s="1517"/>
      <c r="AD34" s="1517"/>
      <c r="AE34" s="1517"/>
      <c r="AF34" s="1517"/>
      <c r="AG34" s="1517"/>
    </row>
    <row r="35" spans="1:33" s="1516" customFormat="1">
      <c r="A35" s="1517"/>
      <c r="B35" s="1517"/>
      <c r="C35" s="1517"/>
      <c r="D35" s="1517"/>
      <c r="E35" s="1517"/>
      <c r="F35" s="1517"/>
      <c r="G35" s="1517"/>
      <c r="H35" s="1517"/>
      <c r="I35" s="1517"/>
      <c r="J35" s="1517"/>
      <c r="K35" s="1517"/>
      <c r="L35" s="1517"/>
      <c r="M35" s="1517"/>
      <c r="N35" s="1517"/>
      <c r="O35" s="1517"/>
      <c r="P35" s="1517"/>
      <c r="Q35" s="1517"/>
      <c r="R35" s="1517"/>
      <c r="S35" s="1517"/>
      <c r="T35" s="1517"/>
      <c r="U35" s="1517"/>
      <c r="V35" s="1517"/>
      <c r="W35" s="1517"/>
      <c r="X35" s="1517"/>
      <c r="Y35" s="1517"/>
      <c r="Z35" s="1517"/>
      <c r="AA35" s="1517"/>
      <c r="AB35" s="1517"/>
      <c r="AC35" s="1517"/>
      <c r="AD35" s="1517"/>
      <c r="AE35" s="1517"/>
      <c r="AF35" s="1517"/>
      <c r="AG35" s="1517"/>
    </row>
    <row r="36" spans="1:33" s="1516" customFormat="1">
      <c r="A36" s="1517"/>
      <c r="B36" s="1517"/>
      <c r="C36" s="1517"/>
      <c r="D36" s="1517"/>
      <c r="E36" s="1517"/>
      <c r="F36" s="1517"/>
      <c r="G36" s="1517"/>
      <c r="H36" s="1517"/>
      <c r="I36" s="1517"/>
      <c r="J36" s="1517"/>
      <c r="K36" s="1517"/>
      <c r="L36" s="1517"/>
      <c r="M36" s="1517"/>
      <c r="N36" s="1517"/>
      <c r="O36" s="1517"/>
      <c r="P36" s="1517"/>
      <c r="Q36" s="1517"/>
      <c r="R36" s="1517"/>
      <c r="S36" s="1517"/>
      <c r="T36" s="1517"/>
      <c r="U36" s="1517"/>
      <c r="V36" s="1517"/>
      <c r="W36" s="1517"/>
      <c r="X36" s="1517"/>
      <c r="Y36" s="1517"/>
      <c r="Z36" s="1517"/>
      <c r="AA36" s="1517"/>
      <c r="AB36" s="1517"/>
      <c r="AC36" s="1517"/>
      <c r="AD36" s="1517"/>
      <c r="AE36" s="1517"/>
      <c r="AF36" s="1517"/>
      <c r="AG36" s="1517"/>
    </row>
    <row r="37" spans="1:33" s="1517" customFormat="1"/>
    <row r="38" spans="1:33" s="1517" customFormat="1"/>
    <row r="39" spans="1:33" s="1517" customFormat="1"/>
    <row r="40" spans="1:33" s="1517" customFormat="1"/>
    <row r="41" spans="1:33" s="1517" customFormat="1"/>
    <row r="42" spans="1:33" s="1517" customFormat="1"/>
    <row r="43" spans="1:33" s="1517" customFormat="1"/>
    <row r="44" spans="1:33" s="1517" customFormat="1"/>
    <row r="45" spans="1:33" s="1517" customFormat="1"/>
    <row r="46" spans="1:33" s="1517" customFormat="1"/>
    <row r="47" spans="1:33" s="1517" customFormat="1"/>
    <row r="48" spans="1:33" s="1517" customFormat="1"/>
    <row r="49" s="1517" customFormat="1"/>
    <row r="50" s="1517" customFormat="1"/>
    <row r="51" s="1517" customFormat="1"/>
    <row r="52" s="1517" customFormat="1"/>
    <row r="53" s="1517" customFormat="1"/>
    <row r="54" s="1517" customFormat="1"/>
    <row r="55" s="1517" customFormat="1"/>
    <row r="56" s="1517" customFormat="1"/>
    <row r="57" s="1517" customFormat="1"/>
    <row r="58" s="1517" customFormat="1"/>
    <row r="59" s="1517" customFormat="1"/>
    <row r="60" s="1517" customFormat="1"/>
    <row r="61" s="1517" customFormat="1"/>
    <row r="62" s="1517" customFormat="1"/>
    <row r="63" s="1517" customFormat="1"/>
    <row r="64" s="1517" customFormat="1"/>
    <row r="65" s="1517" customFormat="1"/>
    <row r="66" s="1517" customFormat="1"/>
    <row r="67" s="1517" customFormat="1"/>
    <row r="68" s="1517" customFormat="1"/>
    <row r="69" s="1517" customFormat="1"/>
    <row r="70" s="1517" customFormat="1"/>
    <row r="71" s="1517" customFormat="1"/>
    <row r="72" s="1517" customFormat="1"/>
    <row r="73" s="1517" customFormat="1"/>
    <row r="74" s="1517" customFormat="1"/>
    <row r="75" s="1517" customFormat="1"/>
    <row r="76" s="1517" customFormat="1"/>
    <row r="77" s="1517" customFormat="1"/>
    <row r="78" s="1517" customFormat="1"/>
    <row r="79" s="1517" customFormat="1"/>
    <row r="80" s="1517" customFormat="1"/>
    <row r="81" s="1517" customFormat="1"/>
    <row r="82" s="1517" customFormat="1"/>
    <row r="83" s="1517" customFormat="1"/>
    <row r="84" s="1517" customFormat="1"/>
    <row r="85" s="1517" customFormat="1"/>
    <row r="86" s="1517" customFormat="1"/>
    <row r="87" s="1517" customFormat="1"/>
    <row r="88" s="1517" customFormat="1"/>
    <row r="89" s="1517" customFormat="1"/>
    <row r="90" s="1517" customFormat="1"/>
    <row r="91" s="1517" customFormat="1"/>
    <row r="92" s="1517" customFormat="1"/>
    <row r="93" s="1517" customFormat="1"/>
    <row r="94" s="1517" customFormat="1"/>
    <row r="95" s="1517" customFormat="1"/>
    <row r="96" s="1517" customFormat="1"/>
    <row r="97" s="1517" customFormat="1"/>
    <row r="98" s="1517" customFormat="1"/>
    <row r="99" s="1517" customFormat="1"/>
    <row r="100" s="1517" customFormat="1"/>
    <row r="101" s="1517" customFormat="1"/>
    <row r="102" s="1517" customFormat="1"/>
    <row r="103" s="1517" customFormat="1"/>
    <row r="104" s="1517" customFormat="1"/>
    <row r="105" s="1517" customFormat="1"/>
    <row r="106" s="1517" customFormat="1"/>
    <row r="107" s="1517" customFormat="1"/>
    <row r="108" s="1517" customFormat="1"/>
    <row r="109" s="1517" customFormat="1"/>
    <row r="110" s="1517" customFormat="1"/>
    <row r="111" s="1517" customFormat="1"/>
    <row r="112" s="1517" customFormat="1"/>
    <row r="113" s="1517" customFormat="1"/>
    <row r="114" s="1517" customFormat="1"/>
    <row r="115" s="1517" customFormat="1"/>
    <row r="116" s="1517" customFormat="1"/>
    <row r="117" s="1517" customFormat="1"/>
    <row r="118" s="1517" customFormat="1"/>
    <row r="119" s="1517" customFormat="1"/>
    <row r="120" s="1517" customFormat="1"/>
    <row r="121" s="1517" customFormat="1"/>
    <row r="122" s="1517" customFormat="1"/>
    <row r="123" s="1517" customFormat="1"/>
    <row r="124" s="1517" customFormat="1"/>
    <row r="125" s="1517" customFormat="1"/>
    <row r="126" s="1517" customFormat="1"/>
    <row r="127" s="1517" customFormat="1"/>
    <row r="128" s="1517" customFormat="1"/>
    <row r="129" s="1517" customFormat="1"/>
    <row r="130" s="1517" customFormat="1"/>
    <row r="131" s="1517" customFormat="1"/>
    <row r="132" s="1517" customFormat="1"/>
    <row r="133" s="1517" customFormat="1"/>
    <row r="134" s="1517" customFormat="1"/>
    <row r="135" s="1517" customFormat="1"/>
    <row r="136" s="1517" customFormat="1"/>
    <row r="137" s="1517" customFormat="1"/>
    <row r="138" s="1517" customFormat="1"/>
    <row r="139" s="1517" customFormat="1"/>
    <row r="140" s="1517" customFormat="1"/>
    <row r="141" s="1517" customFormat="1"/>
    <row r="142" s="1517" customFormat="1"/>
    <row r="143" s="1517" customFormat="1"/>
    <row r="144" s="1517" customFormat="1"/>
    <row r="145" s="1517" customFormat="1"/>
    <row r="146" s="1517" customFormat="1"/>
    <row r="147" s="1517" customFormat="1"/>
    <row r="148" s="1517" customFormat="1"/>
    <row r="149" s="1517" customFormat="1"/>
    <row r="150" s="1517" customFormat="1"/>
    <row r="151" s="1517" customFormat="1"/>
    <row r="152" s="1517" customFormat="1"/>
    <row r="153" s="1517" customFormat="1"/>
    <row r="154" s="1517" customFormat="1"/>
    <row r="155" s="1517" customFormat="1"/>
    <row r="156" s="1517" customFormat="1"/>
    <row r="157" s="1517" customFormat="1"/>
    <row r="158" s="1517" customFormat="1"/>
    <row r="159" s="1517" customFormat="1"/>
    <row r="160" s="1517" customFormat="1"/>
    <row r="161" s="1517" customFormat="1"/>
    <row r="162" s="1517" customFormat="1"/>
    <row r="163" s="1517" customFormat="1"/>
    <row r="164" s="1517" customFormat="1"/>
    <row r="165" s="1517" customFormat="1"/>
    <row r="166" s="1517" customFormat="1"/>
    <row r="167" s="1517" customFormat="1"/>
    <row r="168" s="1517" customFormat="1"/>
    <row r="169" s="1517" customFormat="1"/>
    <row r="170" s="1517" customFormat="1"/>
    <row r="171" s="1517" customFormat="1"/>
    <row r="172" s="1517" customFormat="1"/>
    <row r="173" s="1517" customFormat="1"/>
    <row r="174" s="1517" customFormat="1"/>
    <row r="175" s="1517" customFormat="1"/>
    <row r="176" s="1517" customFormat="1"/>
    <row r="177" s="1517" customFormat="1"/>
    <row r="178" s="1517" customFormat="1"/>
    <row r="179" s="1517" customFormat="1"/>
    <row r="180" s="1517" customFormat="1"/>
    <row r="181" s="1517" customFormat="1"/>
    <row r="182" s="1517" customFormat="1"/>
    <row r="183" s="1517" customFormat="1"/>
    <row r="184" s="1517" customFormat="1"/>
    <row r="185" s="1517" customFormat="1"/>
    <row r="186" s="1517" customFormat="1"/>
    <row r="187" s="1517" customFormat="1"/>
    <row r="188" s="1517" customFormat="1"/>
    <row r="189" s="1517" customFormat="1"/>
    <row r="190" s="1517" customFormat="1"/>
    <row r="191" s="1517" customFormat="1"/>
    <row r="192" s="1517" customFormat="1"/>
    <row r="193" s="1517" customFormat="1"/>
    <row r="194" s="1517" customFormat="1"/>
    <row r="195" s="1517" customFormat="1"/>
    <row r="196" s="1517" customFormat="1"/>
    <row r="197" s="1517" customFormat="1"/>
    <row r="198" s="1517" customFormat="1"/>
    <row r="199" s="1517" customFormat="1"/>
    <row r="200" s="1517" customFormat="1"/>
    <row r="201" s="1517" customFormat="1"/>
    <row r="202" s="1517" customFormat="1"/>
    <row r="203" s="1517" customFormat="1"/>
    <row r="204" s="1517" customFormat="1"/>
    <row r="205" s="1517" customFormat="1"/>
    <row r="206" s="1517" customFormat="1"/>
    <row r="207" s="1517" customFormat="1"/>
    <row r="208" s="1517" customFormat="1"/>
    <row r="209" s="1517" customFormat="1"/>
    <row r="210" s="1517" customFormat="1"/>
    <row r="211" s="1517" customFormat="1"/>
    <row r="212" s="1517" customFormat="1"/>
    <row r="213" s="1517" customFormat="1"/>
    <row r="214" s="1517" customFormat="1"/>
    <row r="215" s="1517" customFormat="1"/>
    <row r="216" s="1517" customFormat="1"/>
    <row r="217" s="1517" customFormat="1"/>
    <row r="218" s="1517" customFormat="1"/>
    <row r="219" s="1517" customFormat="1"/>
    <row r="220" s="1517" customFormat="1"/>
    <row r="221" s="1517" customFormat="1"/>
    <row r="222" s="1517" customFormat="1"/>
    <row r="223" s="1517" customFormat="1"/>
    <row r="224" s="1517" customFormat="1"/>
    <row r="225" s="1517" customFormat="1"/>
    <row r="226" s="1517" customFormat="1"/>
    <row r="227" s="1517" customFormat="1"/>
    <row r="228" s="1517" customFormat="1"/>
    <row r="229" s="1517" customFormat="1"/>
    <row r="230" s="1517" customFormat="1"/>
    <row r="231" s="1517" customFormat="1"/>
    <row r="232" s="1517" customFormat="1"/>
    <row r="233" s="1517" customFormat="1"/>
    <row r="234" s="1517" customFormat="1"/>
    <row r="235" s="1517" customFormat="1"/>
    <row r="236" s="1517" customFormat="1"/>
    <row r="237" s="1517" customFormat="1"/>
    <row r="238" s="1517" customFormat="1"/>
    <row r="239" s="1517" customFormat="1"/>
    <row r="240" s="1517" customFormat="1"/>
    <row r="241" s="1517" customFormat="1"/>
    <row r="242" s="1517" customFormat="1"/>
    <row r="243" s="1517" customFormat="1"/>
    <row r="244" s="1517" customFormat="1"/>
    <row r="245" s="1517" customFormat="1"/>
    <row r="246" s="1517" customFormat="1"/>
    <row r="247" s="1517" customFormat="1"/>
    <row r="248" s="1517" customFormat="1"/>
    <row r="249" s="1517" customFormat="1"/>
    <row r="250" s="1517" customFormat="1"/>
    <row r="251" s="1517" customFormat="1"/>
    <row r="252" s="1517" customFormat="1"/>
    <row r="253" s="1517" customFormat="1"/>
    <row r="254" s="1517" customFormat="1"/>
    <row r="255" s="1517" customFormat="1"/>
    <row r="256" s="1517" customFormat="1"/>
    <row r="257" s="1517" customFormat="1"/>
    <row r="258" s="1517" customFormat="1"/>
    <row r="259" s="1517" customFormat="1"/>
    <row r="260" s="1517" customFormat="1"/>
    <row r="261" s="1517" customFormat="1"/>
    <row r="262" s="1517" customFormat="1"/>
    <row r="263" s="1517" customFormat="1"/>
    <row r="264" s="1517" customFormat="1"/>
    <row r="265" s="1517" customFormat="1"/>
    <row r="266" s="1517" customFormat="1"/>
    <row r="267" s="1517" customFormat="1"/>
    <row r="268" s="1517" customFormat="1"/>
    <row r="269" s="1517" customFormat="1"/>
    <row r="270" s="1517" customFormat="1"/>
    <row r="271" s="1517" customFormat="1"/>
    <row r="272" s="1517" customFormat="1"/>
    <row r="273" s="1517" customFormat="1"/>
    <row r="274" s="1517" customFormat="1"/>
    <row r="275" s="1517" customFormat="1"/>
    <row r="276" s="1517" customFormat="1"/>
    <row r="277" s="1517" customFormat="1"/>
    <row r="278" s="1517" customFormat="1"/>
    <row r="279" s="1517" customFormat="1"/>
    <row r="280" s="1517" customFormat="1"/>
    <row r="281" s="1517" customFormat="1"/>
    <row r="282" s="1517" customFormat="1"/>
    <row r="283" s="1517" customFormat="1"/>
    <row r="284" s="1517" customFormat="1"/>
    <row r="285" s="1517" customFormat="1"/>
    <row r="286" s="1517" customFormat="1"/>
    <row r="287" s="1517" customFormat="1"/>
    <row r="288" s="1517" customFormat="1"/>
    <row r="289" spans="10:24" s="1517" customFormat="1"/>
    <row r="290" spans="10:24" s="1518" customFormat="1">
      <c r="J290" s="1517"/>
      <c r="K290" s="1517"/>
      <c r="L290" s="1517"/>
      <c r="M290" s="1517"/>
      <c r="N290" s="1517"/>
      <c r="O290" s="1517"/>
      <c r="P290" s="1517"/>
      <c r="Q290" s="1517"/>
      <c r="R290" s="1517"/>
      <c r="S290" s="1517"/>
      <c r="T290" s="1517"/>
      <c r="U290" s="1517"/>
      <c r="V290" s="1517"/>
      <c r="W290" s="1517"/>
      <c r="X290" s="1517"/>
    </row>
    <row r="291" spans="10:24" s="1518" customFormat="1">
      <c r="J291" s="1517"/>
      <c r="K291" s="1517"/>
      <c r="L291" s="1517"/>
      <c r="M291" s="1517"/>
      <c r="N291" s="1517"/>
      <c r="O291" s="1517"/>
      <c r="P291" s="1517"/>
      <c r="Q291" s="1517"/>
      <c r="R291" s="1517"/>
      <c r="S291" s="1517"/>
      <c r="T291" s="1517"/>
      <c r="U291" s="1517"/>
      <c r="V291" s="1517"/>
      <c r="W291" s="1517"/>
      <c r="X291" s="1517"/>
    </row>
    <row r="292" spans="10:24" s="1518" customFormat="1">
      <c r="J292" s="1517"/>
      <c r="K292" s="1517"/>
      <c r="L292" s="1517"/>
      <c r="M292" s="1517"/>
      <c r="N292" s="1517"/>
      <c r="O292" s="1517"/>
      <c r="P292" s="1517"/>
      <c r="Q292" s="1517"/>
      <c r="R292" s="1517"/>
      <c r="S292" s="1517"/>
      <c r="T292" s="1517"/>
      <c r="U292" s="1517"/>
      <c r="V292" s="1517"/>
      <c r="W292" s="1517"/>
      <c r="X292" s="1517"/>
    </row>
    <row r="293" spans="10:24" s="1518" customFormat="1">
      <c r="J293" s="1517"/>
      <c r="K293" s="1517"/>
      <c r="L293" s="1517"/>
      <c r="M293" s="1517"/>
      <c r="N293" s="1517"/>
      <c r="O293" s="1517"/>
      <c r="P293" s="1517"/>
      <c r="Q293" s="1517"/>
      <c r="R293" s="1517"/>
      <c r="S293" s="1517"/>
      <c r="T293" s="1517"/>
      <c r="U293" s="1517"/>
      <c r="V293" s="1517"/>
      <c r="W293" s="1517"/>
      <c r="X293" s="1517"/>
    </row>
    <row r="294" spans="10:24" s="1518" customFormat="1">
      <c r="J294" s="1517"/>
      <c r="K294" s="1517"/>
      <c r="L294" s="1517"/>
      <c r="M294" s="1517"/>
      <c r="N294" s="1517"/>
      <c r="O294" s="1517"/>
      <c r="P294" s="1517"/>
      <c r="Q294" s="1517"/>
      <c r="R294" s="1517"/>
      <c r="S294" s="1517"/>
      <c r="T294" s="1517"/>
      <c r="U294" s="1517"/>
      <c r="V294" s="1517"/>
      <c r="W294" s="1517"/>
      <c r="X294" s="1517"/>
    </row>
    <row r="295" spans="10:24" s="1518" customFormat="1">
      <c r="J295" s="1517"/>
      <c r="K295" s="1517"/>
      <c r="L295" s="1517"/>
      <c r="M295" s="1517"/>
      <c r="N295" s="1517"/>
      <c r="O295" s="1517"/>
      <c r="P295" s="1517"/>
      <c r="Q295" s="1517"/>
      <c r="R295" s="1517"/>
      <c r="S295" s="1517"/>
      <c r="T295" s="1517"/>
      <c r="U295" s="1517"/>
      <c r="V295" s="1517"/>
      <c r="W295" s="1517"/>
      <c r="X295" s="1517"/>
    </row>
    <row r="296" spans="10:24" s="1518" customFormat="1">
      <c r="J296" s="1517"/>
      <c r="K296" s="1517"/>
      <c r="L296" s="1517"/>
      <c r="M296" s="1517"/>
      <c r="N296" s="1517"/>
      <c r="O296" s="1517"/>
      <c r="P296" s="1517"/>
      <c r="Q296" s="1517"/>
      <c r="R296" s="1517"/>
      <c r="S296" s="1517"/>
      <c r="T296" s="1517"/>
      <c r="U296" s="1517"/>
      <c r="V296" s="1517"/>
      <c r="W296" s="1517"/>
      <c r="X296" s="1517"/>
    </row>
    <row r="297" spans="10:24" s="1518" customFormat="1">
      <c r="J297" s="1517"/>
      <c r="K297" s="1517"/>
      <c r="L297" s="1517"/>
      <c r="M297" s="1517"/>
      <c r="N297" s="1517"/>
      <c r="O297" s="1517"/>
      <c r="P297" s="1517"/>
      <c r="Q297" s="1517"/>
      <c r="R297" s="1517"/>
      <c r="S297" s="1517"/>
      <c r="T297" s="1517"/>
      <c r="U297" s="1517"/>
      <c r="V297" s="1517"/>
      <c r="W297" s="1517"/>
      <c r="X297" s="1517"/>
    </row>
    <row r="298" spans="10:24" s="1518" customFormat="1">
      <c r="J298" s="1517"/>
      <c r="K298" s="1517"/>
      <c r="L298" s="1517"/>
      <c r="M298" s="1517"/>
      <c r="N298" s="1517"/>
      <c r="O298" s="1517"/>
      <c r="P298" s="1517"/>
      <c r="Q298" s="1517"/>
      <c r="R298" s="1517"/>
      <c r="S298" s="1517"/>
      <c r="T298" s="1517"/>
      <c r="U298" s="1517"/>
      <c r="V298" s="1517"/>
      <c r="W298" s="1517"/>
      <c r="X298" s="1517"/>
    </row>
    <row r="299" spans="10:24" s="1518" customFormat="1">
      <c r="J299" s="1517"/>
      <c r="K299" s="1517"/>
      <c r="L299" s="1517"/>
      <c r="M299" s="1517"/>
      <c r="N299" s="1517"/>
      <c r="O299" s="1517"/>
      <c r="P299" s="1517"/>
      <c r="Q299" s="1517"/>
      <c r="R299" s="1517"/>
      <c r="S299" s="1517"/>
      <c r="T299" s="1517"/>
      <c r="U299" s="1517"/>
      <c r="V299" s="1517"/>
      <c r="W299" s="1517"/>
      <c r="X299" s="1517"/>
    </row>
    <row r="300" spans="10:24" s="1518" customFormat="1">
      <c r="J300" s="1517"/>
      <c r="K300" s="1517"/>
      <c r="L300" s="1517"/>
      <c r="M300" s="1517"/>
      <c r="N300" s="1517"/>
      <c r="O300" s="1517"/>
      <c r="P300" s="1517"/>
      <c r="Q300" s="1517"/>
      <c r="R300" s="1517"/>
      <c r="S300" s="1517"/>
      <c r="T300" s="1517"/>
      <c r="U300" s="1517"/>
      <c r="V300" s="1517"/>
      <c r="W300" s="1517"/>
      <c r="X300" s="1517"/>
    </row>
    <row r="301" spans="10:24" s="1518" customFormat="1">
      <c r="J301" s="1517"/>
      <c r="K301" s="1517"/>
      <c r="L301" s="1517"/>
      <c r="M301" s="1517"/>
      <c r="N301" s="1517"/>
      <c r="O301" s="1517"/>
      <c r="P301" s="1517"/>
      <c r="Q301" s="1517"/>
      <c r="R301" s="1517"/>
      <c r="S301" s="1517"/>
      <c r="T301" s="1517"/>
      <c r="U301" s="1517"/>
      <c r="V301" s="1517"/>
      <c r="W301" s="1517"/>
      <c r="X301" s="1517"/>
    </row>
    <row r="302" spans="10:24" s="1518" customFormat="1">
      <c r="J302" s="1517"/>
      <c r="K302" s="1517"/>
      <c r="L302" s="1517"/>
      <c r="M302" s="1517"/>
      <c r="N302" s="1517"/>
      <c r="O302" s="1517"/>
      <c r="P302" s="1517"/>
      <c r="Q302" s="1517"/>
      <c r="R302" s="1517"/>
      <c r="S302" s="1517"/>
      <c r="T302" s="1517"/>
      <c r="U302" s="1517"/>
      <c r="V302" s="1517"/>
      <c r="W302" s="1517"/>
      <c r="X302" s="1517"/>
    </row>
    <row r="303" spans="10:24" s="1518" customFormat="1">
      <c r="J303" s="1517"/>
      <c r="K303" s="1517"/>
      <c r="L303" s="1517"/>
      <c r="M303" s="1517"/>
      <c r="N303" s="1517"/>
      <c r="O303" s="1517"/>
      <c r="P303" s="1517"/>
      <c r="Q303" s="1517"/>
      <c r="R303" s="1517"/>
      <c r="S303" s="1517"/>
      <c r="T303" s="1517"/>
      <c r="U303" s="1517"/>
      <c r="V303" s="1517"/>
      <c r="W303" s="1517"/>
      <c r="X303" s="1517"/>
    </row>
    <row r="304" spans="10:24" s="1518" customFormat="1">
      <c r="J304" s="1517"/>
      <c r="K304" s="1517"/>
      <c r="L304" s="1517"/>
      <c r="M304" s="1517"/>
      <c r="N304" s="1517"/>
      <c r="O304" s="1517"/>
      <c r="P304" s="1517"/>
      <c r="Q304" s="1517"/>
      <c r="R304" s="1517"/>
      <c r="S304" s="1517"/>
      <c r="T304" s="1517"/>
      <c r="U304" s="1517"/>
      <c r="V304" s="1517"/>
      <c r="W304" s="1517"/>
      <c r="X304" s="1517"/>
    </row>
    <row r="305" spans="10:24" s="1518" customFormat="1">
      <c r="J305" s="1517"/>
      <c r="K305" s="1517"/>
      <c r="L305" s="1517"/>
      <c r="M305" s="1517"/>
      <c r="N305" s="1517"/>
      <c r="O305" s="1517"/>
      <c r="P305" s="1517"/>
      <c r="Q305" s="1517"/>
      <c r="R305" s="1517"/>
      <c r="S305" s="1517"/>
      <c r="T305" s="1517"/>
      <c r="U305" s="1517"/>
      <c r="V305" s="1517"/>
      <c r="W305" s="1517"/>
      <c r="X305" s="1517"/>
    </row>
    <row r="306" spans="10:24" s="1518" customFormat="1">
      <c r="J306" s="1517"/>
      <c r="K306" s="1517"/>
      <c r="L306" s="1517"/>
      <c r="M306" s="1517"/>
      <c r="N306" s="1517"/>
      <c r="O306" s="1517"/>
      <c r="P306" s="1517"/>
      <c r="Q306" s="1517"/>
      <c r="R306" s="1517"/>
      <c r="S306" s="1517"/>
      <c r="T306" s="1517"/>
      <c r="U306" s="1517"/>
      <c r="V306" s="1517"/>
      <c r="W306" s="1517"/>
      <c r="X306" s="1517"/>
    </row>
    <row r="307" spans="10:24" s="1518" customFormat="1">
      <c r="J307" s="1517"/>
      <c r="K307" s="1517"/>
      <c r="L307" s="1517"/>
      <c r="M307" s="1517"/>
      <c r="N307" s="1517"/>
      <c r="O307" s="1517"/>
      <c r="P307" s="1517"/>
      <c r="Q307" s="1517"/>
      <c r="R307" s="1517"/>
      <c r="S307" s="1517"/>
      <c r="T307" s="1517"/>
      <c r="U307" s="1517"/>
      <c r="V307" s="1517"/>
      <c r="W307" s="1517"/>
      <c r="X307" s="1517"/>
    </row>
    <row r="308" spans="10:24" s="1518" customFormat="1">
      <c r="J308" s="1517"/>
      <c r="K308" s="1517"/>
      <c r="L308" s="1517"/>
      <c r="M308" s="1517"/>
      <c r="N308" s="1517"/>
      <c r="O308" s="1517"/>
      <c r="P308" s="1517"/>
      <c r="Q308" s="1517"/>
      <c r="R308" s="1517"/>
      <c r="S308" s="1517"/>
      <c r="T308" s="1517"/>
      <c r="U308" s="1517"/>
      <c r="V308" s="1517"/>
      <c r="W308" s="1517"/>
      <c r="X308" s="1517"/>
    </row>
    <row r="309" spans="10:24" s="1518" customFormat="1">
      <c r="J309" s="1517"/>
      <c r="K309" s="1517"/>
      <c r="L309" s="1517"/>
      <c r="M309" s="1517"/>
      <c r="N309" s="1517"/>
      <c r="O309" s="1517"/>
      <c r="P309" s="1517"/>
      <c r="Q309" s="1517"/>
      <c r="R309" s="1517"/>
      <c r="S309" s="1517"/>
      <c r="T309" s="1517"/>
      <c r="U309" s="1517"/>
      <c r="V309" s="1517"/>
      <c r="W309" s="1517"/>
      <c r="X309" s="1517"/>
    </row>
    <row r="310" spans="10:24" s="1518" customFormat="1">
      <c r="J310" s="1517"/>
      <c r="K310" s="1517"/>
      <c r="L310" s="1517"/>
      <c r="M310" s="1517"/>
      <c r="N310" s="1517"/>
      <c r="O310" s="1517"/>
      <c r="P310" s="1517"/>
      <c r="Q310" s="1517"/>
      <c r="R310" s="1517"/>
      <c r="S310" s="1517"/>
      <c r="T310" s="1517"/>
      <c r="U310" s="1517"/>
      <c r="V310" s="1517"/>
      <c r="W310" s="1517"/>
      <c r="X310" s="1517"/>
    </row>
    <row r="311" spans="10:24" s="1518" customFormat="1">
      <c r="J311" s="1517"/>
      <c r="K311" s="1517"/>
      <c r="L311" s="1517"/>
      <c r="M311" s="1517"/>
      <c r="N311" s="1517"/>
      <c r="O311" s="1517"/>
      <c r="P311" s="1517"/>
      <c r="Q311" s="1517"/>
      <c r="R311" s="1517"/>
      <c r="S311" s="1517"/>
      <c r="T311" s="1517"/>
      <c r="U311" s="1517"/>
      <c r="V311" s="1517"/>
      <c r="W311" s="1517"/>
      <c r="X311" s="1517"/>
    </row>
    <row r="312" spans="10:24" s="1518" customFormat="1">
      <c r="J312" s="1517"/>
      <c r="K312" s="1517"/>
      <c r="L312" s="1517"/>
      <c r="M312" s="1517"/>
      <c r="N312" s="1517"/>
      <c r="O312" s="1517"/>
      <c r="P312" s="1517"/>
      <c r="Q312" s="1517"/>
      <c r="R312" s="1517"/>
      <c r="S312" s="1517"/>
      <c r="T312" s="1517"/>
      <c r="U312" s="1517"/>
      <c r="V312" s="1517"/>
      <c r="W312" s="1517"/>
      <c r="X312" s="1517"/>
    </row>
    <row r="313" spans="10:24" s="1518" customFormat="1">
      <c r="J313" s="1517"/>
      <c r="K313" s="1517"/>
      <c r="L313" s="1517"/>
      <c r="M313" s="1517"/>
      <c r="N313" s="1517"/>
      <c r="O313" s="1517"/>
      <c r="P313" s="1517"/>
      <c r="Q313" s="1517"/>
      <c r="R313" s="1517"/>
      <c r="S313" s="1517"/>
      <c r="T313" s="1517"/>
      <c r="U313" s="1517"/>
      <c r="V313" s="1517"/>
      <c r="W313" s="1517"/>
      <c r="X313" s="1517"/>
    </row>
    <row r="314" spans="10:24" s="1518" customFormat="1">
      <c r="J314" s="1517"/>
      <c r="K314" s="1517"/>
      <c r="L314" s="1517"/>
      <c r="M314" s="1517"/>
      <c r="N314" s="1517"/>
      <c r="O314" s="1517"/>
      <c r="P314" s="1517"/>
      <c r="Q314" s="1517"/>
      <c r="R314" s="1517"/>
      <c r="S314" s="1517"/>
      <c r="T314" s="1517"/>
      <c r="U314" s="1517"/>
      <c r="V314" s="1517"/>
      <c r="W314" s="1517"/>
      <c r="X314" s="1517"/>
    </row>
    <row r="315" spans="10:24" s="1518" customFormat="1">
      <c r="J315" s="1517"/>
      <c r="K315" s="1517"/>
      <c r="L315" s="1517"/>
      <c r="M315" s="1517"/>
      <c r="N315" s="1517"/>
      <c r="O315" s="1517"/>
      <c r="P315" s="1517"/>
      <c r="Q315" s="1517"/>
      <c r="R315" s="1517"/>
      <c r="S315" s="1517"/>
      <c r="T315" s="1517"/>
      <c r="U315" s="1517"/>
      <c r="V315" s="1517"/>
      <c r="W315" s="1517"/>
      <c r="X315" s="1517"/>
    </row>
    <row r="316" spans="10:24" s="1518" customFormat="1">
      <c r="J316" s="1517"/>
      <c r="K316" s="1517"/>
      <c r="L316" s="1517"/>
      <c r="M316" s="1517"/>
      <c r="N316" s="1517"/>
      <c r="O316" s="1517"/>
      <c r="P316" s="1517"/>
      <c r="Q316" s="1517"/>
      <c r="R316" s="1517"/>
      <c r="S316" s="1517"/>
      <c r="T316" s="1517"/>
      <c r="U316" s="1517"/>
      <c r="V316" s="1517"/>
      <c r="W316" s="1517"/>
      <c r="X316" s="1517"/>
    </row>
    <row r="317" spans="10:24" s="1518" customFormat="1">
      <c r="J317" s="1517"/>
      <c r="K317" s="1517"/>
      <c r="L317" s="1517"/>
      <c r="M317" s="1517"/>
      <c r="N317" s="1517"/>
      <c r="O317" s="1517"/>
      <c r="P317" s="1517"/>
      <c r="Q317" s="1517"/>
      <c r="R317" s="1517"/>
      <c r="S317" s="1517"/>
      <c r="T317" s="1517"/>
      <c r="U317" s="1517"/>
      <c r="V317" s="1517"/>
      <c r="W317" s="1517"/>
      <c r="X317" s="1517"/>
    </row>
    <row r="318" spans="10:24" s="1518" customFormat="1">
      <c r="J318" s="1517"/>
      <c r="K318" s="1517"/>
      <c r="L318" s="1517"/>
      <c r="M318" s="1517"/>
      <c r="N318" s="1517"/>
      <c r="O318" s="1517"/>
      <c r="P318" s="1517"/>
      <c r="Q318" s="1517"/>
      <c r="R318" s="1517"/>
      <c r="S318" s="1517"/>
      <c r="T318" s="1517"/>
      <c r="U318" s="1517"/>
      <c r="V318" s="1517"/>
      <c r="W318" s="1517"/>
      <c r="X318" s="1517"/>
    </row>
    <row r="319" spans="10:24" s="1518" customFormat="1">
      <c r="J319" s="1517"/>
      <c r="K319" s="1517"/>
      <c r="L319" s="1517"/>
      <c r="M319" s="1517"/>
      <c r="N319" s="1517"/>
      <c r="O319" s="1517"/>
      <c r="P319" s="1517"/>
      <c r="Q319" s="1517"/>
      <c r="R319" s="1517"/>
      <c r="S319" s="1517"/>
      <c r="T319" s="1517"/>
      <c r="U319" s="1517"/>
      <c r="V319" s="1517"/>
      <c r="W319" s="1517"/>
      <c r="X319" s="1517"/>
    </row>
    <row r="320" spans="10:24" s="1518" customFormat="1">
      <c r="J320" s="1517"/>
      <c r="K320" s="1517"/>
      <c r="L320" s="1517"/>
      <c r="M320" s="1517"/>
      <c r="N320" s="1517"/>
      <c r="O320" s="1517"/>
      <c r="P320" s="1517"/>
      <c r="Q320" s="1517"/>
      <c r="R320" s="1517"/>
      <c r="S320" s="1517"/>
      <c r="T320" s="1517"/>
      <c r="U320" s="1517"/>
      <c r="V320" s="1517"/>
      <c r="W320" s="1517"/>
      <c r="X320" s="1517"/>
    </row>
    <row r="321" spans="10:24" s="1518" customFormat="1">
      <c r="J321" s="1517"/>
      <c r="K321" s="1517"/>
      <c r="L321" s="1517"/>
      <c r="M321" s="1517"/>
      <c r="N321" s="1517"/>
      <c r="O321" s="1517"/>
      <c r="P321" s="1517"/>
      <c r="Q321" s="1517"/>
      <c r="R321" s="1517"/>
      <c r="S321" s="1517"/>
      <c r="T321" s="1517"/>
      <c r="U321" s="1517"/>
      <c r="V321" s="1517"/>
      <c r="W321" s="1517"/>
      <c r="X321" s="1517"/>
    </row>
    <row r="322" spans="10:24" s="1518" customFormat="1">
      <c r="J322" s="1517"/>
      <c r="K322" s="1517"/>
      <c r="L322" s="1517"/>
      <c r="M322" s="1517"/>
      <c r="N322" s="1517"/>
      <c r="O322" s="1517"/>
      <c r="P322" s="1517"/>
      <c r="Q322" s="1517"/>
      <c r="R322" s="1517"/>
      <c r="S322" s="1517"/>
      <c r="T322" s="1517"/>
      <c r="U322" s="1517"/>
      <c r="V322" s="1517"/>
      <c r="W322" s="1517"/>
      <c r="X322" s="1517"/>
    </row>
    <row r="323" spans="10:24" s="1518" customFormat="1">
      <c r="J323" s="1517"/>
      <c r="K323" s="1517"/>
      <c r="L323" s="1517"/>
      <c r="M323" s="1517"/>
      <c r="N323" s="1517"/>
      <c r="O323" s="1517"/>
      <c r="P323" s="1517"/>
      <c r="Q323" s="1517"/>
      <c r="R323" s="1517"/>
      <c r="S323" s="1517"/>
      <c r="T323" s="1517"/>
      <c r="U323" s="1517"/>
      <c r="V323" s="1517"/>
      <c r="W323" s="1517"/>
      <c r="X323" s="1517"/>
    </row>
    <row r="324" spans="10:24" s="1518" customFormat="1">
      <c r="J324" s="1517"/>
      <c r="K324" s="1517"/>
      <c r="L324" s="1517"/>
      <c r="M324" s="1517"/>
      <c r="N324" s="1517"/>
      <c r="O324" s="1517"/>
      <c r="P324" s="1517"/>
      <c r="Q324" s="1517"/>
      <c r="R324" s="1517"/>
      <c r="S324" s="1517"/>
      <c r="T324" s="1517"/>
      <c r="U324" s="1517"/>
      <c r="V324" s="1517"/>
      <c r="W324" s="1517"/>
      <c r="X324" s="1517"/>
    </row>
    <row r="325" spans="10:24" s="1518" customFormat="1">
      <c r="J325" s="1517"/>
      <c r="K325" s="1517"/>
      <c r="L325" s="1517"/>
      <c r="M325" s="1517"/>
      <c r="N325" s="1517"/>
      <c r="O325" s="1517"/>
      <c r="P325" s="1517"/>
      <c r="Q325" s="1517"/>
      <c r="R325" s="1517"/>
      <c r="S325" s="1517"/>
      <c r="T325" s="1517"/>
      <c r="U325" s="1517"/>
      <c r="V325" s="1517"/>
      <c r="W325" s="1517"/>
      <c r="X325" s="1517"/>
    </row>
    <row r="326" spans="10:24" s="1518" customFormat="1">
      <c r="J326" s="1517"/>
      <c r="K326" s="1517"/>
      <c r="L326" s="1517"/>
      <c r="M326" s="1517"/>
      <c r="N326" s="1517"/>
      <c r="O326" s="1517"/>
      <c r="P326" s="1517"/>
      <c r="Q326" s="1517"/>
      <c r="R326" s="1517"/>
      <c r="S326" s="1517"/>
      <c r="T326" s="1517"/>
      <c r="U326" s="1517"/>
      <c r="V326" s="1517"/>
      <c r="W326" s="1517"/>
      <c r="X326" s="1517"/>
    </row>
    <row r="327" spans="10:24" s="1518" customFormat="1">
      <c r="J327" s="1517"/>
      <c r="K327" s="1517"/>
      <c r="L327" s="1517"/>
      <c r="M327" s="1517"/>
      <c r="N327" s="1517"/>
      <c r="O327" s="1517"/>
      <c r="P327" s="1517"/>
      <c r="Q327" s="1517"/>
      <c r="R327" s="1517"/>
      <c r="S327" s="1517"/>
      <c r="T327" s="1517"/>
      <c r="U327" s="1517"/>
      <c r="V327" s="1517"/>
      <c r="W327" s="1517"/>
      <c r="X327" s="1517"/>
    </row>
    <row r="328" spans="10:24" s="1518" customFormat="1">
      <c r="J328" s="1517"/>
      <c r="K328" s="1517"/>
      <c r="L328" s="1517"/>
      <c r="M328" s="1517"/>
      <c r="N328" s="1517"/>
      <c r="O328" s="1517"/>
      <c r="P328" s="1517"/>
      <c r="Q328" s="1517"/>
      <c r="R328" s="1517"/>
      <c r="S328" s="1517"/>
      <c r="T328" s="1517"/>
      <c r="U328" s="1517"/>
      <c r="V328" s="1517"/>
      <c r="W328" s="1517"/>
      <c r="X328" s="1517"/>
    </row>
    <row r="329" spans="10:24" s="1518" customFormat="1">
      <c r="J329" s="1517"/>
      <c r="K329" s="1517"/>
      <c r="L329" s="1517"/>
      <c r="M329" s="1517"/>
      <c r="N329" s="1517"/>
      <c r="O329" s="1517"/>
      <c r="P329" s="1517"/>
      <c r="Q329" s="1517"/>
      <c r="R329" s="1517"/>
      <c r="S329" s="1517"/>
      <c r="T329" s="1517"/>
      <c r="U329" s="1517"/>
      <c r="V329" s="1517"/>
      <c r="W329" s="1517"/>
      <c r="X329" s="1517"/>
    </row>
    <row r="330" spans="10:24" s="1518" customFormat="1">
      <c r="J330" s="1517"/>
      <c r="K330" s="1517"/>
      <c r="L330" s="1517"/>
      <c r="M330" s="1517"/>
      <c r="N330" s="1517"/>
      <c r="O330" s="1517"/>
      <c r="P330" s="1517"/>
      <c r="Q330" s="1517"/>
      <c r="R330" s="1517"/>
      <c r="S330" s="1517"/>
      <c r="T330" s="1517"/>
      <c r="U330" s="1517"/>
      <c r="V330" s="1517"/>
      <c r="W330" s="1517"/>
      <c r="X330" s="1517"/>
    </row>
    <row r="331" spans="10:24" s="1518" customFormat="1">
      <c r="J331" s="1517"/>
      <c r="K331" s="1517"/>
      <c r="L331" s="1517"/>
      <c r="M331" s="1517"/>
      <c r="N331" s="1517"/>
      <c r="O331" s="1517"/>
      <c r="P331" s="1517"/>
      <c r="Q331" s="1517"/>
      <c r="R331" s="1517"/>
      <c r="S331" s="1517"/>
      <c r="T331" s="1517"/>
      <c r="U331" s="1517"/>
      <c r="V331" s="1517"/>
      <c r="W331" s="1517"/>
      <c r="X331" s="1517"/>
    </row>
    <row r="332" spans="10:24" s="1518" customFormat="1">
      <c r="J332" s="1517"/>
      <c r="K332" s="1517"/>
      <c r="L332" s="1517"/>
      <c r="M332" s="1517"/>
      <c r="N332" s="1517"/>
      <c r="O332" s="1517"/>
      <c r="P332" s="1517"/>
      <c r="Q332" s="1517"/>
      <c r="R332" s="1517"/>
      <c r="S332" s="1517"/>
      <c r="T332" s="1517"/>
      <c r="U332" s="1517"/>
      <c r="V332" s="1517"/>
      <c r="W332" s="1517"/>
      <c r="X332" s="1517"/>
    </row>
    <row r="333" spans="10:24" s="1518" customFormat="1">
      <c r="J333" s="1517"/>
      <c r="K333" s="1517"/>
      <c r="L333" s="1517"/>
      <c r="M333" s="1517"/>
      <c r="N333" s="1517"/>
      <c r="O333" s="1517"/>
      <c r="P333" s="1517"/>
      <c r="Q333" s="1517"/>
      <c r="R333" s="1517"/>
      <c r="S333" s="1517"/>
      <c r="T333" s="1517"/>
      <c r="U333" s="1517"/>
      <c r="V333" s="1517"/>
      <c r="W333" s="1517"/>
      <c r="X333" s="1517"/>
    </row>
    <row r="334" spans="10:24" s="1518" customFormat="1">
      <c r="J334" s="1517"/>
      <c r="K334" s="1517"/>
      <c r="L334" s="1517"/>
      <c r="M334" s="1517"/>
      <c r="N334" s="1517"/>
      <c r="O334" s="1517"/>
      <c r="P334" s="1517"/>
      <c r="Q334" s="1517"/>
      <c r="R334" s="1517"/>
      <c r="S334" s="1517"/>
      <c r="T334" s="1517"/>
      <c r="U334" s="1517"/>
      <c r="V334" s="1517"/>
      <c r="W334" s="1517"/>
      <c r="X334" s="1517"/>
    </row>
    <row r="335" spans="10:24" s="1518" customFormat="1">
      <c r="J335" s="1517"/>
      <c r="K335" s="1517"/>
      <c r="L335" s="1517"/>
      <c r="M335" s="1517"/>
      <c r="N335" s="1517"/>
      <c r="O335" s="1517"/>
      <c r="P335" s="1517"/>
      <c r="Q335" s="1517"/>
      <c r="R335" s="1517"/>
      <c r="S335" s="1517"/>
      <c r="T335" s="1517"/>
      <c r="U335" s="1517"/>
      <c r="V335" s="1517"/>
      <c r="W335" s="1517"/>
      <c r="X335" s="1517"/>
    </row>
    <row r="336" spans="10:24" s="1518" customFormat="1">
      <c r="J336" s="1517"/>
      <c r="K336" s="1517"/>
      <c r="L336" s="1517"/>
      <c r="M336" s="1517"/>
      <c r="N336" s="1517"/>
      <c r="O336" s="1517"/>
      <c r="P336" s="1517"/>
      <c r="Q336" s="1517"/>
      <c r="R336" s="1517"/>
      <c r="S336" s="1517"/>
      <c r="T336" s="1517"/>
      <c r="U336" s="1517"/>
      <c r="V336" s="1517"/>
      <c r="W336" s="1517"/>
      <c r="X336" s="1517"/>
    </row>
    <row r="337" spans="10:24" s="1518" customFormat="1">
      <c r="J337" s="1517"/>
      <c r="K337" s="1517"/>
      <c r="L337" s="1517"/>
      <c r="M337" s="1517"/>
      <c r="N337" s="1517"/>
      <c r="O337" s="1517"/>
      <c r="P337" s="1517"/>
      <c r="Q337" s="1517"/>
      <c r="R337" s="1517"/>
      <c r="S337" s="1517"/>
      <c r="T337" s="1517"/>
      <c r="U337" s="1517"/>
      <c r="V337" s="1517"/>
      <c r="W337" s="1517"/>
      <c r="X337" s="1517"/>
    </row>
    <row r="338" spans="10:24" s="1518" customFormat="1">
      <c r="J338" s="1517"/>
      <c r="K338" s="1517"/>
      <c r="L338" s="1517"/>
      <c r="M338" s="1517"/>
      <c r="N338" s="1517"/>
      <c r="O338" s="1517"/>
      <c r="P338" s="1517"/>
      <c r="Q338" s="1517"/>
      <c r="R338" s="1517"/>
      <c r="S338" s="1517"/>
      <c r="T338" s="1517"/>
      <c r="U338" s="1517"/>
      <c r="V338" s="1517"/>
      <c r="W338" s="1517"/>
      <c r="X338" s="1517"/>
    </row>
    <row r="339" spans="10:24" s="1518" customFormat="1">
      <c r="J339" s="1517"/>
      <c r="K339" s="1517"/>
      <c r="L339" s="1517"/>
      <c r="M339" s="1517"/>
      <c r="N339" s="1517"/>
      <c r="O339" s="1517"/>
      <c r="P339" s="1517"/>
      <c r="Q339" s="1517"/>
      <c r="R339" s="1517"/>
      <c r="S339" s="1517"/>
      <c r="T339" s="1517"/>
      <c r="U339" s="1517"/>
      <c r="V339" s="1517"/>
      <c r="W339" s="1517"/>
      <c r="X339" s="1517"/>
    </row>
    <row r="340" spans="10:24" s="1518" customFormat="1">
      <c r="J340" s="1517"/>
      <c r="K340" s="1517"/>
      <c r="L340" s="1517"/>
      <c r="M340" s="1517"/>
      <c r="N340" s="1517"/>
      <c r="O340" s="1517"/>
      <c r="P340" s="1517"/>
      <c r="Q340" s="1517"/>
      <c r="R340" s="1517"/>
      <c r="S340" s="1517"/>
      <c r="T340" s="1517"/>
      <c r="U340" s="1517"/>
      <c r="V340" s="1517"/>
      <c r="W340" s="1517"/>
      <c r="X340" s="1517"/>
    </row>
    <row r="341" spans="10:24" s="1518" customFormat="1">
      <c r="J341" s="1517"/>
      <c r="K341" s="1517"/>
      <c r="L341" s="1517"/>
      <c r="M341" s="1517"/>
      <c r="N341" s="1517"/>
      <c r="O341" s="1517"/>
      <c r="P341" s="1517"/>
      <c r="Q341" s="1517"/>
      <c r="R341" s="1517"/>
      <c r="S341" s="1517"/>
      <c r="T341" s="1517"/>
      <c r="U341" s="1517"/>
      <c r="V341" s="1517"/>
      <c r="W341" s="1517"/>
      <c r="X341" s="1517"/>
    </row>
    <row r="342" spans="10:24" s="1518" customFormat="1">
      <c r="J342" s="1517"/>
      <c r="K342" s="1517"/>
      <c r="L342" s="1517"/>
      <c r="M342" s="1517"/>
      <c r="N342" s="1517"/>
      <c r="O342" s="1517"/>
      <c r="P342" s="1517"/>
      <c r="Q342" s="1517"/>
      <c r="R342" s="1517"/>
      <c r="S342" s="1517"/>
      <c r="T342" s="1517"/>
      <c r="U342" s="1517"/>
      <c r="V342" s="1517"/>
      <c r="W342" s="1517"/>
      <c r="X342" s="1517"/>
    </row>
    <row r="343" spans="10:24" s="1518" customFormat="1">
      <c r="J343" s="1517"/>
      <c r="K343" s="1517"/>
      <c r="L343" s="1517"/>
      <c r="M343" s="1517"/>
      <c r="N343" s="1517"/>
      <c r="O343" s="1517"/>
      <c r="P343" s="1517"/>
      <c r="Q343" s="1517"/>
      <c r="R343" s="1517"/>
      <c r="S343" s="1517"/>
      <c r="T343" s="1517"/>
      <c r="U343" s="1517"/>
      <c r="V343" s="1517"/>
      <c r="W343" s="1517"/>
      <c r="X343" s="1517"/>
    </row>
    <row r="344" spans="10:24" s="1518" customFormat="1">
      <c r="J344" s="1517"/>
      <c r="K344" s="1517"/>
      <c r="L344" s="1517"/>
      <c r="M344" s="1517"/>
      <c r="N344" s="1517"/>
      <c r="O344" s="1517"/>
      <c r="P344" s="1517"/>
      <c r="Q344" s="1517"/>
      <c r="R344" s="1517"/>
      <c r="S344" s="1517"/>
      <c r="T344" s="1517"/>
      <c r="U344" s="1517"/>
      <c r="V344" s="1517"/>
      <c r="W344" s="1517"/>
      <c r="X344" s="1517"/>
    </row>
    <row r="345" spans="10:24" s="1518" customFormat="1">
      <c r="J345" s="1517"/>
      <c r="K345" s="1517"/>
      <c r="L345" s="1517"/>
      <c r="M345" s="1517"/>
      <c r="N345" s="1517"/>
      <c r="O345" s="1517"/>
      <c r="P345" s="1517"/>
      <c r="Q345" s="1517"/>
      <c r="R345" s="1517"/>
      <c r="S345" s="1517"/>
      <c r="T345" s="1517"/>
      <c r="U345" s="1517"/>
      <c r="V345" s="1517"/>
      <c r="W345" s="1517"/>
      <c r="X345" s="1517"/>
    </row>
    <row r="346" spans="10:24" s="1518" customFormat="1">
      <c r="J346" s="1517"/>
      <c r="K346" s="1517"/>
      <c r="L346" s="1517"/>
      <c r="M346" s="1517"/>
      <c r="N346" s="1517"/>
      <c r="O346" s="1517"/>
      <c r="P346" s="1517"/>
      <c r="Q346" s="1517"/>
      <c r="R346" s="1517"/>
      <c r="S346" s="1517"/>
      <c r="T346" s="1517"/>
      <c r="U346" s="1517"/>
      <c r="V346" s="1517"/>
      <c r="W346" s="1517"/>
      <c r="X346" s="1517"/>
    </row>
    <row r="347" spans="10:24" s="1518" customFormat="1">
      <c r="J347" s="1517"/>
      <c r="K347" s="1517"/>
      <c r="L347" s="1517"/>
      <c r="M347" s="1517"/>
      <c r="N347" s="1517"/>
      <c r="O347" s="1517"/>
      <c r="P347" s="1517"/>
      <c r="Q347" s="1517"/>
      <c r="R347" s="1517"/>
      <c r="S347" s="1517"/>
      <c r="T347" s="1517"/>
      <c r="U347" s="1517"/>
      <c r="V347" s="1517"/>
      <c r="W347" s="1517"/>
      <c r="X347" s="1517"/>
    </row>
    <row r="348" spans="10:24" s="1518" customFormat="1">
      <c r="J348" s="1517"/>
      <c r="K348" s="1517"/>
      <c r="L348" s="1517"/>
      <c r="M348" s="1517"/>
      <c r="N348" s="1517"/>
      <c r="O348" s="1517"/>
      <c r="P348" s="1517"/>
      <c r="Q348" s="1517"/>
      <c r="R348" s="1517"/>
      <c r="S348" s="1517"/>
      <c r="T348" s="1517"/>
      <c r="U348" s="1517"/>
      <c r="V348" s="1517"/>
      <c r="W348" s="1517"/>
      <c r="X348" s="1517"/>
    </row>
    <row r="349" spans="10:24" s="1518" customFormat="1">
      <c r="J349" s="1517"/>
      <c r="K349" s="1517"/>
      <c r="L349" s="1517"/>
      <c r="M349" s="1517"/>
      <c r="N349" s="1517"/>
      <c r="O349" s="1517"/>
      <c r="P349" s="1517"/>
      <c r="Q349" s="1517"/>
      <c r="R349" s="1517"/>
      <c r="S349" s="1517"/>
      <c r="T349" s="1517"/>
      <c r="U349" s="1517"/>
      <c r="V349" s="1517"/>
      <c r="W349" s="1517"/>
      <c r="X349" s="1517"/>
    </row>
    <row r="350" spans="10:24" s="1518" customFormat="1">
      <c r="J350" s="1517"/>
      <c r="K350" s="1517"/>
      <c r="L350" s="1517"/>
      <c r="M350" s="1517"/>
      <c r="N350" s="1517"/>
      <c r="O350" s="1517"/>
      <c r="P350" s="1517"/>
      <c r="Q350" s="1517"/>
      <c r="R350" s="1517"/>
      <c r="S350" s="1517"/>
      <c r="T350" s="1517"/>
      <c r="U350" s="1517"/>
      <c r="V350" s="1517"/>
      <c r="W350" s="1517"/>
      <c r="X350" s="1517"/>
    </row>
    <row r="351" spans="10:24" s="1518" customFormat="1">
      <c r="J351" s="1517"/>
      <c r="K351" s="1517"/>
      <c r="L351" s="1517"/>
      <c r="M351" s="1517"/>
      <c r="N351" s="1517"/>
      <c r="O351" s="1517"/>
      <c r="P351" s="1517"/>
      <c r="Q351" s="1517"/>
      <c r="R351" s="1517"/>
      <c r="S351" s="1517"/>
      <c r="T351" s="1517"/>
      <c r="U351" s="1517"/>
      <c r="V351" s="1517"/>
      <c r="W351" s="1517"/>
      <c r="X351" s="1517"/>
    </row>
    <row r="352" spans="10:24" s="1518" customFormat="1">
      <c r="J352" s="1517"/>
      <c r="K352" s="1517"/>
      <c r="L352" s="1517"/>
      <c r="M352" s="1517"/>
      <c r="N352" s="1517"/>
      <c r="O352" s="1517"/>
      <c r="P352" s="1517"/>
      <c r="Q352" s="1517"/>
      <c r="R352" s="1517"/>
      <c r="S352" s="1517"/>
      <c r="T352" s="1517"/>
      <c r="U352" s="1517"/>
      <c r="V352" s="1517"/>
      <c r="W352" s="1517"/>
      <c r="X352" s="1517"/>
    </row>
    <row r="353" spans="10:24" s="1518" customFormat="1">
      <c r="J353" s="1517"/>
      <c r="K353" s="1517"/>
      <c r="L353" s="1517"/>
      <c r="M353" s="1517"/>
      <c r="N353" s="1517"/>
      <c r="O353" s="1517"/>
      <c r="P353" s="1517"/>
      <c r="Q353" s="1517"/>
      <c r="R353" s="1517"/>
      <c r="S353" s="1517"/>
      <c r="T353" s="1517"/>
      <c r="U353" s="1517"/>
      <c r="V353" s="1517"/>
      <c r="W353" s="1517"/>
      <c r="X353" s="1517"/>
    </row>
    <row r="354" spans="10:24" s="1518" customFormat="1">
      <c r="J354" s="1517"/>
      <c r="K354" s="1517"/>
      <c r="L354" s="1517"/>
      <c r="M354" s="1517"/>
      <c r="N354" s="1517"/>
      <c r="O354" s="1517"/>
      <c r="P354" s="1517"/>
      <c r="Q354" s="1517"/>
      <c r="R354" s="1517"/>
      <c r="S354" s="1517"/>
      <c r="T354" s="1517"/>
      <c r="U354" s="1517"/>
      <c r="V354" s="1517"/>
      <c r="W354" s="1517"/>
      <c r="X354" s="1517"/>
    </row>
    <row r="355" spans="10:24" s="1518" customFormat="1">
      <c r="J355" s="1517"/>
      <c r="K355" s="1517"/>
      <c r="L355" s="1517"/>
      <c r="M355" s="1517"/>
      <c r="N355" s="1517"/>
      <c r="O355" s="1517"/>
      <c r="P355" s="1517"/>
      <c r="Q355" s="1517"/>
      <c r="R355" s="1517"/>
      <c r="S355" s="1517"/>
      <c r="T355" s="1517"/>
      <c r="U355" s="1517"/>
      <c r="V355" s="1517"/>
      <c r="W355" s="1517"/>
      <c r="X355" s="1517"/>
    </row>
    <row r="356" spans="10:24" s="1518" customFormat="1">
      <c r="J356" s="1517"/>
      <c r="K356" s="1517"/>
      <c r="L356" s="1517"/>
      <c r="M356" s="1517"/>
      <c r="N356" s="1517"/>
      <c r="O356" s="1517"/>
      <c r="P356" s="1517"/>
      <c r="Q356" s="1517"/>
      <c r="R356" s="1517"/>
      <c r="S356" s="1517"/>
      <c r="T356" s="1517"/>
      <c r="U356" s="1517"/>
      <c r="V356" s="1517"/>
      <c r="W356" s="1517"/>
      <c r="X356" s="1517"/>
    </row>
    <row r="357" spans="10:24" s="1518" customFormat="1">
      <c r="J357" s="1517"/>
      <c r="K357" s="1517"/>
      <c r="L357" s="1517"/>
      <c r="M357" s="1517"/>
      <c r="N357" s="1517"/>
      <c r="O357" s="1517"/>
      <c r="P357" s="1517"/>
      <c r="Q357" s="1517"/>
      <c r="R357" s="1517"/>
      <c r="S357" s="1517"/>
      <c r="T357" s="1517"/>
      <c r="U357" s="1517"/>
      <c r="V357" s="1517"/>
      <c r="W357" s="1517"/>
      <c r="X357" s="1517"/>
    </row>
    <row r="358" spans="10:24" s="1518" customFormat="1">
      <c r="J358" s="1517"/>
      <c r="K358" s="1517"/>
      <c r="L358" s="1517"/>
      <c r="M358" s="1517"/>
      <c r="N358" s="1517"/>
      <c r="O358" s="1517"/>
      <c r="P358" s="1517"/>
      <c r="Q358" s="1517"/>
      <c r="R358" s="1517"/>
      <c r="S358" s="1517"/>
      <c r="T358" s="1517"/>
      <c r="U358" s="1517"/>
      <c r="V358" s="1517"/>
      <c r="W358" s="1517"/>
      <c r="X358" s="1517"/>
    </row>
    <row r="359" spans="10:24" s="1518" customFormat="1">
      <c r="J359" s="1517"/>
      <c r="K359" s="1517"/>
      <c r="L359" s="1517"/>
      <c r="M359" s="1517"/>
      <c r="N359" s="1517"/>
      <c r="O359" s="1517"/>
      <c r="P359" s="1517"/>
      <c r="Q359" s="1517"/>
      <c r="R359" s="1517"/>
      <c r="S359" s="1517"/>
      <c r="T359" s="1517"/>
      <c r="U359" s="1517"/>
      <c r="V359" s="1517"/>
      <c r="W359" s="1517"/>
      <c r="X359" s="1517"/>
    </row>
    <row r="360" spans="10:24" s="1518" customFormat="1">
      <c r="J360" s="1517"/>
      <c r="K360" s="1517"/>
      <c r="L360" s="1517"/>
      <c r="M360" s="1517"/>
      <c r="N360" s="1517"/>
      <c r="O360" s="1517"/>
      <c r="P360" s="1517"/>
      <c r="Q360" s="1517"/>
      <c r="R360" s="1517"/>
      <c r="S360" s="1517"/>
      <c r="T360" s="1517"/>
      <c r="U360" s="1517"/>
      <c r="V360" s="1517"/>
      <c r="W360" s="1517"/>
      <c r="X360" s="1517"/>
    </row>
    <row r="361" spans="10:24" s="1518" customFormat="1">
      <c r="J361" s="1517"/>
      <c r="K361" s="1517"/>
      <c r="L361" s="1517"/>
      <c r="M361" s="1517"/>
      <c r="N361" s="1517"/>
      <c r="O361" s="1517"/>
      <c r="P361" s="1517"/>
      <c r="Q361" s="1517"/>
      <c r="R361" s="1517"/>
      <c r="S361" s="1517"/>
      <c r="T361" s="1517"/>
      <c r="U361" s="1517"/>
      <c r="V361" s="1517"/>
      <c r="W361" s="1517"/>
      <c r="X361" s="1517"/>
    </row>
    <row r="362" spans="10:24" s="1518" customFormat="1">
      <c r="J362" s="1517"/>
      <c r="K362" s="1517"/>
      <c r="L362" s="1517"/>
      <c r="M362" s="1517"/>
      <c r="N362" s="1517"/>
      <c r="O362" s="1517"/>
      <c r="P362" s="1517"/>
      <c r="Q362" s="1517"/>
      <c r="R362" s="1517"/>
      <c r="S362" s="1517"/>
      <c r="T362" s="1517"/>
      <c r="U362" s="1517"/>
      <c r="V362" s="1517"/>
      <c r="W362" s="1517"/>
      <c r="X362" s="1517"/>
    </row>
    <row r="363" spans="10:24" s="1518" customFormat="1">
      <c r="J363" s="1517"/>
      <c r="K363" s="1517"/>
      <c r="L363" s="1517"/>
      <c r="M363" s="1517"/>
      <c r="N363" s="1517"/>
      <c r="O363" s="1517"/>
      <c r="P363" s="1517"/>
      <c r="Q363" s="1517"/>
      <c r="R363" s="1517"/>
      <c r="S363" s="1517"/>
      <c r="T363" s="1517"/>
      <c r="U363" s="1517"/>
      <c r="V363" s="1517"/>
      <c r="W363" s="1517"/>
      <c r="X363" s="1517"/>
    </row>
    <row r="364" spans="10:24" s="1518" customFormat="1">
      <c r="J364" s="1517"/>
      <c r="K364" s="1517"/>
      <c r="L364" s="1517"/>
      <c r="M364" s="1517"/>
      <c r="N364" s="1517"/>
      <c r="O364" s="1517"/>
      <c r="P364" s="1517"/>
      <c r="Q364" s="1517"/>
      <c r="R364" s="1517"/>
      <c r="S364" s="1517"/>
      <c r="T364" s="1517"/>
      <c r="U364" s="1517"/>
      <c r="V364" s="1517"/>
      <c r="W364" s="1517"/>
      <c r="X364" s="1517"/>
    </row>
    <row r="365" spans="10:24" s="1518" customFormat="1">
      <c r="J365" s="1517"/>
      <c r="K365" s="1517"/>
      <c r="L365" s="1517"/>
      <c r="M365" s="1517"/>
      <c r="N365" s="1517"/>
      <c r="O365" s="1517"/>
      <c r="P365" s="1517"/>
      <c r="Q365" s="1517"/>
      <c r="R365" s="1517"/>
      <c r="S365" s="1517"/>
      <c r="T365" s="1517"/>
      <c r="U365" s="1517"/>
      <c r="V365" s="1517"/>
      <c r="W365" s="1517"/>
      <c r="X365" s="1517"/>
    </row>
    <row r="366" spans="10:24" s="1518" customFormat="1">
      <c r="J366" s="1517"/>
      <c r="K366" s="1517"/>
      <c r="L366" s="1517"/>
      <c r="M366" s="1517"/>
      <c r="N366" s="1517"/>
      <c r="O366" s="1517"/>
      <c r="P366" s="1517"/>
      <c r="Q366" s="1517"/>
      <c r="R366" s="1517"/>
      <c r="S366" s="1517"/>
      <c r="T366" s="1517"/>
      <c r="U366" s="1517"/>
      <c r="V366" s="1517"/>
      <c r="W366" s="1517"/>
      <c r="X366" s="1517"/>
    </row>
    <row r="367" spans="10:24" s="1518" customFormat="1">
      <c r="J367" s="1517"/>
      <c r="K367" s="1517"/>
      <c r="L367" s="1517"/>
      <c r="M367" s="1517"/>
      <c r="N367" s="1517"/>
      <c r="O367" s="1517"/>
      <c r="P367" s="1517"/>
      <c r="Q367" s="1517"/>
      <c r="R367" s="1517"/>
      <c r="S367" s="1517"/>
      <c r="T367" s="1517"/>
      <c r="U367" s="1517"/>
      <c r="V367" s="1517"/>
      <c r="W367" s="1517"/>
      <c r="X367" s="1517"/>
    </row>
    <row r="368" spans="10:24" s="1518" customFormat="1">
      <c r="J368" s="1517"/>
      <c r="K368" s="1517"/>
      <c r="L368" s="1517"/>
      <c r="M368" s="1517"/>
      <c r="N368" s="1517"/>
      <c r="O368" s="1517"/>
      <c r="P368" s="1517"/>
      <c r="Q368" s="1517"/>
      <c r="R368" s="1517"/>
      <c r="S368" s="1517"/>
      <c r="T368" s="1517"/>
      <c r="U368" s="1517"/>
      <c r="V368" s="1517"/>
      <c r="W368" s="1517"/>
      <c r="X368" s="1517"/>
    </row>
    <row r="369" spans="10:24" s="1518" customFormat="1">
      <c r="J369" s="1517"/>
      <c r="K369" s="1517"/>
      <c r="L369" s="1517"/>
      <c r="M369" s="1517"/>
      <c r="N369" s="1517"/>
      <c r="O369" s="1517"/>
      <c r="P369" s="1517"/>
      <c r="Q369" s="1517"/>
      <c r="R369" s="1517"/>
      <c r="S369" s="1517"/>
      <c r="T369" s="1517"/>
      <c r="U369" s="1517"/>
      <c r="V369" s="1517"/>
      <c r="W369" s="1517"/>
      <c r="X369" s="1517"/>
    </row>
    <row r="370" spans="10:24" s="1518" customFormat="1">
      <c r="J370" s="1517"/>
      <c r="K370" s="1517"/>
      <c r="L370" s="1517"/>
      <c r="M370" s="1517"/>
      <c r="N370" s="1517"/>
      <c r="O370" s="1517"/>
      <c r="P370" s="1517"/>
      <c r="Q370" s="1517"/>
      <c r="R370" s="1517"/>
      <c r="S370" s="1517"/>
      <c r="T370" s="1517"/>
      <c r="U370" s="1517"/>
      <c r="V370" s="1517"/>
      <c r="W370" s="1517"/>
      <c r="X370" s="1517"/>
    </row>
    <row r="371" spans="10:24" s="1518" customFormat="1">
      <c r="J371" s="1517"/>
      <c r="K371" s="1517"/>
      <c r="L371" s="1517"/>
      <c r="M371" s="1517"/>
      <c r="N371" s="1517"/>
      <c r="O371" s="1517"/>
      <c r="P371" s="1517"/>
      <c r="Q371" s="1517"/>
      <c r="R371" s="1517"/>
      <c r="S371" s="1517"/>
      <c r="T371" s="1517"/>
      <c r="U371" s="1517"/>
      <c r="V371" s="1517"/>
      <c r="W371" s="1517"/>
      <c r="X371" s="1517"/>
    </row>
    <row r="372" spans="10:24" s="1518" customFormat="1">
      <c r="J372" s="1517"/>
      <c r="K372" s="1517"/>
      <c r="L372" s="1517"/>
      <c r="M372" s="1517"/>
      <c r="N372" s="1517"/>
      <c r="O372" s="1517"/>
      <c r="P372" s="1517"/>
      <c r="Q372" s="1517"/>
      <c r="R372" s="1517"/>
      <c r="S372" s="1517"/>
      <c r="T372" s="1517"/>
      <c r="U372" s="1517"/>
      <c r="V372" s="1517"/>
      <c r="W372" s="1517"/>
      <c r="X372" s="1517"/>
    </row>
    <row r="373" spans="10:24" s="1518" customFormat="1">
      <c r="J373" s="1517"/>
      <c r="K373" s="1517"/>
      <c r="L373" s="1517"/>
      <c r="M373" s="1517"/>
      <c r="N373" s="1517"/>
      <c r="O373" s="1517"/>
      <c r="P373" s="1517"/>
      <c r="Q373" s="1517"/>
      <c r="R373" s="1517"/>
      <c r="S373" s="1517"/>
      <c r="T373" s="1517"/>
      <c r="U373" s="1517"/>
      <c r="V373" s="1517"/>
      <c r="W373" s="1517"/>
      <c r="X373" s="1517"/>
    </row>
    <row r="374" spans="10:24" s="1518" customFormat="1">
      <c r="J374" s="1517"/>
      <c r="K374" s="1517"/>
      <c r="L374" s="1517"/>
      <c r="M374" s="1517"/>
      <c r="N374" s="1517"/>
      <c r="O374" s="1517"/>
      <c r="P374" s="1517"/>
      <c r="Q374" s="1517"/>
      <c r="R374" s="1517"/>
      <c r="S374" s="1517"/>
      <c r="T374" s="1517"/>
      <c r="U374" s="1517"/>
      <c r="V374" s="1517"/>
      <c r="W374" s="1517"/>
      <c r="X374" s="1517"/>
    </row>
    <row r="375" spans="10:24" s="1518" customFormat="1">
      <c r="J375" s="1517"/>
      <c r="K375" s="1517"/>
      <c r="L375" s="1517"/>
      <c r="M375" s="1517"/>
      <c r="N375" s="1517"/>
      <c r="O375" s="1517"/>
      <c r="P375" s="1517"/>
      <c r="Q375" s="1517"/>
      <c r="R375" s="1517"/>
      <c r="S375" s="1517"/>
      <c r="T375" s="1517"/>
      <c r="U375" s="1517"/>
      <c r="V375" s="1517"/>
      <c r="W375" s="1517"/>
      <c r="X375" s="1517"/>
    </row>
    <row r="376" spans="10:24" s="1518" customFormat="1">
      <c r="J376" s="1517"/>
      <c r="K376" s="1517"/>
      <c r="L376" s="1517"/>
      <c r="M376" s="1517"/>
      <c r="N376" s="1517"/>
      <c r="O376" s="1517"/>
      <c r="P376" s="1517"/>
      <c r="Q376" s="1517"/>
      <c r="R376" s="1517"/>
      <c r="S376" s="1517"/>
      <c r="T376" s="1517"/>
      <c r="U376" s="1517"/>
      <c r="V376" s="1517"/>
      <c r="W376" s="1517"/>
      <c r="X376" s="1517"/>
    </row>
    <row r="377" spans="10:24" s="1518" customFormat="1">
      <c r="J377" s="1517"/>
      <c r="K377" s="1517"/>
      <c r="L377" s="1517"/>
      <c r="M377" s="1517"/>
      <c r="N377" s="1517"/>
      <c r="O377" s="1517"/>
      <c r="P377" s="1517"/>
      <c r="Q377" s="1517"/>
      <c r="R377" s="1517"/>
      <c r="S377" s="1517"/>
      <c r="T377" s="1517"/>
      <c r="U377" s="1517"/>
      <c r="V377" s="1517"/>
      <c r="W377" s="1517"/>
      <c r="X377" s="1517"/>
    </row>
    <row r="378" spans="10:24" s="1518" customFormat="1">
      <c r="J378" s="1517"/>
      <c r="K378" s="1517"/>
      <c r="L378" s="1517"/>
      <c r="M378" s="1517"/>
      <c r="N378" s="1517"/>
      <c r="O378" s="1517"/>
      <c r="P378" s="1517"/>
      <c r="Q378" s="1517"/>
      <c r="R378" s="1517"/>
      <c r="S378" s="1517"/>
      <c r="T378" s="1517"/>
      <c r="U378" s="1517"/>
      <c r="V378" s="1517"/>
      <c r="W378" s="1517"/>
      <c r="X378" s="1517"/>
    </row>
    <row r="379" spans="10:24" s="1518" customFormat="1">
      <c r="J379" s="1517"/>
      <c r="K379" s="1517"/>
      <c r="L379" s="1517"/>
      <c r="M379" s="1517"/>
      <c r="N379" s="1517"/>
      <c r="O379" s="1517"/>
      <c r="P379" s="1517"/>
      <c r="Q379" s="1517"/>
      <c r="R379" s="1517"/>
      <c r="S379" s="1517"/>
      <c r="T379" s="1517"/>
      <c r="U379" s="1517"/>
      <c r="V379" s="1517"/>
      <c r="W379" s="1517"/>
      <c r="X379" s="1517"/>
    </row>
    <row r="380" spans="10:24" s="1518" customFormat="1">
      <c r="J380" s="1517"/>
      <c r="K380" s="1517"/>
      <c r="L380" s="1517"/>
      <c r="M380" s="1517"/>
      <c r="N380" s="1517"/>
      <c r="O380" s="1517"/>
      <c r="P380" s="1517"/>
      <c r="Q380" s="1517"/>
      <c r="R380" s="1517"/>
      <c r="S380" s="1517"/>
      <c r="T380" s="1517"/>
      <c r="U380" s="1517"/>
      <c r="V380" s="1517"/>
      <c r="W380" s="1517"/>
      <c r="X380" s="1517"/>
    </row>
    <row r="381" spans="10:24" s="1518" customFormat="1">
      <c r="J381" s="1517"/>
      <c r="K381" s="1517"/>
      <c r="L381" s="1517"/>
      <c r="M381" s="1517"/>
      <c r="N381" s="1517"/>
      <c r="O381" s="1517"/>
      <c r="P381" s="1517"/>
      <c r="Q381" s="1517"/>
      <c r="R381" s="1517"/>
      <c r="S381" s="1517"/>
      <c r="T381" s="1517"/>
      <c r="U381" s="1517"/>
      <c r="V381" s="1517"/>
      <c r="W381" s="1517"/>
      <c r="X381" s="1517"/>
    </row>
    <row r="382" spans="10:24" s="1518" customFormat="1">
      <c r="J382" s="1517"/>
      <c r="K382" s="1517"/>
      <c r="L382" s="1517"/>
      <c r="M382" s="1517"/>
      <c r="N382" s="1517"/>
      <c r="O382" s="1517"/>
      <c r="P382" s="1517"/>
      <c r="Q382" s="1517"/>
      <c r="R382" s="1517"/>
      <c r="S382" s="1517"/>
      <c r="T382" s="1517"/>
      <c r="U382" s="1517"/>
      <c r="V382" s="1517"/>
      <c r="W382" s="1517"/>
      <c r="X382" s="1517"/>
    </row>
    <row r="383" spans="10:24" s="1518" customFormat="1">
      <c r="J383" s="1517"/>
      <c r="K383" s="1517"/>
      <c r="L383" s="1517"/>
      <c r="M383" s="1517"/>
      <c r="N383" s="1517"/>
      <c r="O383" s="1517"/>
      <c r="P383" s="1517"/>
      <c r="Q383" s="1517"/>
      <c r="R383" s="1517"/>
      <c r="S383" s="1517"/>
      <c r="T383" s="1517"/>
      <c r="U383" s="1517"/>
      <c r="V383" s="1517"/>
      <c r="W383" s="1517"/>
      <c r="X383" s="1517"/>
    </row>
    <row r="384" spans="10:24" s="1518" customFormat="1">
      <c r="J384" s="1517"/>
      <c r="K384" s="1517"/>
      <c r="L384" s="1517"/>
      <c r="M384" s="1517"/>
      <c r="N384" s="1517"/>
      <c r="O384" s="1517"/>
      <c r="P384" s="1517"/>
      <c r="Q384" s="1517"/>
      <c r="R384" s="1517"/>
      <c r="S384" s="1517"/>
      <c r="T384" s="1517"/>
      <c r="U384" s="1517"/>
      <c r="V384" s="1517"/>
      <c r="W384" s="1517"/>
      <c r="X384" s="1517"/>
    </row>
    <row r="385" spans="10:24" s="1518" customFormat="1">
      <c r="J385" s="1517"/>
      <c r="K385" s="1517"/>
      <c r="L385" s="1517"/>
      <c r="M385" s="1517"/>
      <c r="N385" s="1517"/>
      <c r="O385" s="1517"/>
      <c r="P385" s="1517"/>
      <c r="Q385" s="1517"/>
      <c r="R385" s="1517"/>
      <c r="S385" s="1517"/>
      <c r="T385" s="1517"/>
      <c r="U385" s="1517"/>
      <c r="V385" s="1517"/>
      <c r="W385" s="1517"/>
      <c r="X385" s="1517"/>
    </row>
    <row r="386" spans="10:24" s="1518" customFormat="1">
      <c r="J386" s="1517"/>
      <c r="K386" s="1517"/>
      <c r="L386" s="1517"/>
      <c r="M386" s="1517"/>
      <c r="N386" s="1517"/>
      <c r="O386" s="1517"/>
      <c r="P386" s="1517"/>
      <c r="Q386" s="1517"/>
      <c r="R386" s="1517"/>
      <c r="S386" s="1517"/>
      <c r="T386" s="1517"/>
      <c r="U386" s="1517"/>
      <c r="V386" s="1517"/>
      <c r="W386" s="1517"/>
      <c r="X386" s="1517"/>
    </row>
    <row r="387" spans="10:24" s="1518" customFormat="1">
      <c r="J387" s="1517"/>
      <c r="K387" s="1517"/>
      <c r="L387" s="1517"/>
      <c r="M387" s="1517"/>
      <c r="N387" s="1517"/>
      <c r="O387" s="1517"/>
      <c r="P387" s="1517"/>
      <c r="Q387" s="1517"/>
      <c r="R387" s="1517"/>
      <c r="S387" s="1517"/>
      <c r="T387" s="1517"/>
      <c r="U387" s="1517"/>
      <c r="V387" s="1517"/>
      <c r="W387" s="1517"/>
      <c r="X387" s="1517"/>
    </row>
    <row r="388" spans="10:24" s="1518" customFormat="1">
      <c r="J388" s="1517"/>
      <c r="K388" s="1517"/>
      <c r="L388" s="1517"/>
      <c r="M388" s="1517"/>
      <c r="N388" s="1517"/>
      <c r="O388" s="1517"/>
      <c r="P388" s="1517"/>
      <c r="Q388" s="1517"/>
      <c r="R388" s="1517"/>
      <c r="S388" s="1517"/>
      <c r="T388" s="1517"/>
      <c r="U388" s="1517"/>
      <c r="V388" s="1517"/>
      <c r="W388" s="1517"/>
      <c r="X388" s="1517"/>
    </row>
    <row r="389" spans="10:24" s="1518" customFormat="1">
      <c r="J389" s="1517"/>
      <c r="K389" s="1517"/>
      <c r="L389" s="1517"/>
      <c r="M389" s="1517"/>
      <c r="N389" s="1517"/>
      <c r="O389" s="1517"/>
      <c r="P389" s="1517"/>
      <c r="Q389" s="1517"/>
      <c r="R389" s="1517"/>
      <c r="S389" s="1517"/>
      <c r="T389" s="1517"/>
      <c r="U389" s="1517"/>
      <c r="V389" s="1517"/>
      <c r="W389" s="1517"/>
      <c r="X389" s="1517"/>
    </row>
    <row r="390" spans="10:24" s="1518" customFormat="1">
      <c r="J390" s="1517"/>
      <c r="K390" s="1517"/>
      <c r="L390" s="1517"/>
      <c r="M390" s="1517"/>
      <c r="N390" s="1517"/>
      <c r="O390" s="1517"/>
      <c r="P390" s="1517"/>
      <c r="Q390" s="1517"/>
      <c r="R390" s="1517"/>
      <c r="S390" s="1517"/>
      <c r="T390" s="1517"/>
      <c r="U390" s="1517"/>
      <c r="V390" s="1517"/>
      <c r="W390" s="1517"/>
      <c r="X390" s="1517"/>
    </row>
    <row r="391" spans="10:24" s="1518" customFormat="1">
      <c r="J391" s="1517"/>
      <c r="K391" s="1517"/>
      <c r="L391" s="1517"/>
      <c r="M391" s="1517"/>
      <c r="N391" s="1517"/>
      <c r="O391" s="1517"/>
      <c r="P391" s="1517"/>
      <c r="Q391" s="1517"/>
      <c r="R391" s="1517"/>
      <c r="S391" s="1517"/>
      <c r="T391" s="1517"/>
      <c r="U391" s="1517"/>
      <c r="V391" s="1517"/>
      <c r="W391" s="1517"/>
      <c r="X391" s="1517"/>
    </row>
    <row r="392" spans="10:24" s="1518" customFormat="1">
      <c r="J392" s="1517"/>
      <c r="K392" s="1517"/>
      <c r="L392" s="1517"/>
      <c r="M392" s="1517"/>
      <c r="N392" s="1517"/>
      <c r="O392" s="1517"/>
      <c r="P392" s="1517"/>
      <c r="Q392" s="1517"/>
      <c r="R392" s="1517"/>
      <c r="S392" s="1517"/>
      <c r="T392" s="1517"/>
      <c r="U392" s="1517"/>
      <c r="V392" s="1517"/>
      <c r="W392" s="1517"/>
      <c r="X392" s="1517"/>
    </row>
    <row r="393" spans="10:24" s="1518" customFormat="1">
      <c r="J393" s="1517"/>
      <c r="K393" s="1517"/>
      <c r="L393" s="1517"/>
      <c r="M393" s="1517"/>
      <c r="N393" s="1517"/>
      <c r="O393" s="1517"/>
      <c r="P393" s="1517"/>
      <c r="Q393" s="1517"/>
      <c r="R393" s="1517"/>
      <c r="S393" s="1517"/>
      <c r="T393" s="1517"/>
      <c r="U393" s="1517"/>
      <c r="V393" s="1517"/>
      <c r="W393" s="1517"/>
      <c r="X393" s="1517"/>
    </row>
    <row r="394" spans="10:24" s="1518" customFormat="1">
      <c r="J394" s="1517"/>
      <c r="K394" s="1517"/>
      <c r="L394" s="1517"/>
      <c r="M394" s="1517"/>
      <c r="N394" s="1517"/>
      <c r="O394" s="1517"/>
      <c r="P394" s="1517"/>
      <c r="Q394" s="1517"/>
      <c r="R394" s="1517"/>
      <c r="S394" s="1517"/>
      <c r="T394" s="1517"/>
      <c r="U394" s="1517"/>
      <c r="V394" s="1517"/>
      <c r="W394" s="1517"/>
      <c r="X394" s="1517"/>
    </row>
    <row r="395" spans="10:24" s="1518" customFormat="1">
      <c r="J395" s="1517"/>
      <c r="K395" s="1517"/>
      <c r="L395" s="1517"/>
      <c r="M395" s="1517"/>
      <c r="N395" s="1517"/>
      <c r="O395" s="1517"/>
      <c r="P395" s="1517"/>
      <c r="Q395" s="1517"/>
      <c r="R395" s="1517"/>
      <c r="S395" s="1517"/>
      <c r="T395" s="1517"/>
      <c r="U395" s="1517"/>
      <c r="V395" s="1517"/>
      <c r="W395" s="1517"/>
      <c r="X395" s="1517"/>
    </row>
    <row r="396" spans="10:24" s="1518" customFormat="1">
      <c r="J396" s="1517"/>
      <c r="K396" s="1517"/>
      <c r="L396" s="1517"/>
      <c r="M396" s="1517"/>
      <c r="N396" s="1517"/>
      <c r="O396" s="1517"/>
      <c r="P396" s="1517"/>
      <c r="Q396" s="1517"/>
      <c r="R396" s="1517"/>
      <c r="S396" s="1517"/>
      <c r="T396" s="1517"/>
      <c r="U396" s="1517"/>
      <c r="V396" s="1517"/>
      <c r="W396" s="1517"/>
      <c r="X396" s="1517"/>
    </row>
    <row r="397" spans="10:24" s="1518" customFormat="1">
      <c r="J397" s="1517"/>
      <c r="K397" s="1517"/>
      <c r="L397" s="1517"/>
      <c r="M397" s="1517"/>
      <c r="N397" s="1517"/>
      <c r="O397" s="1517"/>
      <c r="P397" s="1517"/>
      <c r="Q397" s="1517"/>
      <c r="R397" s="1517"/>
      <c r="S397" s="1517"/>
      <c r="T397" s="1517"/>
      <c r="U397" s="1517"/>
      <c r="V397" s="1517"/>
      <c r="W397" s="1517"/>
      <c r="X397" s="1517"/>
    </row>
    <row r="398" spans="10:24" s="1518" customFormat="1">
      <c r="J398" s="1517"/>
      <c r="K398" s="1517"/>
      <c r="L398" s="1517"/>
      <c r="M398" s="1517"/>
      <c r="N398" s="1517"/>
      <c r="O398" s="1517"/>
      <c r="P398" s="1517"/>
      <c r="Q398" s="1517"/>
      <c r="R398" s="1517"/>
      <c r="S398" s="1517"/>
      <c r="T398" s="1517"/>
      <c r="U398" s="1517"/>
      <c r="V398" s="1517"/>
      <c r="W398" s="1517"/>
      <c r="X398" s="1517"/>
    </row>
    <row r="399" spans="10:24" s="1518" customFormat="1">
      <c r="J399" s="1517"/>
      <c r="K399" s="1517"/>
      <c r="L399" s="1517"/>
      <c r="M399" s="1517"/>
      <c r="N399" s="1517"/>
      <c r="O399" s="1517"/>
      <c r="P399" s="1517"/>
      <c r="Q399" s="1517"/>
      <c r="R399" s="1517"/>
      <c r="S399" s="1517"/>
      <c r="T399" s="1517"/>
      <c r="U399" s="1517"/>
      <c r="V399" s="1517"/>
      <c r="W399" s="1517"/>
      <c r="X399" s="1517"/>
    </row>
    <row r="400" spans="10:24" s="1518" customFormat="1">
      <c r="J400" s="1517"/>
      <c r="K400" s="1517"/>
      <c r="L400" s="1517"/>
      <c r="M400" s="1517"/>
      <c r="N400" s="1517"/>
      <c r="O400" s="1517"/>
      <c r="P400" s="1517"/>
      <c r="Q400" s="1517"/>
      <c r="R400" s="1517"/>
      <c r="S400" s="1517"/>
      <c r="T400" s="1517"/>
      <c r="U400" s="1517"/>
      <c r="V400" s="1517"/>
      <c r="W400" s="1517"/>
      <c r="X400" s="1517"/>
    </row>
    <row r="401" spans="6:24" s="1518" customFormat="1">
      <c r="J401" s="1517"/>
      <c r="K401" s="1517"/>
      <c r="L401" s="1517"/>
      <c r="M401" s="1517"/>
      <c r="N401" s="1517"/>
      <c r="O401" s="1517"/>
      <c r="P401" s="1517"/>
      <c r="Q401" s="1517"/>
      <c r="R401" s="1517"/>
      <c r="S401" s="1517"/>
      <c r="T401" s="1517"/>
      <c r="U401" s="1517"/>
      <c r="V401" s="1517"/>
      <c r="W401" s="1517"/>
      <c r="X401" s="1517"/>
    </row>
    <row r="402" spans="6:24" s="1518" customFormat="1">
      <c r="J402" s="1517"/>
      <c r="K402" s="1517"/>
      <c r="L402" s="1517"/>
      <c r="M402" s="1517"/>
      <c r="N402" s="1517"/>
      <c r="O402" s="1517"/>
      <c r="P402" s="1517"/>
      <c r="Q402" s="1517"/>
      <c r="R402" s="1517"/>
      <c r="S402" s="1517"/>
      <c r="T402" s="1517"/>
      <c r="U402" s="1517"/>
      <c r="V402" s="1517"/>
      <c r="W402" s="1517"/>
      <c r="X402" s="1517"/>
    </row>
    <row r="403" spans="6:24" s="1518" customFormat="1">
      <c r="F403" s="1519"/>
      <c r="G403" s="1519"/>
      <c r="H403" s="1519"/>
      <c r="I403" s="1519"/>
      <c r="J403" s="1517"/>
      <c r="K403" s="1517"/>
      <c r="L403" s="1517"/>
      <c r="M403" s="1517"/>
      <c r="N403" s="1517"/>
      <c r="O403" s="1517"/>
      <c r="P403" s="1517"/>
      <c r="Q403" s="1517"/>
      <c r="R403" s="1517"/>
      <c r="S403" s="1517"/>
      <c r="T403" s="1517"/>
      <c r="U403" s="1517"/>
      <c r="V403" s="1517"/>
      <c r="W403" s="1517"/>
      <c r="X403" s="151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tabSelected="1" zoomScale="90" zoomScaleNormal="90" workbookViewId="0">
      <selection activeCell="B3" sqref="B3"/>
    </sheetView>
  </sheetViews>
  <sheetFormatPr defaultColWidth="9" defaultRowHeight="15.75" customHeight="1"/>
  <cols>
    <col min="1" max="1" width="25.625" style="1382" customWidth="1"/>
    <col min="2" max="2" width="15.625" style="1383" customWidth="1"/>
    <col min="3" max="3" width="6" style="1383" customWidth="1"/>
    <col min="4" max="4" width="7.75" style="1383" customWidth="1"/>
    <col min="5" max="5" width="22.25" style="1383" customWidth="1"/>
    <col min="6" max="6" width="12.375" style="1383" customWidth="1"/>
    <col min="7" max="7" width="9" style="1383"/>
    <col min="8" max="8" width="29" style="1383" customWidth="1"/>
    <col min="9" max="9" width="27.875" style="1383" customWidth="1"/>
    <col min="10" max="10" width="14.375" style="1383" customWidth="1"/>
    <col min="11" max="12" width="9" style="1383"/>
    <col min="13" max="13" width="2.125" style="1383" customWidth="1"/>
    <col min="14" max="14" width="18.125" style="1383" customWidth="1"/>
    <col min="15" max="15" width="10.875" style="1383" customWidth="1"/>
    <col min="16" max="16" width="17.25" style="1383" customWidth="1"/>
    <col min="17" max="17" width="14" style="1383" customWidth="1"/>
    <col min="18" max="16384" width="9" style="1383"/>
  </cols>
  <sheetData>
    <row r="1" spans="1:18" ht="26.25" customHeight="1">
      <c r="A1" s="1384" t="s">
        <v>229</v>
      </c>
      <c r="B1" s="1385"/>
      <c r="C1" s="1386"/>
      <c r="D1" s="1386"/>
      <c r="E1" s="1387"/>
      <c r="F1" s="1386"/>
      <c r="G1" s="1386"/>
      <c r="H1" s="1388"/>
      <c r="I1" s="1444"/>
      <c r="J1" s="1444"/>
      <c r="K1" s="1444"/>
      <c r="L1" s="1444"/>
    </row>
    <row r="2" spans="1:18" ht="15.75" customHeight="1">
      <c r="A2" s="1389" t="s">
        <v>230</v>
      </c>
      <c r="B2" s="1390"/>
      <c r="C2" s="1391"/>
      <c r="D2" s="1676" t="s">
        <v>231</v>
      </c>
      <c r="E2" s="1677"/>
      <c r="F2" s="1677"/>
      <c r="G2" s="1677"/>
      <c r="H2" s="1678"/>
      <c r="I2" s="1483"/>
      <c r="J2" s="1483"/>
      <c r="K2" s="1444"/>
      <c r="L2" s="1444"/>
      <c r="N2" s="1484" t="s">
        <v>232</v>
      </c>
      <c r="O2" s="1485">
        <f>SUMPRODUCT((N6:N12=B20)*(O5:Q5=B21)*(O6:Q12))</f>
        <v>50</v>
      </c>
    </row>
    <row r="3" spans="1:18" ht="15.75" customHeight="1">
      <c r="A3" s="1392" t="s">
        <v>233</v>
      </c>
      <c r="B3" s="1393">
        <v>37924</v>
      </c>
      <c r="C3" s="1391"/>
      <c r="D3" s="1394" t="s">
        <v>234</v>
      </c>
      <c r="E3" s="1395" t="s">
        <v>235</v>
      </c>
      <c r="F3" s="1395" t="s">
        <v>236</v>
      </c>
      <c r="G3" s="1395" t="s">
        <v>195</v>
      </c>
      <c r="H3" s="1396" t="s">
        <v>237</v>
      </c>
      <c r="I3" s="1486"/>
      <c r="J3" s="1487"/>
      <c r="K3" s="1444"/>
      <c r="L3" s="1444"/>
      <c r="N3" s="1488" t="s">
        <v>238</v>
      </c>
      <c r="O3" s="1489">
        <f>IF(B22="",O2,YEAR(B3)-B22)</f>
        <v>0</v>
      </c>
    </row>
    <row r="4" spans="1:18" ht="15.75" customHeight="1">
      <c r="A4" s="1397" t="s">
        <v>239</v>
      </c>
      <c r="B4" s="1393">
        <f>B3</f>
        <v>37924</v>
      </c>
      <c r="C4" s="1391"/>
      <c r="D4" s="1398" t="s">
        <v>240</v>
      </c>
      <c r="E4" s="1399" t="s">
        <v>191</v>
      </c>
      <c r="F4" s="1400">
        <f ca="1">F5+F8+F9+F10</f>
        <v>2106</v>
      </c>
      <c r="G4" s="1401"/>
      <c r="H4" s="1402" t="s">
        <v>241</v>
      </c>
      <c r="I4" s="1443"/>
      <c r="J4" s="1444"/>
      <c r="K4" s="1444"/>
      <c r="L4" s="1444"/>
      <c r="N4" s="1488" t="s">
        <v>242</v>
      </c>
      <c r="O4" s="1490">
        <f>SUMIF(N6:N12,B20,R6:R12)</f>
        <v>0.02</v>
      </c>
      <c r="P4" s="1491"/>
      <c r="Q4" s="1491"/>
    </row>
    <row r="5" spans="1:18" ht="15.75" customHeight="1">
      <c r="A5" s="1403"/>
      <c r="B5" s="1390"/>
      <c r="C5" s="1391"/>
      <c r="D5" s="1404">
        <v>1</v>
      </c>
      <c r="E5" s="1392" t="s">
        <v>243</v>
      </c>
      <c r="F5" s="1405">
        <f>IF(B4&lt;DATE(2002,12,10),F6,F6-F7)</f>
        <v>2106</v>
      </c>
      <c r="G5" s="1406"/>
      <c r="H5" s="1407" t="s">
        <v>244</v>
      </c>
      <c r="I5" s="1443"/>
      <c r="J5" s="1444"/>
      <c r="K5" s="1444"/>
      <c r="L5" s="1444"/>
      <c r="N5" s="1492" t="s">
        <v>245</v>
      </c>
      <c r="O5" s="1493" t="s">
        <v>73</v>
      </c>
      <c r="P5" s="1493" t="s">
        <v>84</v>
      </c>
      <c r="Q5" s="1493" t="s">
        <v>61</v>
      </c>
      <c r="R5" s="1493" t="s">
        <v>242</v>
      </c>
    </row>
    <row r="6" spans="1:18" ht="15.75" customHeight="1">
      <c r="A6" s="1397" t="s">
        <v>246</v>
      </c>
      <c r="B6" s="1408"/>
      <c r="C6" s="1391"/>
      <c r="D6" s="1409" t="s">
        <v>247</v>
      </c>
      <c r="E6" s="1392" t="s">
        <v>248</v>
      </c>
      <c r="F6" s="1405">
        <f>IF(B4&lt;DATE(2002,12,10),'1993基准地价'!B3,IF(B4&gt;=DATE(2014,8,28),'2014基准地价'!B3,'2002基准地价'!B3))</f>
        <v>2106</v>
      </c>
      <c r="G6" s="1406"/>
      <c r="H6" s="1410" t="str">
        <f>"采用"&amp;IF(B4&lt;DATE(2002,12,10),"1993版",IF(B4&gt;=DATE(2014,8,28),"2014版","2002版"))&amp;"基准地价系数修正法计算"</f>
        <v>采用2002版基准地价系数修正法计算</v>
      </c>
      <c r="I6" s="1494" t="s">
        <v>249</v>
      </c>
      <c r="J6" s="1444"/>
      <c r="K6" s="1444"/>
      <c r="L6" s="1444"/>
      <c r="N6" s="1492" t="s">
        <v>60</v>
      </c>
      <c r="O6" s="1495">
        <v>70</v>
      </c>
      <c r="P6" s="1495">
        <v>50</v>
      </c>
      <c r="Q6" s="1495">
        <v>80</v>
      </c>
      <c r="R6" s="1512">
        <v>0</v>
      </c>
    </row>
    <row r="7" spans="1:18" ht="15.75" customHeight="1">
      <c r="A7" s="1397" t="s">
        <v>250</v>
      </c>
      <c r="B7" s="1408">
        <v>52.76</v>
      </c>
      <c r="C7" s="1391"/>
      <c r="D7" s="1409" t="s">
        <v>251</v>
      </c>
      <c r="E7" s="1392" t="s">
        <v>252</v>
      </c>
      <c r="F7" s="1405">
        <f>IF(B4&lt;DATE(2002,12,10),'1993基准地价'!C14,IF(B4&gt;=DATE(2014,8,28),'2014基准地价'!B4,IF(H7="采用比较法计算",比较法!B3,IF(H7="扣毛地价",'2002基准地价'!B4,'2002基准地价'!B5))))</f>
        <v>0</v>
      </c>
      <c r="G7" s="1411"/>
      <c r="H7" s="1412"/>
      <c r="I7" s="1496" t="s">
        <v>253</v>
      </c>
      <c r="J7" s="1444"/>
      <c r="K7" s="1444"/>
      <c r="L7" s="1444"/>
      <c r="N7" s="1492" t="s">
        <v>72</v>
      </c>
      <c r="O7" s="1495">
        <v>50</v>
      </c>
      <c r="P7" s="1495">
        <v>35</v>
      </c>
      <c r="Q7" s="1495">
        <v>60</v>
      </c>
      <c r="R7" s="1512">
        <v>0</v>
      </c>
    </row>
    <row r="8" spans="1:18" ht="15.75" customHeight="1">
      <c r="A8" s="1397" t="s">
        <v>254</v>
      </c>
      <c r="B8" s="1413" t="e">
        <f>ROUND(B7/B6,2)</f>
        <v>#DIV/0!</v>
      </c>
      <c r="C8" s="1391"/>
      <c r="D8" s="1414">
        <v>2</v>
      </c>
      <c r="E8" s="1397" t="s">
        <v>255</v>
      </c>
      <c r="F8" s="1415">
        <f>ROUND(F5*G8,0)</f>
        <v>0</v>
      </c>
      <c r="G8" s="1416"/>
      <c r="H8" s="1417"/>
      <c r="I8" s="1443" t="s">
        <v>256</v>
      </c>
      <c r="J8" s="1444"/>
      <c r="K8" s="1444"/>
      <c r="L8" s="1444"/>
      <c r="N8" s="1492" t="s">
        <v>83</v>
      </c>
      <c r="O8" s="1495">
        <v>40</v>
      </c>
      <c r="P8" s="1495">
        <v>30</v>
      </c>
      <c r="Q8" s="1495">
        <v>50</v>
      </c>
      <c r="R8" s="1512">
        <v>0.02</v>
      </c>
    </row>
    <row r="9" spans="1:18" ht="15.75" customHeight="1">
      <c r="A9" s="1397" t="s">
        <v>257</v>
      </c>
      <c r="B9" s="1408">
        <v>2.94</v>
      </c>
      <c r="C9" s="1391"/>
      <c r="D9" s="1414">
        <v>3</v>
      </c>
      <c r="E9" s="1397" t="s">
        <v>258</v>
      </c>
      <c r="F9" s="1415">
        <f ca="1">ROUND(F5*(POWER((1+G9),B24)-1)+F8*(POWER((1+G9),B24/2)-1),0)</f>
        <v>0</v>
      </c>
      <c r="G9" s="1418">
        <f ca="1">存贷款利率!G2</f>
        <v>0.03</v>
      </c>
      <c r="H9" s="1419" t="str">
        <f>"计息期为"&amp;B24&amp;"年，"&amp;"复利计息"</f>
        <v>计息期为0年，复利计息</v>
      </c>
      <c r="I9" s="1497"/>
      <c r="J9" s="1498"/>
      <c r="K9" s="1444"/>
      <c r="L9" s="1444"/>
      <c r="N9" s="1492" t="s">
        <v>93</v>
      </c>
      <c r="O9" s="1495">
        <v>30</v>
      </c>
      <c r="P9" s="1495">
        <v>20</v>
      </c>
      <c r="Q9" s="1495">
        <v>40</v>
      </c>
      <c r="R9" s="1512">
        <v>0.06</v>
      </c>
    </row>
    <row r="10" spans="1:18" ht="15.75" customHeight="1">
      <c r="A10" s="1397" t="s">
        <v>25</v>
      </c>
      <c r="B10" s="1420" t="s">
        <v>96</v>
      </c>
      <c r="C10" s="1391"/>
      <c r="D10" s="1421">
        <v>4</v>
      </c>
      <c r="E10" s="1422" t="s">
        <v>259</v>
      </c>
      <c r="F10" s="1423">
        <f>ROUND((F5+F8)*G10,0)</f>
        <v>0</v>
      </c>
      <c r="G10" s="1424"/>
      <c r="H10" s="1425" t="s">
        <v>260</v>
      </c>
      <c r="I10" s="1499" t="s">
        <v>261</v>
      </c>
      <c r="J10" s="1500"/>
      <c r="K10" s="1444"/>
      <c r="L10" s="1444"/>
      <c r="N10" s="1492" t="s">
        <v>101</v>
      </c>
      <c r="O10" s="1495">
        <v>30</v>
      </c>
      <c r="P10" s="1495">
        <v>20</v>
      </c>
      <c r="Q10" s="1495">
        <v>40</v>
      </c>
      <c r="R10" s="1512">
        <v>0.04</v>
      </c>
    </row>
    <row r="11" spans="1:18" ht="15.75" customHeight="1">
      <c r="A11" s="1397" t="s">
        <v>262</v>
      </c>
      <c r="B11" s="1426"/>
      <c r="C11" s="1391"/>
      <c r="D11" s="1427" t="s">
        <v>263</v>
      </c>
      <c r="E11" s="1428" t="s">
        <v>192</v>
      </c>
      <c r="F11" s="1400">
        <f ca="1">F12+F20+F21+F22</f>
        <v>0</v>
      </c>
      <c r="G11" s="1429"/>
      <c r="H11" s="1430" t="s">
        <v>241</v>
      </c>
      <c r="I11" s="1443"/>
      <c r="J11" s="1444"/>
      <c r="K11" s="1444"/>
      <c r="L11" s="1444"/>
      <c r="N11" s="1492" t="s">
        <v>106</v>
      </c>
      <c r="O11" s="1495">
        <v>30</v>
      </c>
      <c r="P11" s="1495">
        <v>20</v>
      </c>
      <c r="Q11" s="1495">
        <v>40</v>
      </c>
      <c r="R11" s="1512">
        <v>0.03</v>
      </c>
    </row>
    <row r="12" spans="1:18" ht="15.75" customHeight="1">
      <c r="A12" s="1397" t="s">
        <v>264</v>
      </c>
      <c r="B12" s="1431" t="s">
        <v>53</v>
      </c>
      <c r="C12" s="1391"/>
      <c r="D12" s="1414">
        <v>1</v>
      </c>
      <c r="E12" s="1397" t="s">
        <v>265</v>
      </c>
      <c r="F12" s="1415">
        <f>F13+F16+F17</f>
        <v>0</v>
      </c>
      <c r="G12" s="1432"/>
      <c r="H12" s="1433" t="s">
        <v>266</v>
      </c>
      <c r="I12" s="1443"/>
      <c r="J12" s="1444"/>
      <c r="K12" s="1444"/>
      <c r="L12" s="1444"/>
      <c r="N12" s="1492" t="s">
        <v>111</v>
      </c>
      <c r="O12" s="1495">
        <v>10</v>
      </c>
      <c r="P12" s="1495">
        <v>10</v>
      </c>
      <c r="Q12" s="1495">
        <v>10</v>
      </c>
      <c r="R12" s="1512">
        <v>0</v>
      </c>
    </row>
    <row r="13" spans="1:18" ht="15.75" customHeight="1">
      <c r="A13" s="1397" t="s">
        <v>267</v>
      </c>
      <c r="B13" s="1434">
        <v>70</v>
      </c>
      <c r="C13" s="1391"/>
      <c r="D13" s="1409" t="s">
        <v>247</v>
      </c>
      <c r="E13" s="1397" t="s">
        <v>268</v>
      </c>
      <c r="F13" s="1415">
        <f>F14+F15</f>
        <v>0</v>
      </c>
      <c r="G13" s="1432"/>
      <c r="H13" s="1433" t="s">
        <v>269</v>
      </c>
      <c r="I13" s="1443"/>
      <c r="J13" s="1444"/>
      <c r="K13" s="1444"/>
      <c r="L13" s="1444"/>
    </row>
    <row r="14" spans="1:18" ht="15.75" customHeight="1">
      <c r="A14" s="1397" t="s">
        <v>270</v>
      </c>
      <c r="B14" s="1435"/>
      <c r="C14" s="1391"/>
      <c r="D14" s="1414" t="s">
        <v>271</v>
      </c>
      <c r="E14" s="1397" t="s">
        <v>201</v>
      </c>
      <c r="F14" s="1436"/>
      <c r="G14" s="1437"/>
      <c r="H14" s="1410"/>
      <c r="I14" s="1443"/>
      <c r="J14" s="1444"/>
      <c r="K14" s="1444"/>
      <c r="L14" s="1444"/>
    </row>
    <row r="15" spans="1:18" ht="15.75" customHeight="1">
      <c r="A15" s="1397" t="s">
        <v>272</v>
      </c>
      <c r="B15" s="1438">
        <f>IF(B14="",B13-(YEAR($B$4)-B22+B23+B24),ROUNDDOWN(MIN((B14-$B$4)/365,B13),2))</f>
        <v>69</v>
      </c>
      <c r="C15" s="1391"/>
      <c r="D15" s="1414" t="s">
        <v>273</v>
      </c>
      <c r="E15" s="1397" t="s">
        <v>203</v>
      </c>
      <c r="F15" s="1436"/>
      <c r="G15" s="1437"/>
      <c r="H15" s="1410"/>
      <c r="I15" s="1443"/>
      <c r="J15" s="1444"/>
      <c r="K15" s="1444"/>
      <c r="L15" s="1444"/>
    </row>
    <row r="16" spans="1:18" ht="15.75" customHeight="1">
      <c r="A16" s="1397" t="s">
        <v>274</v>
      </c>
      <c r="B16" s="1408">
        <v>70</v>
      </c>
      <c r="C16" s="1391"/>
      <c r="D16" s="1409" t="s">
        <v>251</v>
      </c>
      <c r="E16" s="1397" t="s">
        <v>275</v>
      </c>
      <c r="F16" s="1405">
        <f>ROUND(F13*G16,0)</f>
        <v>0</v>
      </c>
      <c r="G16" s="1439"/>
      <c r="H16" s="1440" t="s">
        <v>276</v>
      </c>
      <c r="I16" s="1497" t="s">
        <v>277</v>
      </c>
      <c r="J16" s="1444"/>
      <c r="K16" s="1444"/>
      <c r="L16" s="1444"/>
    </row>
    <row r="17" spans="1:18" ht="15.75" customHeight="1">
      <c r="A17" s="1397" t="s">
        <v>278</v>
      </c>
      <c r="B17" s="1441">
        <f>IF(B4&lt;DATE(2002,12,10),'1993基准地价'!C23,IF(B4&gt;=DATE(2014,8,28),'2014基准地价'!G20,'2002基准地价'!E10))</f>
        <v>0.04</v>
      </c>
      <c r="C17" s="1391"/>
      <c r="D17" s="1409" t="s">
        <v>279</v>
      </c>
      <c r="E17" s="1397" t="s">
        <v>280</v>
      </c>
      <c r="F17" s="1415">
        <f>F18+F19</f>
        <v>0</v>
      </c>
      <c r="G17" s="1432"/>
      <c r="H17" s="1433" t="s">
        <v>269</v>
      </c>
      <c r="I17" s="1444"/>
      <c r="J17" s="1444"/>
      <c r="K17" s="1444"/>
      <c r="L17" s="1444"/>
    </row>
    <row r="18" spans="1:18" ht="15.75" customHeight="1">
      <c r="A18" s="1397" t="s">
        <v>281</v>
      </c>
      <c r="B18" s="1442">
        <f>IF(ISERROR(ROUND(POWER(1+B17,B13-B15)*(POWER(1+B17,B15)-1)/(POWER(1+B17,B13)-1),3)),0,ROUND(POWER(1+B17,B13-B15)*(POWER(1+B17,B15)-1)/(POWER(1+B17,B13)-1),3))</f>
        <v>0.997</v>
      </c>
      <c r="C18" s="1391"/>
      <c r="D18" s="1414" t="s">
        <v>271</v>
      </c>
      <c r="E18" s="1397" t="s">
        <v>282</v>
      </c>
      <c r="F18" s="1405">
        <f>ROUND(IF(B12="住宅/居住",F13*G18,0),0)</f>
        <v>0</v>
      </c>
      <c r="G18" s="1439"/>
      <c r="H18" s="1440" t="s">
        <v>276</v>
      </c>
      <c r="I18" s="1497" t="s">
        <v>283</v>
      </c>
      <c r="J18" s="1444" t="s">
        <v>284</v>
      </c>
      <c r="K18" s="1444"/>
      <c r="L18" s="1444"/>
    </row>
    <row r="19" spans="1:18" ht="15.75" customHeight="1">
      <c r="A19" s="1443"/>
      <c r="B19" s="1444"/>
      <c r="C19" s="1391"/>
      <c r="D19" s="1414" t="s">
        <v>273</v>
      </c>
      <c r="E19" s="1397" t="s">
        <v>285</v>
      </c>
      <c r="F19" s="1405">
        <f>ROUND(F13*G19,0)</f>
        <v>0</v>
      </c>
      <c r="G19" s="1439"/>
      <c r="H19" s="1440" t="s">
        <v>276</v>
      </c>
      <c r="I19" s="1497" t="s">
        <v>286</v>
      </c>
      <c r="J19" s="1444"/>
      <c r="K19" s="1444"/>
      <c r="L19" s="1444"/>
    </row>
    <row r="20" spans="1:18" ht="15.75" customHeight="1">
      <c r="A20" s="1397" t="s">
        <v>287</v>
      </c>
      <c r="B20" s="1445" t="s">
        <v>83</v>
      </c>
      <c r="C20" s="1391"/>
      <c r="D20" s="1414">
        <v>2</v>
      </c>
      <c r="E20" s="1397" t="s">
        <v>255</v>
      </c>
      <c r="F20" s="1415">
        <f>ROUND(F12*G20,0)</f>
        <v>0</v>
      </c>
      <c r="G20" s="1416"/>
      <c r="H20" s="1410"/>
      <c r="I20" s="1497" t="s">
        <v>288</v>
      </c>
      <c r="J20" s="1444"/>
      <c r="K20" s="1444"/>
      <c r="L20" s="1444"/>
    </row>
    <row r="21" spans="1:18" ht="15.75" customHeight="1">
      <c r="A21" s="1397" t="s">
        <v>47</v>
      </c>
      <c r="B21" s="1446" t="s">
        <v>61</v>
      </c>
      <c r="C21" s="1391"/>
      <c r="D21" s="1447">
        <v>3</v>
      </c>
      <c r="E21" s="1448" t="s">
        <v>258</v>
      </c>
      <c r="F21" s="1449">
        <f ca="1">ROUND((F12+F20)*(POWER((1+G21),B23/2)-1),0)</f>
        <v>0</v>
      </c>
      <c r="G21" s="1450">
        <f ca="1">存贷款利率!G1</f>
        <v>5.3099999999999994E-2</v>
      </c>
      <c r="H21" s="1419" t="str">
        <f>"计息期为"&amp;B23&amp;"年，"&amp;"复利计息"</f>
        <v>计息期为1年，复利计息</v>
      </c>
      <c r="I21" s="1501"/>
      <c r="J21" s="1486"/>
      <c r="K21" s="1444"/>
      <c r="L21" s="1444"/>
    </row>
    <row r="22" spans="1:18" ht="15.75" customHeight="1">
      <c r="A22" s="1397" t="s">
        <v>289</v>
      </c>
      <c r="B22" s="1451">
        <v>2003</v>
      </c>
      <c r="C22" s="1391"/>
      <c r="D22" s="1421">
        <v>4</v>
      </c>
      <c r="E22" s="1422" t="s">
        <v>259</v>
      </c>
      <c r="F22" s="1423">
        <f>ROUND((F12+F20)*G22,0)</f>
        <v>0</v>
      </c>
      <c r="G22" s="1424"/>
      <c r="H22" s="1425" t="s">
        <v>260</v>
      </c>
      <c r="I22" s="1501" t="str">
        <f>IF(B12="商业","商业用途35%-50%",IF(B12="工业","工业用途18%-28%",IF(B12="办公/综合","办公用途25%-40%","居住用途30%-50%")))</f>
        <v>居住用途30%-50%</v>
      </c>
      <c r="J22" s="1444"/>
      <c r="K22" s="1444"/>
      <c r="L22" s="1444"/>
    </row>
    <row r="23" spans="1:18" ht="15.75" customHeight="1">
      <c r="A23" s="1397" t="s">
        <v>290</v>
      </c>
      <c r="B23" s="1452">
        <v>1</v>
      </c>
      <c r="C23" s="1444"/>
      <c r="D23" s="1427" t="s">
        <v>291</v>
      </c>
      <c r="E23" s="1428" t="s">
        <v>292</v>
      </c>
      <c r="F23" s="1400"/>
      <c r="G23" s="1453"/>
      <c r="H23" s="1454"/>
      <c r="I23" s="1502"/>
      <c r="J23" s="1444"/>
      <c r="K23" s="1444"/>
      <c r="L23" s="1444"/>
    </row>
    <row r="24" spans="1:18" ht="15.75" customHeight="1">
      <c r="A24" s="1397" t="s">
        <v>293</v>
      </c>
      <c r="B24" s="1452">
        <v>0</v>
      </c>
      <c r="C24" s="1444"/>
      <c r="D24" s="1404">
        <v>1</v>
      </c>
      <c r="E24" s="1392" t="s">
        <v>294</v>
      </c>
      <c r="F24" s="1405">
        <f ca="1">F4+F11</f>
        <v>2106</v>
      </c>
      <c r="G24" s="1455"/>
      <c r="H24" s="1417"/>
      <c r="I24" s="1502"/>
      <c r="J24" s="1444"/>
      <c r="K24" s="1444"/>
      <c r="L24" s="1444"/>
    </row>
    <row r="25" spans="1:18" ht="15.75" customHeight="1">
      <c r="A25" s="1456"/>
      <c r="B25" s="1444"/>
      <c r="C25" s="1444"/>
      <c r="D25" s="1457">
        <v>2</v>
      </c>
      <c r="E25" s="1458" t="s">
        <v>295</v>
      </c>
      <c r="F25" s="1459">
        <f ca="1">ROUND(F24*B7/10000,4)</f>
        <v>11.1113</v>
      </c>
      <c r="G25" s="1460"/>
      <c r="H25" s="1461"/>
      <c r="I25" s="1502"/>
      <c r="J25" s="1444"/>
      <c r="K25" s="1444"/>
      <c r="L25" s="1444"/>
    </row>
    <row r="26" spans="1:18" ht="15.75" customHeight="1">
      <c r="A26" s="1456"/>
      <c r="B26" s="1444"/>
      <c r="C26" s="1444"/>
      <c r="D26" s="1679" t="s">
        <v>296</v>
      </c>
      <c r="E26" s="1680"/>
      <c r="F26" s="1680"/>
      <c r="G26" s="1680"/>
      <c r="H26" s="1681"/>
      <c r="I26" s="1443"/>
      <c r="J26" s="1483"/>
      <c r="K26" s="1444"/>
      <c r="L26" s="1444"/>
    </row>
    <row r="27" spans="1:18" ht="15.75" customHeight="1">
      <c r="A27" s="1456"/>
      <c r="B27" s="1444"/>
      <c r="C27" s="1444"/>
      <c r="D27" s="1462" t="s">
        <v>234</v>
      </c>
      <c r="E27" s="1463" t="s">
        <v>235</v>
      </c>
      <c r="F27" s="1395" t="s">
        <v>297</v>
      </c>
      <c r="G27" s="1395" t="s">
        <v>298</v>
      </c>
      <c r="H27" s="1464"/>
      <c r="I27" s="1503"/>
      <c r="J27" s="1486"/>
      <c r="K27" s="1444"/>
      <c r="L27" s="1444"/>
    </row>
    <row r="28" spans="1:18" ht="15.75" customHeight="1">
      <c r="A28" s="1456"/>
      <c r="B28" s="1444"/>
      <c r="C28" s="1444"/>
      <c r="D28" s="1404" t="s">
        <v>240</v>
      </c>
      <c r="E28" s="1392" t="s">
        <v>299</v>
      </c>
      <c r="F28" s="1465">
        <f>ROUND(IF(AND(B12&lt;&gt;"住宅/居住",B13&lt;O2),1-(1-O4)*O3/B13,1-(1-O4)*O3/O2),2)</f>
        <v>1</v>
      </c>
      <c r="G28" s="1466"/>
      <c r="H28" s="1467"/>
      <c r="I28" s="1443" t="s">
        <v>300</v>
      </c>
      <c r="J28" s="1444"/>
      <c r="K28" s="1444"/>
      <c r="L28" s="1444"/>
    </row>
    <row r="29" spans="1:18" ht="15.75" customHeight="1">
      <c r="A29" s="1456"/>
      <c r="B29" s="1444"/>
      <c r="C29" s="1444"/>
      <c r="D29" s="1404" t="s">
        <v>301</v>
      </c>
      <c r="E29" s="1392" t="s">
        <v>302</v>
      </c>
      <c r="F29" s="1465">
        <f>ROUND((F30*G30+F31*G31+F32*G32)/100,2)</f>
        <v>0</v>
      </c>
      <c r="G29" s="1465">
        <f>1-G28</f>
        <v>1</v>
      </c>
      <c r="H29" s="1410"/>
      <c r="I29" s="1443"/>
      <c r="J29" s="1444"/>
      <c r="K29" s="1444"/>
      <c r="L29" s="1444"/>
      <c r="N29" s="1504"/>
      <c r="O29" s="1505" t="s">
        <v>303</v>
      </c>
      <c r="P29" s="1505" t="s">
        <v>83</v>
      </c>
      <c r="Q29" s="1505" t="s">
        <v>72</v>
      </c>
      <c r="R29" s="1513" t="s">
        <v>60</v>
      </c>
    </row>
    <row r="30" spans="1:18" ht="15.75" customHeight="1">
      <c r="A30" s="1456"/>
      <c r="B30" s="1444"/>
      <c r="C30" s="1444"/>
      <c r="D30" s="1404">
        <v>1</v>
      </c>
      <c r="E30" s="1468" t="s">
        <v>304</v>
      </c>
      <c r="F30" s="1469"/>
      <c r="G30" s="1465">
        <f>IF(ISNUMBER(FIND("砖木",B20)),O30,SUMPRODUCT((N30:N32=E30)*(O29:R29=B20)*(O30:R32)))</f>
        <v>0.2</v>
      </c>
      <c r="H30" s="1467"/>
      <c r="I30" s="1675" t="s">
        <v>305</v>
      </c>
      <c r="J30" s="1506"/>
      <c r="K30" s="1444"/>
      <c r="L30" s="1444"/>
      <c r="N30" s="1507" t="s">
        <v>304</v>
      </c>
      <c r="O30" s="1508">
        <v>0.2</v>
      </c>
      <c r="P30" s="1508">
        <v>0.2</v>
      </c>
      <c r="Q30" s="1508">
        <v>0.2</v>
      </c>
      <c r="R30" s="1514">
        <v>0.25</v>
      </c>
    </row>
    <row r="31" spans="1:18" ht="15.75" customHeight="1">
      <c r="A31" s="1456"/>
      <c r="B31" s="1444"/>
      <c r="C31" s="1444"/>
      <c r="D31" s="1404">
        <v>2</v>
      </c>
      <c r="E31" s="1468" t="s">
        <v>306</v>
      </c>
      <c r="F31" s="1405">
        <f>F30</f>
        <v>0</v>
      </c>
      <c r="G31" s="1465">
        <f>IF(ISNUMBER(FIND("砖木",B20)),O31,SUMPRODUCT((N30:N32=E31)*(O29:R29=B20)*(O30:R32)))</f>
        <v>0.45</v>
      </c>
      <c r="H31" s="1467"/>
      <c r="I31" s="1675"/>
      <c r="J31" s="1506"/>
      <c r="K31" s="1444"/>
      <c r="L31" s="1444"/>
      <c r="N31" s="1507" t="s">
        <v>306</v>
      </c>
      <c r="O31" s="1508">
        <v>0.55000000000000004</v>
      </c>
      <c r="P31" s="1508">
        <v>0.45</v>
      </c>
      <c r="Q31" s="1508">
        <v>0.5</v>
      </c>
      <c r="R31" s="1514">
        <v>0.55000000000000004</v>
      </c>
    </row>
    <row r="32" spans="1:18" ht="15.75" customHeight="1">
      <c r="A32" s="1456"/>
      <c r="B32" s="1444"/>
      <c r="C32" s="1444"/>
      <c r="D32" s="1404">
        <v>3</v>
      </c>
      <c r="E32" s="1468" t="s">
        <v>307</v>
      </c>
      <c r="F32" s="1405">
        <f>F31</f>
        <v>0</v>
      </c>
      <c r="G32" s="1465">
        <f>IF(ISNUMBER(FIND("砖木",B20)),O32,SUMPRODUCT((N30:N32=E32)*(O29:R29=B20)*(O30:R32)))</f>
        <v>0.35</v>
      </c>
      <c r="H32" s="1467"/>
      <c r="I32" s="1675"/>
      <c r="J32" s="1506"/>
      <c r="K32" s="1444"/>
      <c r="L32" s="1444"/>
      <c r="N32" s="1507" t="s">
        <v>307</v>
      </c>
      <c r="O32" s="1508">
        <v>0.25</v>
      </c>
      <c r="P32" s="1508">
        <v>0.35</v>
      </c>
      <c r="Q32" s="1508">
        <v>0.3</v>
      </c>
      <c r="R32" s="1514">
        <v>0.2</v>
      </c>
    </row>
    <row r="33" spans="1:18" ht="15.75" customHeight="1">
      <c r="A33" s="1456"/>
      <c r="B33" s="1444"/>
      <c r="C33" s="1444"/>
      <c r="D33" s="1470" t="s">
        <v>291</v>
      </c>
      <c r="E33" s="1458" t="s">
        <v>308</v>
      </c>
      <c r="F33" s="1471">
        <f>ROUND(F28*G28+F29*G29,2)</f>
        <v>0</v>
      </c>
      <c r="G33" s="1460"/>
      <c r="H33" s="1461"/>
      <c r="I33" s="1444"/>
      <c r="J33" s="1444"/>
      <c r="K33" s="1444"/>
      <c r="L33" s="1444"/>
      <c r="N33" s="1509"/>
      <c r="O33" s="1510">
        <f>SUM(O30:O32)</f>
        <v>1</v>
      </c>
      <c r="P33" s="1510">
        <f t="shared" ref="P33:R33" si="0">SUM(P30:P32)</f>
        <v>1</v>
      </c>
      <c r="Q33" s="1510">
        <f t="shared" si="0"/>
        <v>1</v>
      </c>
      <c r="R33" s="1515">
        <f t="shared" si="0"/>
        <v>1</v>
      </c>
    </row>
    <row r="34" spans="1:18" ht="15.75" customHeight="1">
      <c r="A34" s="1456"/>
      <c r="B34" s="1444"/>
      <c r="C34" s="1444"/>
      <c r="D34" s="1679" t="s">
        <v>309</v>
      </c>
      <c r="E34" s="1680"/>
      <c r="F34" s="1680"/>
      <c r="G34" s="1680"/>
      <c r="H34" s="1681"/>
      <c r="I34" s="1483"/>
      <c r="J34" s="1483"/>
      <c r="K34" s="1444"/>
      <c r="L34" s="1444"/>
    </row>
    <row r="35" spans="1:18" ht="15.75" customHeight="1">
      <c r="A35" s="1456"/>
      <c r="B35" s="1444"/>
      <c r="C35" s="1444"/>
      <c r="D35" s="1404" t="s">
        <v>240</v>
      </c>
      <c r="E35" s="1472" t="s">
        <v>218</v>
      </c>
      <c r="F35" s="1473">
        <f ca="1">ROUND(F24*F33,0)</f>
        <v>0</v>
      </c>
      <c r="G35" s="1682" t="s">
        <v>310</v>
      </c>
      <c r="H35" s="1683"/>
      <c r="I35" s="1487"/>
      <c r="J35" s="1487"/>
      <c r="K35" s="1444"/>
      <c r="L35" s="1444"/>
    </row>
    <row r="36" spans="1:18" ht="15.75" customHeight="1">
      <c r="A36" s="1456"/>
      <c r="B36" s="1444"/>
      <c r="C36" s="1444"/>
      <c r="D36" s="1457" t="s">
        <v>301</v>
      </c>
      <c r="E36" s="1458" t="s">
        <v>311</v>
      </c>
      <c r="F36" s="1474">
        <f ca="1">ROUND(F25*F33,4)</f>
        <v>0</v>
      </c>
      <c r="G36" s="1673" t="s">
        <v>312</v>
      </c>
      <c r="H36" s="1674"/>
      <c r="I36" s="1487"/>
      <c r="J36" s="1487"/>
      <c r="K36" s="1444"/>
      <c r="L36" s="1444"/>
    </row>
    <row r="37" spans="1:18" ht="15.75" customHeight="1">
      <c r="A37" s="1456"/>
      <c r="B37" s="1444"/>
    </row>
    <row r="38" spans="1:18" ht="15.75" customHeight="1">
      <c r="A38" s="1456"/>
      <c r="B38" s="1444"/>
    </row>
    <row r="39" spans="1:18" ht="15.75" customHeight="1">
      <c r="A39" s="1456"/>
      <c r="B39" s="1444"/>
    </row>
    <row r="43" spans="1:18" ht="15.75" customHeight="1">
      <c r="N43" s="1511"/>
      <c r="O43" s="1511"/>
    </row>
    <row r="44" spans="1:18" ht="15.75" customHeight="1">
      <c r="N44" s="1511"/>
      <c r="O44" s="1511"/>
    </row>
    <row r="45" spans="1:18" ht="15.75" customHeight="1">
      <c r="N45" s="1511"/>
      <c r="O45" s="1511"/>
    </row>
    <row r="46" spans="1:18" ht="15.75" customHeight="1">
      <c r="N46" s="1511"/>
      <c r="O46" s="1511"/>
    </row>
    <row r="51" spans="1:13" ht="15.75" customHeight="1">
      <c r="G51" s="1475" t="s">
        <v>313</v>
      </c>
    </row>
    <row r="52" spans="1:13" ht="15.75" customHeight="1">
      <c r="C52" s="1476" t="s">
        <v>314</v>
      </c>
      <c r="D52" s="1476"/>
      <c r="E52" s="1476"/>
      <c r="F52" s="1476"/>
      <c r="G52" s="1477" t="s">
        <v>315</v>
      </c>
      <c r="I52" s="1511"/>
      <c r="J52" s="1511"/>
      <c r="K52" s="1511"/>
      <c r="L52" s="1511"/>
      <c r="M52" s="1511"/>
    </row>
    <row r="53" spans="1:13" ht="15.75" customHeight="1">
      <c r="A53" s="1478" t="s">
        <v>239</v>
      </c>
      <c r="B53" s="1476" t="s">
        <v>316</v>
      </c>
      <c r="C53" s="1479" t="s">
        <v>317</v>
      </c>
      <c r="D53" s="1479"/>
      <c r="E53" s="1479"/>
      <c r="F53" s="1479"/>
      <c r="G53" s="1477" t="s">
        <v>318</v>
      </c>
      <c r="I53" s="1511"/>
      <c r="J53" s="1511"/>
      <c r="K53" s="1511"/>
      <c r="L53" s="1511"/>
      <c r="M53" s="1511"/>
    </row>
    <row r="54" spans="1:13" ht="15.75" customHeight="1">
      <c r="A54" s="1480" t="s">
        <v>319</v>
      </c>
      <c r="B54" s="1479" t="s">
        <v>320</v>
      </c>
      <c r="C54" s="1479" t="s">
        <v>321</v>
      </c>
      <c r="D54" s="1479"/>
      <c r="E54" s="1479"/>
      <c r="F54" s="1479"/>
      <c r="G54" s="1477" t="s">
        <v>322</v>
      </c>
      <c r="I54" s="1511"/>
      <c r="J54" s="1511"/>
      <c r="K54" s="1511"/>
      <c r="L54" s="1511"/>
      <c r="M54" s="1511"/>
    </row>
    <row r="55" spans="1:13" ht="15.75" customHeight="1">
      <c r="A55" s="1480" t="s">
        <v>323</v>
      </c>
      <c r="B55" s="1479" t="s">
        <v>324</v>
      </c>
      <c r="C55" s="1479" t="s">
        <v>325</v>
      </c>
      <c r="D55" s="1479"/>
      <c r="E55" s="1479"/>
      <c r="F55" s="1479"/>
      <c r="G55" s="1477" t="s">
        <v>326</v>
      </c>
      <c r="I55" s="1511"/>
      <c r="J55" s="1511"/>
      <c r="K55" s="1511"/>
      <c r="L55" s="1511"/>
      <c r="M55" s="1511"/>
    </row>
    <row r="56" spans="1:13" ht="15.75" customHeight="1">
      <c r="A56" s="1480" t="s">
        <v>327</v>
      </c>
      <c r="B56" s="1479" t="s">
        <v>328</v>
      </c>
    </row>
    <row r="57" spans="1:13" ht="15.75" customHeight="1">
      <c r="A57" s="1481"/>
      <c r="B57" s="1482"/>
    </row>
  </sheetData>
  <sheetProtection password="CEE9" sheet="1" objects="1" scenarios="1"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B13" xr:uid="{00000000-0002-0000-0500-000000000000}">
      <formula1>法定最高年限</formula1>
    </dataValidation>
    <dataValidation type="list" allowBlank="1" showInputMessage="1" showErrorMessage="1" sqref="B11" xr:uid="{00000000-0002-0000-0500-000001000000}">
      <formula1>INDIRECT($B$10)</formula1>
    </dataValidation>
    <dataValidation type="decimal" allowBlank="1" showInputMessage="1" showErrorMessage="1" sqref="G10 G22" xr:uid="{00000000-0002-0000-0500-000002000000}">
      <formula1>0.18</formula1>
      <formula2>0.5</formula2>
    </dataValidation>
    <dataValidation type="list" allowBlank="1" showInputMessage="1" showErrorMessage="1" sqref="H7" xr:uid="{00000000-0002-0000-0500-000003000000}">
      <formula1>"采用比较法计算,扣毛地价,扣出让金"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list" allowBlank="1" showInputMessage="1" showErrorMessage="1" sqref="B20" xr:uid="{00000000-0002-0000-0500-000005000000}">
      <formula1>结构</formula1>
    </dataValidation>
    <dataValidation type="list" allowBlank="1" showInputMessage="1" showErrorMessage="1" sqref="B10" xr:uid="{00000000-0002-0000-0500-000006000000}">
      <formula1>土地级别</formula1>
    </dataValidation>
    <dataValidation type="list" allowBlank="1" showInputMessage="1" showErrorMessage="1" sqref="B12" xr:uid="{00000000-0002-0000-0500-000007000000}">
      <formula1>地类判定</formula1>
    </dataValidation>
    <dataValidation type="list" allowBlank="1" showInputMessage="1" showErrorMessage="1" sqref="B21" xr:uid="{00000000-0002-0000-0500-000008000000}">
      <formula1>"非生产用房,生产用房,受腐蚀的生产用房"</formula1>
    </dataValidation>
    <dataValidation type="decimal" allowBlank="1" showInputMessage="1" showErrorMessage="1" sqref="G28" xr:uid="{00000000-0002-0000-0500-000009000000}">
      <formula1>0.3</formula1>
      <formula2>1</formula2>
    </dataValidation>
    <dataValidation type="decimal" allowBlank="1" showInputMessage="1" showErrorMessage="1" sqref="O30:Q30 R32" xr:uid="{00000000-0002-0000-0500-00000A000000}">
      <formula1>0.1</formula1>
      <formula2>0.3</formula2>
    </dataValidation>
    <dataValidation type="decimal" allowBlank="1" showInputMessage="1" showErrorMessage="1" sqref="R30 O32" xr:uid="{00000000-0002-0000-0500-00000B000000}">
      <formula1>0.15</formula1>
      <formula2>0.35</formula2>
    </dataValidation>
    <dataValidation type="decimal" allowBlank="1" showInputMessage="1" showErrorMessage="1" sqref="O31 R31" xr:uid="{00000000-0002-0000-0500-00000C000000}">
      <formula1>0.45</formula1>
      <formula2>0.65</formula2>
    </dataValidation>
    <dataValidation type="whole" allowBlank="1" showInputMessage="1" showErrorMessage="1" sqref="O33" xr:uid="{00000000-0002-0000-0500-00000D000000}">
      <formula1>1</formula1>
      <formula2>1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Q31" xr:uid="{00000000-0002-0000-0500-00000F000000}">
      <formula1>0.4</formula1>
      <formula2>0.6</formula2>
    </dataValidation>
    <dataValidation type="decimal" allowBlank="1" showInputMessage="1" showErrorMessage="1" sqref="P32" xr:uid="{00000000-0002-0000-0500-000010000000}">
      <formula1>0.25</formula1>
      <formula2>0.45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decimal" operator="lessThanOrEqual" allowBlank="1" showInputMessage="1" showErrorMessage="1" sqref="B23:B24" xr:uid="{00000000-0002-0000-0500-000013000000}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887" customWidth="1"/>
    <col min="2" max="2" width="19.25" style="888" customWidth="1"/>
    <col min="3" max="4" width="12" style="889" customWidth="1"/>
    <col min="5" max="5" width="14.625" style="889" customWidth="1"/>
    <col min="6" max="7" width="12" style="889" customWidth="1"/>
    <col min="8" max="8" width="15" style="889" customWidth="1"/>
    <col min="9" max="9" width="12.7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1157" t="s">
        <v>329</v>
      </c>
      <c r="B1" s="1158"/>
      <c r="C1" s="895" t="s">
        <v>330</v>
      </c>
      <c r="D1" s="896">
        <f>主表!B7</f>
        <v>52.76</v>
      </c>
      <c r="E1" s="894" t="s">
        <v>331</v>
      </c>
      <c r="F1" s="724"/>
      <c r="G1" s="639"/>
      <c r="H1" s="894"/>
      <c r="I1" s="894"/>
      <c r="J1" s="894"/>
      <c r="L1" s="1061" t="s">
        <v>49</v>
      </c>
      <c r="M1" s="1297">
        <f>SUMPRODUCT(('2014区片价'!B5:B9=I2)*('2014区片价'!C3:F3=E2)*('2014区片价'!C5:F9))</f>
        <v>0</v>
      </c>
      <c r="N1" s="1298">
        <f>SUMPRODUCT(('2014因素修正幅度'!B5:B9=I2)*('2014因素修正幅度'!C3:F3=E2)*('2014因素修正幅度'!C5:F9))</f>
        <v>0</v>
      </c>
      <c r="O1" s="890"/>
      <c r="P1" s="890"/>
      <c r="Q1" s="890"/>
      <c r="R1" s="890"/>
      <c r="S1" s="890"/>
      <c r="T1" s="890"/>
      <c r="U1" s="890"/>
      <c r="V1" s="890"/>
      <c r="W1" s="890"/>
      <c r="X1" s="890"/>
      <c r="Y1" s="890"/>
      <c r="Z1" s="988"/>
      <c r="AA1" s="988"/>
      <c r="AB1" s="988"/>
      <c r="AC1" s="988"/>
      <c r="AD1" s="988"/>
      <c r="AE1" s="988"/>
      <c r="AF1" s="988"/>
    </row>
    <row r="2" spans="1:36" ht="24">
      <c r="A2" s="895" t="s">
        <v>295</v>
      </c>
      <c r="B2" s="1159" t="e">
        <f ca="1">C26</f>
        <v>#DIV/0!</v>
      </c>
      <c r="C2" s="897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五级</v>
      </c>
      <c r="H2" s="1160" t="s">
        <v>262</v>
      </c>
      <c r="I2" s="10">
        <f>主表!B11</f>
        <v>0</v>
      </c>
      <c r="J2" s="894"/>
      <c r="L2" s="1064" t="s">
        <v>63</v>
      </c>
      <c r="M2" s="1299">
        <f>SUMPRODUCT(('2014区片价'!B10:B28=I2)*('2014区片价'!C3:F3=E2)*('2014区片价'!C10:F28))</f>
        <v>0</v>
      </c>
      <c r="N2" s="1300">
        <f>SUMPRODUCT(('2014因素修正幅度'!B10:B28=I2)*('2014因素修正幅度'!C3:F3=E2)*('2014因素修正幅度'!C10:F28))</f>
        <v>0</v>
      </c>
      <c r="O2" s="890"/>
      <c r="P2" s="890"/>
      <c r="Q2" s="890"/>
      <c r="R2" s="890"/>
      <c r="S2" s="890"/>
      <c r="T2" s="890"/>
      <c r="U2" s="890"/>
      <c r="V2" s="890"/>
      <c r="W2" s="890"/>
      <c r="X2" s="890"/>
      <c r="Y2" s="890"/>
      <c r="Z2" s="988"/>
      <c r="AA2" s="988"/>
      <c r="AB2" s="988"/>
      <c r="AC2" s="988"/>
      <c r="AD2" s="988"/>
      <c r="AE2" s="988"/>
      <c r="AF2" s="988"/>
    </row>
    <row r="3" spans="1:36" ht="15.75">
      <c r="A3" s="1161" t="s">
        <v>334</v>
      </c>
      <c r="B3" s="1159">
        <f>IF(F1="地上",C29,SUMIF(B33:B39,G1,C33:C39))</f>
        <v>0</v>
      </c>
      <c r="C3" s="897" t="s">
        <v>335</v>
      </c>
      <c r="D3" s="900" t="s">
        <v>336</v>
      </c>
      <c r="E3" s="904" t="s">
        <v>337</v>
      </c>
      <c r="F3" s="905" t="s">
        <v>254</v>
      </c>
      <c r="G3" s="445" t="e">
        <f>IF(F3="容积率",主表!B8,主表!B9)</f>
        <v>#DIV/0!</v>
      </c>
      <c r="H3" s="900" t="s">
        <v>338</v>
      </c>
      <c r="I3" s="1301">
        <v>1</v>
      </c>
      <c r="J3" s="894" t="s">
        <v>339</v>
      </c>
      <c r="L3" s="1064" t="s">
        <v>75</v>
      </c>
      <c r="M3" s="1299">
        <f>SUMPRODUCT(('2014区片价'!B29:B48=I2)*('2014区片价'!C3:F3=E2)*('2014区片价'!C29:F48))</f>
        <v>0</v>
      </c>
      <c r="N3" s="1300">
        <f>SUMPRODUCT(('2014因素修正幅度'!B29:B48=I2)*('2014因素修正幅度'!C3:F3=E2)*('2014因素修正幅度'!C29:F48))</f>
        <v>0</v>
      </c>
      <c r="O3" s="890"/>
      <c r="P3" s="890"/>
      <c r="Q3" s="890"/>
      <c r="R3" s="890"/>
      <c r="S3" s="890"/>
      <c r="T3" s="890"/>
      <c r="U3" s="890"/>
      <c r="V3" s="890"/>
      <c r="W3" s="890"/>
      <c r="X3" s="890"/>
      <c r="Y3" s="890"/>
      <c r="Z3" s="988"/>
      <c r="AA3" s="988"/>
      <c r="AB3" s="988"/>
      <c r="AC3" s="988"/>
      <c r="AD3" s="988"/>
      <c r="AE3" s="988"/>
      <c r="AF3" s="988"/>
    </row>
    <row r="4" spans="1:36" ht="14.25">
      <c r="A4" s="1161" t="s">
        <v>340</v>
      </c>
      <c r="B4" s="922">
        <f>IF(F1="地上",C30,SUMIF(B33:B39,G1,G33:G39))</f>
        <v>0</v>
      </c>
      <c r="C4" s="922"/>
      <c r="D4" s="922"/>
      <c r="E4" s="922"/>
      <c r="F4" s="922"/>
      <c r="G4" s="922"/>
      <c r="H4" s="922"/>
      <c r="I4" s="922"/>
      <c r="J4" s="1302"/>
      <c r="L4" s="1064" t="s">
        <v>87</v>
      </c>
      <c r="M4" s="1299">
        <f>SUMPRODUCT(('2014区片价'!B49:B75=I2)*('2014区片价'!C3:F3=E2)*('2014区片价'!C49:F75))</f>
        <v>0</v>
      </c>
      <c r="N4" s="1300">
        <f>SUMPRODUCT(('2014因素修正幅度'!B49:B75=I2)*('2014因素修正幅度'!C3:F3=E2)*('2014因素修正幅度'!C49:F75))</f>
        <v>0</v>
      </c>
      <c r="O4" s="890"/>
      <c r="P4" s="890"/>
      <c r="Q4" s="890"/>
      <c r="R4" s="890"/>
      <c r="S4" s="890"/>
      <c r="T4" s="890"/>
      <c r="U4" s="890"/>
      <c r="V4" s="890"/>
      <c r="W4" s="890"/>
      <c r="X4" s="890"/>
      <c r="Y4" s="890"/>
      <c r="Z4" s="988"/>
      <c r="AA4" s="988"/>
      <c r="AB4" s="988"/>
      <c r="AC4" s="988"/>
      <c r="AD4" s="988"/>
      <c r="AE4" s="988"/>
      <c r="AF4" s="988"/>
    </row>
    <row r="5" spans="1:36" s="885" customFormat="1" ht="15">
      <c r="A5" s="1162" t="s">
        <v>341</v>
      </c>
      <c r="B5" s="1163" t="s">
        <v>342</v>
      </c>
      <c r="C5" s="1164">
        <f>ROUND(IF(E2="商业",C6*C7+C16,(IF(E2="住宅/居住",C6*C12+C16,C6+C16))),0)</f>
        <v>-120</v>
      </c>
      <c r="D5" s="1165">
        <f>ROUND(C6+C16,0)</f>
        <v>-120</v>
      </c>
      <c r="E5" s="1165">
        <f>ROUND(IF(E2="住宅",IF(F17="增加",C6*C7+C16,C6*C7-C16)),0)</f>
        <v>0</v>
      </c>
      <c r="F5" s="1166"/>
      <c r="G5" s="1167"/>
      <c r="H5" s="1167"/>
      <c r="I5" s="1167"/>
      <c r="J5" s="1303"/>
      <c r="K5" s="1028"/>
      <c r="L5" s="1064" t="s">
        <v>96</v>
      </c>
      <c r="M5" s="1299">
        <f>SUMPRODUCT(('2014区片价'!B76:B109=I2)*('2014区片价'!C3:F3=E2)*('2014区片价'!C76:F109))</f>
        <v>0</v>
      </c>
      <c r="N5" s="1300">
        <f>SUMPRODUCT(('2014因素修正幅度'!B76:B109=I2)*('2014因素修正幅度'!C3:F3=E2)*('2014因素修正幅度'!C76:F109))</f>
        <v>0</v>
      </c>
      <c r="O5" s="890"/>
      <c r="P5" s="890"/>
      <c r="Q5" s="890"/>
      <c r="R5" s="890"/>
      <c r="S5" s="890"/>
      <c r="T5" s="890"/>
      <c r="U5" s="890"/>
      <c r="V5" s="890"/>
      <c r="W5" s="890"/>
      <c r="X5" s="890"/>
      <c r="Y5" s="890"/>
      <c r="Z5" s="1048"/>
      <c r="AA5" s="1048"/>
      <c r="AB5" s="1048"/>
      <c r="AC5" s="1048"/>
      <c r="AD5" s="1048"/>
      <c r="AE5" s="1048"/>
      <c r="AF5" s="1048"/>
      <c r="AG5" s="1049"/>
      <c r="AH5" s="1049"/>
      <c r="AI5" s="1049"/>
      <c r="AJ5" s="1049"/>
    </row>
    <row r="6" spans="1:36" ht="14.25">
      <c r="A6" s="1168">
        <v>1</v>
      </c>
      <c r="B6" s="1169" t="s">
        <v>342</v>
      </c>
      <c r="C6" s="1170">
        <f>SUMIF(L1:L12,G2,M1:M12)</f>
        <v>0</v>
      </c>
      <c r="D6" s="1171" t="s">
        <v>343</v>
      </c>
      <c r="E6" s="1172"/>
      <c r="F6" s="1172"/>
      <c r="G6" s="1173"/>
      <c r="H6" s="1173"/>
      <c r="I6" s="1173"/>
      <c r="J6" s="1304"/>
      <c r="K6" s="1030"/>
      <c r="L6" s="1064" t="s">
        <v>103</v>
      </c>
      <c r="M6" s="1299">
        <f>SUMPRODUCT(('2014区片价'!B110:B157=I2)*('2014区片价'!C3:F3=E2)*('2014区片价'!C110:F157))</f>
        <v>0</v>
      </c>
      <c r="N6" s="1300">
        <f>SUMPRODUCT(('2014因素修正幅度'!B110:B157=I2)*('2014因素修正幅度'!C3:F3=E2)*('2014因素修正幅度'!C110:F157))</f>
        <v>0</v>
      </c>
      <c r="O6" s="890"/>
      <c r="P6" s="890"/>
      <c r="Q6" s="890"/>
      <c r="R6" s="890"/>
      <c r="S6" s="890"/>
      <c r="T6" s="890"/>
      <c r="U6" s="890"/>
      <c r="V6" s="890"/>
      <c r="W6" s="890"/>
      <c r="X6" s="890"/>
      <c r="Y6" s="890"/>
      <c r="Z6" s="988"/>
      <c r="AA6" s="988"/>
      <c r="AB6" s="988"/>
      <c r="AC6" s="988"/>
      <c r="AD6" s="988"/>
      <c r="AE6" s="988"/>
      <c r="AF6" s="988"/>
    </row>
    <row r="7" spans="1:36" ht="24">
      <c r="A7" s="1689" t="str">
        <f>IF(E2="商业",IF(C8="不临58条商业街","",2),"")</f>
        <v/>
      </c>
      <c r="B7" s="1174" t="s">
        <v>344</v>
      </c>
      <c r="C7" s="1175" t="e">
        <f>IF(C8="不临58条商业街",1,ROUND(1+(1.6*E8+1.2*E9+0.8*E10+0.4*E11)*C9,4))</f>
        <v>#DIV/0!</v>
      </c>
      <c r="D7" s="1176" t="s">
        <v>345</v>
      </c>
      <c r="E7" s="1177"/>
      <c r="F7" s="1178"/>
      <c r="G7" s="1179"/>
      <c r="H7" s="1179"/>
      <c r="I7" s="1179"/>
      <c r="J7" s="1305"/>
      <c r="K7" s="1030"/>
      <c r="L7" s="1064" t="s">
        <v>108</v>
      </c>
      <c r="M7" s="1299">
        <f>SUMPRODUCT(('2014区片价'!B158:B205=I2)*('2014区片价'!C3:F3=E2)*('2014区片价'!C158:F205))</f>
        <v>0</v>
      </c>
      <c r="N7" s="1300">
        <f>SUMPRODUCT(('2014因素修正幅度'!B158:B205=I2)*('2014因素修正幅度'!C3:F3=E2)*('2014因素修正幅度'!C158:F205))</f>
        <v>0</v>
      </c>
      <c r="O7" s="890"/>
      <c r="P7" s="890"/>
      <c r="Q7" s="890"/>
      <c r="R7" s="890"/>
      <c r="S7" s="890"/>
      <c r="T7" s="890"/>
      <c r="U7" s="890"/>
      <c r="V7" s="890"/>
      <c r="W7" s="890"/>
      <c r="X7" s="890"/>
      <c r="Y7" s="890"/>
      <c r="Z7" s="988"/>
      <c r="AA7" s="988"/>
      <c r="AB7" s="988"/>
      <c r="AC7" s="988"/>
      <c r="AD7" s="988"/>
      <c r="AE7" s="988"/>
      <c r="AF7" s="988"/>
    </row>
    <row r="8" spans="1:36" ht="14.25">
      <c r="A8" s="1690"/>
      <c r="B8" s="900" t="s">
        <v>346</v>
      </c>
      <c r="C8" s="1181"/>
      <c r="D8" s="1182" t="s">
        <v>347</v>
      </c>
      <c r="E8" s="1183" t="e">
        <f>ROUND(C11/E7,4)</f>
        <v>#DIV/0!</v>
      </c>
      <c r="F8" s="1184" t="s">
        <v>348</v>
      </c>
      <c r="G8" s="1185"/>
      <c r="H8" s="1185"/>
      <c r="I8" s="1185"/>
      <c r="J8" s="1306"/>
      <c r="L8" s="1064" t="s">
        <v>113</v>
      </c>
      <c r="M8" s="1299">
        <f>SUMPRODUCT(('2014区片价'!B206:B244=I2)*('2014区片价'!C3:F3=E2)*('2014区片价'!C206:F244))</f>
        <v>0</v>
      </c>
      <c r="N8" s="1300">
        <f>SUMPRODUCT(('2014因素修正幅度'!B206:B244=I2)*('2014因素修正幅度'!C3:F3=E2)*('2014因素修正幅度'!C206:F244))</f>
        <v>0</v>
      </c>
      <c r="O8" s="890"/>
      <c r="P8" s="890"/>
      <c r="Q8" s="890"/>
      <c r="R8" s="890"/>
      <c r="S8" s="890"/>
      <c r="T8" s="890"/>
      <c r="U8" s="890"/>
      <c r="V8" s="890"/>
      <c r="W8" s="890"/>
      <c r="X8" s="890"/>
      <c r="Y8" s="890"/>
      <c r="Z8" s="988"/>
      <c r="AA8" s="988"/>
      <c r="AB8" s="988"/>
      <c r="AC8" s="988"/>
      <c r="AD8" s="988"/>
      <c r="AE8" s="988"/>
      <c r="AF8" s="988"/>
    </row>
    <row r="9" spans="1:36" ht="14.25">
      <c r="A9" s="1690"/>
      <c r="B9" s="900" t="s">
        <v>349</v>
      </c>
      <c r="C9" s="1186">
        <f>SUMIF('2014修正'!C59:C119,C8,'2014修正'!E59:E119)</f>
        <v>0</v>
      </c>
      <c r="D9" s="17" t="s">
        <v>350</v>
      </c>
      <c r="E9" s="17" t="e">
        <f>ROUND(C11/E7,4)</f>
        <v>#DIV/0!</v>
      </c>
      <c r="F9" s="1184" t="s">
        <v>351</v>
      </c>
      <c r="G9" s="1185"/>
      <c r="H9" s="1185"/>
      <c r="I9" s="1185"/>
      <c r="J9" s="1306"/>
      <c r="L9" s="1064" t="s">
        <v>116</v>
      </c>
      <c r="M9" s="1299">
        <f>SUMPRODUCT(('2014区片价'!B245:B289=I2)*('2014区片价'!C3:F3=E2)*('2014区片价'!C245:F289))</f>
        <v>0</v>
      </c>
      <c r="N9" s="1300">
        <f>SUMPRODUCT(('2014因素修正幅度'!B245:B289=I2)*('2014因素修正幅度'!C3:F3=E2)*('2014因素修正幅度'!C245:F289))</f>
        <v>0</v>
      </c>
      <c r="O9" s="890"/>
      <c r="P9" s="890"/>
      <c r="Q9" s="890"/>
      <c r="R9" s="890"/>
      <c r="S9" s="890"/>
      <c r="T9" s="890"/>
      <c r="U9" s="890"/>
      <c r="V9" s="890"/>
      <c r="W9" s="890"/>
      <c r="X9" s="890"/>
      <c r="Y9" s="890"/>
      <c r="Z9" s="988"/>
      <c r="AA9" s="988"/>
      <c r="AB9" s="988"/>
      <c r="AC9" s="988"/>
      <c r="AD9" s="988"/>
      <c r="AE9" s="988"/>
      <c r="AF9" s="988"/>
    </row>
    <row r="10" spans="1:36" ht="14.25">
      <c r="A10" s="1690"/>
      <c r="B10" s="900" t="s">
        <v>352</v>
      </c>
      <c r="C10" s="17">
        <f>SUMIF('2014修正'!C59:C119,C8,'2014修正'!F59:F119)</f>
        <v>0</v>
      </c>
      <c r="D10" s="17" t="s">
        <v>353</v>
      </c>
      <c r="E10" s="17" t="e">
        <f>ROUND(C11/E7,4)</f>
        <v>#DIV/0!</v>
      </c>
      <c r="F10" s="1184" t="s">
        <v>354</v>
      </c>
      <c r="G10" s="1185"/>
      <c r="H10" s="1185"/>
      <c r="I10" s="1185"/>
      <c r="J10" s="1306"/>
      <c r="L10" s="1064" t="s">
        <v>118</v>
      </c>
      <c r="M10" s="1299">
        <f>SUMPRODUCT(('2014区片价'!B290:B316=I2)*('2014区片价'!C3:F3=E2)*('2014区片价'!C290:F316))</f>
        <v>0</v>
      </c>
      <c r="N10" s="1300">
        <f>SUMPRODUCT(('2014因素修正幅度'!B290:B316=I2)*('2014因素修正幅度'!C3:F3=E2)*('2014因素修正幅度'!C290:F316))</f>
        <v>0</v>
      </c>
      <c r="O10" s="890"/>
      <c r="P10" s="890"/>
      <c r="Q10" s="890"/>
      <c r="R10" s="890"/>
      <c r="S10" s="890"/>
      <c r="T10" s="890"/>
      <c r="U10" s="890"/>
      <c r="V10" s="890"/>
      <c r="W10" s="890"/>
      <c r="X10" s="890"/>
      <c r="Y10" s="890"/>
      <c r="Z10" s="988"/>
      <c r="AA10" s="988"/>
      <c r="AB10" s="988"/>
      <c r="AC10" s="988"/>
      <c r="AD10" s="988"/>
      <c r="AE10" s="988"/>
      <c r="AF10" s="988"/>
    </row>
    <row r="11" spans="1:36" ht="14.25">
      <c r="A11" s="1690"/>
      <c r="B11" s="1187" t="s">
        <v>355</v>
      </c>
      <c r="C11" s="1188">
        <f>C10/4</f>
        <v>0</v>
      </c>
      <c r="D11" s="1188" t="s">
        <v>356</v>
      </c>
      <c r="E11" s="1188" t="e">
        <f>ROUND(C11/E7,4)</f>
        <v>#DIV/0!</v>
      </c>
      <c r="F11" s="1189" t="s">
        <v>357</v>
      </c>
      <c r="G11" s="1190"/>
      <c r="H11" s="1190"/>
      <c r="I11" s="1190"/>
      <c r="J11" s="1307"/>
      <c r="L11" s="1064" t="s">
        <v>120</v>
      </c>
      <c r="M11" s="1299">
        <f>SUMPRODUCT(('2014区片价'!B317:B337=I2)*('2014区片价'!C3:F3=E2)*('2014区片价'!C317:F337))</f>
        <v>0</v>
      </c>
      <c r="N11" s="1300">
        <f>SUMPRODUCT(('2014因素修正幅度'!B317:B337=I2)*('2014因素修正幅度'!C3:F3=E2)*('2014因素修正幅度'!C317:F337))</f>
        <v>0</v>
      </c>
      <c r="O11" s="890"/>
      <c r="P11" s="890"/>
      <c r="Q11" s="890"/>
      <c r="R11" s="890"/>
      <c r="S11" s="890"/>
      <c r="T11" s="890"/>
      <c r="U11" s="890"/>
      <c r="V11" s="890"/>
      <c r="W11" s="890"/>
      <c r="X11" s="890"/>
      <c r="Y11" s="890"/>
      <c r="Z11" s="988"/>
      <c r="AA11" s="988"/>
      <c r="AB11" s="988"/>
      <c r="AC11" s="988"/>
      <c r="AD11" s="988"/>
      <c r="AE11" s="988"/>
      <c r="AF11" s="988"/>
    </row>
    <row r="12" spans="1:36" ht="24">
      <c r="A12" s="1689">
        <f>IF(E2="住宅/居住",2,"")</f>
        <v>2</v>
      </c>
      <c r="B12" s="1191" t="s">
        <v>358</v>
      </c>
      <c r="C12" s="1175">
        <f>ROUND(C15*D15*E15*F15*G15*H15*I15*J15,4)</f>
        <v>1.32</v>
      </c>
      <c r="D12" s="1192" t="s">
        <v>359</v>
      </c>
      <c r="E12" s="1193"/>
      <c r="F12" s="1193"/>
      <c r="G12" s="1194"/>
      <c r="H12" s="1194"/>
      <c r="I12" s="1194"/>
      <c r="J12" s="1308"/>
      <c r="L12" s="1067" t="s">
        <v>122</v>
      </c>
      <c r="M12" s="1309">
        <f>SUMPRODUCT(('2014区片价'!B338:B344=I2)*('2014区片价'!C3:F3=E2)*('2014区片价'!C338:F344))</f>
        <v>0</v>
      </c>
      <c r="N12" s="1310">
        <f>SUMPRODUCT(('2014因素修正幅度'!B338:B344=I2)*('2014因素修正幅度'!C3:F3=E2)*('2014因素修正幅度'!C338:F344))</f>
        <v>0</v>
      </c>
      <c r="O12" s="890"/>
      <c r="P12" s="890"/>
      <c r="Q12" s="890"/>
      <c r="R12" s="890"/>
      <c r="S12" s="890"/>
      <c r="T12" s="890"/>
      <c r="U12" s="890"/>
      <c r="V12" s="890"/>
      <c r="W12" s="890"/>
      <c r="X12" s="890"/>
      <c r="Y12" s="890"/>
      <c r="Z12" s="988"/>
      <c r="AA12" s="988"/>
      <c r="AB12" s="988"/>
      <c r="AC12" s="988"/>
      <c r="AD12" s="988"/>
      <c r="AE12" s="988"/>
      <c r="AF12" s="988"/>
    </row>
    <row r="13" spans="1:36" ht="24">
      <c r="A13" s="1691"/>
      <c r="B13" s="1195" t="s">
        <v>360</v>
      </c>
      <c r="C13" s="1085" t="s">
        <v>361</v>
      </c>
      <c r="D13" s="1196" t="s">
        <v>362</v>
      </c>
      <c r="E13" s="1196" t="s">
        <v>363</v>
      </c>
      <c r="F13" s="1197" t="s">
        <v>364</v>
      </c>
      <c r="G13" s="1198" t="s">
        <v>223</v>
      </c>
      <c r="H13" s="1198" t="s">
        <v>223</v>
      </c>
      <c r="I13" s="1198" t="s">
        <v>223</v>
      </c>
      <c r="J13" s="1311" t="s">
        <v>223</v>
      </c>
      <c r="L13" s="890"/>
      <c r="M13" s="890"/>
      <c r="N13" s="890"/>
      <c r="O13" s="890"/>
      <c r="P13" s="890"/>
      <c r="Q13" s="890"/>
      <c r="R13" s="890"/>
      <c r="S13" s="890"/>
      <c r="T13" s="890"/>
      <c r="U13" s="890"/>
      <c r="V13" s="890"/>
      <c r="W13" s="890"/>
      <c r="X13" s="890"/>
      <c r="Y13" s="890"/>
      <c r="Z13" s="988"/>
      <c r="AA13" s="988"/>
      <c r="AB13" s="988"/>
      <c r="AC13" s="988"/>
      <c r="AD13" s="988"/>
      <c r="AE13" s="988"/>
      <c r="AF13" s="988"/>
    </row>
    <row r="14" spans="1:36">
      <c r="A14" s="1691"/>
      <c r="B14" s="1199"/>
      <c r="C14" s="1200" t="s">
        <v>223</v>
      </c>
      <c r="D14" s="1011" t="s">
        <v>223</v>
      </c>
      <c r="E14" s="1011" t="s">
        <v>365</v>
      </c>
      <c r="F14" s="1201" t="s">
        <v>366</v>
      </c>
      <c r="G14" s="1202" t="s">
        <v>367</v>
      </c>
      <c r="H14" s="894"/>
      <c r="I14" s="1312"/>
      <c r="J14" s="1313"/>
      <c r="L14" s="890"/>
      <c r="M14" s="890"/>
      <c r="N14" s="890"/>
      <c r="O14" s="890"/>
      <c r="P14" s="890"/>
      <c r="Q14" s="890"/>
      <c r="R14" s="890"/>
      <c r="S14" s="890"/>
      <c r="T14" s="890"/>
      <c r="U14" s="890"/>
      <c r="V14" s="890"/>
      <c r="W14" s="890"/>
      <c r="X14" s="890"/>
      <c r="Y14" s="890"/>
      <c r="Z14" s="988"/>
      <c r="AA14" s="988"/>
      <c r="AB14" s="988"/>
      <c r="AC14" s="988"/>
      <c r="AD14" s="988"/>
      <c r="AE14" s="988"/>
      <c r="AF14" s="988"/>
    </row>
    <row r="15" spans="1:36" ht="12.75">
      <c r="A15" s="1692"/>
      <c r="B15" s="1203" t="s">
        <v>368</v>
      </c>
      <c r="C15" s="1204">
        <f>IF(C14="有",1.1,1)</f>
        <v>1</v>
      </c>
      <c r="D15" s="1204">
        <f>IF(D14="有",1.1,1)</f>
        <v>1</v>
      </c>
      <c r="E15" s="1204">
        <f>IF(E14="有",1.1,1)</f>
        <v>1.1000000000000001</v>
      </c>
      <c r="F15" s="1204">
        <f>IF(F14="500米范围内",1.2,IF(F14="500-1000米",1.1,1))</f>
        <v>1.2</v>
      </c>
      <c r="G15" s="1205">
        <v>1</v>
      </c>
      <c r="H15" s="1205">
        <v>1</v>
      </c>
      <c r="I15" s="1205">
        <v>1</v>
      </c>
      <c r="J15" s="1314">
        <v>1</v>
      </c>
      <c r="Q15" s="890"/>
      <c r="R15" s="890"/>
      <c r="S15" s="890"/>
      <c r="T15" s="890"/>
      <c r="U15" s="890"/>
      <c r="V15" s="890"/>
      <c r="W15" s="890"/>
      <c r="X15" s="890"/>
      <c r="Y15" s="890"/>
      <c r="Z15" s="988"/>
      <c r="AA15" s="988"/>
      <c r="AB15" s="988"/>
      <c r="AC15" s="988"/>
      <c r="AD15" s="988"/>
      <c r="AE15" s="988"/>
      <c r="AF15" s="988"/>
    </row>
    <row r="16" spans="1:36" ht="24.6" customHeight="1">
      <c r="A16" s="1689">
        <f>IF(E2="办公/综合",2,IF(E2="工业",2,IF(E2="住宅/居住",3,IF(E2="商业",IF(C8="不临58条商业街",2,3)))))</f>
        <v>3</v>
      </c>
      <c r="B16" s="1174" t="s">
        <v>369</v>
      </c>
      <c r="C16" s="1175">
        <f>ROUND(IF(F17="与级别开发程度一致",0,(G17-E17)/C17),0)</f>
        <v>-120</v>
      </c>
      <c r="D16" s="1684" t="s">
        <v>370</v>
      </c>
      <c r="E16" s="1685"/>
      <c r="F16" s="1684" t="s">
        <v>371</v>
      </c>
      <c r="G16" s="1686"/>
      <c r="H16" s="1207"/>
      <c r="I16" s="1207"/>
      <c r="J16" s="1315"/>
      <c r="K16" s="1207"/>
      <c r="L16" s="1207"/>
      <c r="M16" s="1207"/>
      <c r="N16" s="1207"/>
      <c r="O16" s="1315"/>
      <c r="Q16" s="890"/>
      <c r="R16" s="890"/>
      <c r="S16" s="890"/>
      <c r="T16" s="890"/>
      <c r="U16" s="890"/>
      <c r="V16" s="890"/>
      <c r="W16" s="890"/>
      <c r="X16" s="890"/>
      <c r="Y16" s="890"/>
      <c r="Z16" s="988"/>
      <c r="AA16" s="988"/>
      <c r="AB16" s="988"/>
      <c r="AC16" s="988"/>
      <c r="AD16" s="988"/>
      <c r="AE16" s="988"/>
      <c r="AF16" s="988"/>
    </row>
    <row r="17" spans="1:37" ht="12.75">
      <c r="A17" s="1693"/>
      <c r="B17" s="1208" t="s">
        <v>372</v>
      </c>
      <c r="C17" s="1209">
        <f>SUMPRODUCT(('2014修正'!A2:A5=E2)*('2014修正'!B1:M1=G2)*('2014修正'!B2:M5))</f>
        <v>2.5</v>
      </c>
      <c r="D17" s="1210" t="str">
        <f>IF(OR(G2="八级",G2="九级",G2="十级",G2="十一级",G2="十二级"),"五通一平","七通一平")</f>
        <v>七通一平</v>
      </c>
      <c r="E17" s="1211">
        <f>SUMPRODUCT(('2014修正'!B1:M1=G2)*('2014修正'!B15:M15))</f>
        <v>300</v>
      </c>
      <c r="F17" s="1212"/>
      <c r="G17" s="1213">
        <f>SUM(H17:O17)</f>
        <v>0</v>
      </c>
      <c r="H17" s="1214">
        <f>SUMPRODUCT((七通一平=H16)*('2014修正'!B1:M1=G2)*('2014修正'!B6:M14))</f>
        <v>0</v>
      </c>
      <c r="I17" s="1214">
        <f>SUMPRODUCT((七通一平=I16)*('2014修正'!B1:M1=G2)*('2014修正'!B6:M14))</f>
        <v>0</v>
      </c>
      <c r="J17" s="1316">
        <f>SUMPRODUCT((七通一平=J16)*('2014修正'!B1:M1=G2)*('2014修正'!B6:M14))</f>
        <v>0</v>
      </c>
      <c r="K17" s="1214">
        <f>SUMPRODUCT((七通一平=K16)*('2014修正'!B1:M1=G2)*('2014修正'!B6:M14))</f>
        <v>0</v>
      </c>
      <c r="L17" s="1214">
        <f>SUMPRODUCT((七通一平=L16)*('2014修正'!B1:M1=G2)*('2014修正'!B6:M14))</f>
        <v>0</v>
      </c>
      <c r="M17" s="1214">
        <f>SUMPRODUCT((七通一平=M16)*('2014修正'!B1:M1=G2)*('2014修正'!B6:M14))</f>
        <v>0</v>
      </c>
      <c r="N17" s="1214">
        <f>SUMPRODUCT((七通一平=N16)*('2014修正'!B1:M1=G2)*('2014修正'!B6:M14))</f>
        <v>0</v>
      </c>
      <c r="O17" s="1316">
        <f>SUMPRODUCT((七通一平=O16)*('2014修正'!B1:M1=G2)*('2014修正'!B6:M14))</f>
        <v>0</v>
      </c>
      <c r="Q17" s="890"/>
      <c r="R17" s="890"/>
      <c r="S17" s="890"/>
      <c r="T17" s="890"/>
      <c r="U17" s="890"/>
      <c r="V17" s="890"/>
      <c r="W17" s="890"/>
      <c r="X17" s="890"/>
      <c r="Y17" s="890"/>
      <c r="Z17" s="988"/>
      <c r="AA17" s="988"/>
      <c r="AB17" s="988"/>
      <c r="AC17" s="988"/>
      <c r="AD17" s="988"/>
      <c r="AE17" s="890"/>
      <c r="AF17" s="890"/>
      <c r="AG17" s="889"/>
      <c r="AH17" s="889"/>
      <c r="AI17" s="889"/>
      <c r="AJ17" s="889"/>
    </row>
    <row r="18" spans="1:37" s="885" customFormat="1" ht="15">
      <c r="A18" s="1215" t="s">
        <v>373</v>
      </c>
      <c r="B18" s="1216" t="s">
        <v>374</v>
      </c>
      <c r="C18" s="1217">
        <f>SUMIF('2014修正'!C18:C39,E3,'2014修正'!E18:E39)</f>
        <v>1</v>
      </c>
      <c r="D18" s="1218"/>
      <c r="E18" s="1219"/>
      <c r="F18" s="1219"/>
      <c r="G18" s="1219"/>
      <c r="H18" s="1219"/>
      <c r="I18" s="1317"/>
      <c r="J18" s="1318"/>
      <c r="K18" s="1046"/>
      <c r="L18" s="1319" t="s">
        <v>375</v>
      </c>
      <c r="M18" s="1320">
        <f>ROUNDDOWN(IF(H19&gt;=E19,DATEDIF(E19,H19,"M")/3,DATEDIF(H19,E19,"M")/3),0)</f>
        <v>40</v>
      </c>
      <c r="N18" s="1321"/>
      <c r="O18" s="1322" t="s">
        <v>376</v>
      </c>
      <c r="P18" s="1323" t="s">
        <v>377</v>
      </c>
      <c r="Q18" s="1323" t="s">
        <v>78</v>
      </c>
      <c r="R18" s="1323" t="s">
        <v>53</v>
      </c>
      <c r="S18" s="1354" t="s">
        <v>137</v>
      </c>
      <c r="T18" s="988"/>
      <c r="U18" s="988"/>
      <c r="V18" s="988"/>
      <c r="W18" s="988"/>
      <c r="X18" s="890"/>
      <c r="Y18" s="890"/>
      <c r="Z18" s="1046"/>
      <c r="AA18" s="1046"/>
      <c r="AB18" s="1046"/>
      <c r="AC18" s="1046"/>
      <c r="AD18" s="1046"/>
      <c r="AE18" s="988"/>
      <c r="AF18" s="988"/>
      <c r="AG18" s="887"/>
      <c r="AH18" s="887"/>
      <c r="AI18" s="887"/>
    </row>
    <row r="19" spans="1:37" s="885" customFormat="1" ht="15">
      <c r="A19" s="1220" t="s">
        <v>378</v>
      </c>
      <c r="B19" s="1221" t="s">
        <v>379</v>
      </c>
      <c r="C19" s="1222">
        <f>IF(H19&lt;DATE(2014,8,28),0,ROUND(I19/F19,4))</f>
        <v>0</v>
      </c>
      <c r="D19" s="1223" t="s">
        <v>380</v>
      </c>
      <c r="E19" s="1224">
        <v>41640</v>
      </c>
      <c r="F19" s="1225">
        <f>ROUND(SUMIF(地价!B3:F3,E2,地价!B38:F38),0)</f>
        <v>423</v>
      </c>
      <c r="G19" s="1223" t="s">
        <v>381</v>
      </c>
      <c r="H19" s="1226">
        <f>主表!B4</f>
        <v>37924</v>
      </c>
      <c r="I19" s="1324">
        <f>ROUND(SUMPRODUCT((地价!A5:A38=YEAR(H19)&amp;"-"&amp;ROUNDUP(MONTH(H19)/3,0))*(地价!B3:F3=E2)*(地价!B5:F38)),0)</f>
        <v>0</v>
      </c>
      <c r="J19" s="1325"/>
      <c r="K19" s="1046"/>
      <c r="L19" s="990" t="s">
        <v>382</v>
      </c>
      <c r="M19" s="1326" t="s">
        <v>383</v>
      </c>
      <c r="N19" s="1327" t="s">
        <v>384</v>
      </c>
      <c r="O19" s="1056" t="s">
        <v>385</v>
      </c>
      <c r="P19" s="1186">
        <v>0.25</v>
      </c>
      <c r="Q19" s="1186">
        <v>0.2</v>
      </c>
      <c r="R19" s="1186">
        <v>0.15</v>
      </c>
      <c r="S19" s="1355">
        <v>0.1</v>
      </c>
      <c r="T19" s="988"/>
      <c r="U19" s="988"/>
      <c r="V19" s="988"/>
      <c r="W19" s="988"/>
      <c r="X19" s="890"/>
      <c r="Y19" s="890"/>
      <c r="Z19" s="1046"/>
      <c r="AA19" s="1046"/>
      <c r="AB19" s="1046"/>
      <c r="AC19" s="1046"/>
      <c r="AD19" s="1046"/>
      <c r="AE19" s="1046"/>
      <c r="AF19" s="989"/>
      <c r="AG19" s="1050"/>
      <c r="AH19" s="887"/>
      <c r="AI19" s="1049"/>
      <c r="AJ19" s="1049"/>
      <c r="AK19" s="1049"/>
    </row>
    <row r="20" spans="1:37" s="885" customFormat="1" ht="24">
      <c r="A20" s="1227" t="s">
        <v>386</v>
      </c>
      <c r="B20" s="1228" t="s">
        <v>281</v>
      </c>
      <c r="C20" s="1229">
        <f ca="1">ROUND(POWER(1+G20,J20-I20)*(POWER(1+G20,I20)-1)/(POWER(1+G20,J20)-1),4)</f>
        <v>0.999</v>
      </c>
      <c r="D20" s="1230" t="s">
        <v>387</v>
      </c>
      <c r="E20" s="1231">
        <f ca="1">INDIRECT("'存贷款利率'!e"&amp;存贷款利率!$K$4)/100</f>
        <v>5.3099999999999994E-2</v>
      </c>
      <c r="F20" s="1206" t="s">
        <v>278</v>
      </c>
      <c r="G20" s="1232">
        <f ca="1">SUMIF(P18:S18,E2,P20:S20)</f>
        <v>6.0999999999999999E-2</v>
      </c>
      <c r="H20" s="1233" t="s">
        <v>272</v>
      </c>
      <c r="I20" s="1328">
        <f>IF(H20="剩余土地使用年限",主表!B15,主表!B16)</f>
        <v>69</v>
      </c>
      <c r="J20" s="1329">
        <f>IF(E2="住宅/居住",70,IF(E2="商业",40,50))</f>
        <v>70</v>
      </c>
      <c r="K20" s="1046"/>
      <c r="L20" s="992" t="s">
        <v>388</v>
      </c>
      <c r="M20" s="506"/>
      <c r="N20" s="5">
        <f ca="1">'地价（废）'!G2</f>
        <v>0</v>
      </c>
      <c r="O20" s="1330" t="s">
        <v>278</v>
      </c>
      <c r="P20" s="1331">
        <f ca="1">ROUND($E$20*(1+P19),3)</f>
        <v>6.6000000000000003E-2</v>
      </c>
      <c r="Q20" s="1331">
        <f ca="1">ROUND($E$20*(1+Q19),3)</f>
        <v>6.4000000000000001E-2</v>
      </c>
      <c r="R20" s="1331">
        <f ca="1">ROUND($E$20*(1+R19),3)</f>
        <v>6.0999999999999999E-2</v>
      </c>
      <c r="S20" s="997">
        <f ca="1">ROUND($E$20*(1+S19),3)</f>
        <v>5.8000000000000003E-2</v>
      </c>
      <c r="T20" s="988"/>
      <c r="U20" s="988"/>
      <c r="V20" s="988"/>
      <c r="W20" s="988"/>
      <c r="X20" s="890"/>
      <c r="Y20" s="890"/>
      <c r="Z20" s="1046"/>
      <c r="AA20" s="1046"/>
      <c r="AB20" s="1046"/>
      <c r="AC20" s="1046"/>
      <c r="AD20" s="1046"/>
      <c r="AE20" s="1046"/>
      <c r="AF20" s="1046"/>
    </row>
    <row r="21" spans="1:37" s="885" customFormat="1" ht="14.25">
      <c r="A21" s="1234" t="s">
        <v>389</v>
      </c>
      <c r="B21" s="1235" t="s">
        <v>390</v>
      </c>
      <c r="C21" s="533" t="e">
        <f>IF(B21="容积率修正",IF(G3&lt;=10,D22,J22),C23)</f>
        <v>#DIV/0!</v>
      </c>
      <c r="D21" s="1236"/>
      <c r="E21" s="1236" t="s">
        <v>391</v>
      </c>
      <c r="F21" s="1236"/>
      <c r="G21" s="1236"/>
      <c r="H21" s="1236"/>
      <c r="I21" s="1236"/>
      <c r="J21" s="1332"/>
      <c r="K21" s="1046"/>
      <c r="L21" s="992" t="s">
        <v>377</v>
      </c>
      <c r="M21" s="994"/>
      <c r="N21" s="5">
        <f ca="1">'地价（废）'!H2</f>
        <v>0</v>
      </c>
      <c r="O21" s="1333"/>
      <c r="P21" s="1333"/>
      <c r="Q21" s="989"/>
      <c r="R21" s="989"/>
      <c r="S21" s="989"/>
      <c r="T21" s="988"/>
      <c r="U21" s="988"/>
      <c r="V21" s="988"/>
      <c r="W21" s="988"/>
      <c r="X21" s="890"/>
      <c r="Y21" s="890"/>
      <c r="Z21" s="1046"/>
      <c r="AA21" s="1046"/>
      <c r="AB21" s="1046"/>
      <c r="AC21" s="1046"/>
      <c r="AD21" s="1046"/>
      <c r="AE21" s="1046"/>
      <c r="AF21" s="1046"/>
    </row>
    <row r="22" spans="1:37" s="885" customFormat="1" ht="14.25">
      <c r="A22" s="1237">
        <v>1</v>
      </c>
      <c r="B22" s="1238" t="s">
        <v>392</v>
      </c>
      <c r="C22" s="467" t="s">
        <v>393</v>
      </c>
      <c r="D22" s="467" t="e">
        <f>IF(E22=G22,F22,IF(G3&lt;=10,ROUND(F22+(H22-F22)*(G3-E22)/(G22-E22),4),"——"))</f>
        <v>#DIV/0!</v>
      </c>
      <c r="E22" s="1239" t="e">
        <f>ROUNDDOWN(G3,1)</f>
        <v>#DIV/0!</v>
      </c>
      <c r="F22" s="124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241" t="e">
        <f>ROUNDUP(G3,1)</f>
        <v>#DIV/0!</v>
      </c>
      <c r="H22" s="46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34" t="s">
        <v>394</v>
      </c>
      <c r="J22" s="355" t="e">
        <f>IF(G3&gt;10,D114,"——")</f>
        <v>#DIV/0!</v>
      </c>
      <c r="K22" s="1046"/>
      <c r="L22" s="992" t="s">
        <v>78</v>
      </c>
      <c r="M22" s="994"/>
      <c r="N22" s="5">
        <f ca="1">'地价（废）'!I2</f>
        <v>0</v>
      </c>
      <c r="O22" s="1333"/>
      <c r="P22" s="1333"/>
      <c r="Q22" s="989"/>
      <c r="R22" s="989"/>
      <c r="S22" s="989"/>
      <c r="T22" s="988"/>
      <c r="U22" s="988"/>
      <c r="V22" s="988"/>
      <c r="W22" s="988"/>
      <c r="X22" s="890"/>
      <c r="Y22" s="890"/>
      <c r="Z22" s="1046"/>
      <c r="AA22" s="1046"/>
      <c r="AB22" s="1046"/>
      <c r="AC22" s="1046"/>
      <c r="AD22" s="1046"/>
      <c r="AE22" s="1046"/>
      <c r="AF22" s="1046"/>
    </row>
    <row r="23" spans="1:37" ht="27">
      <c r="A23" s="1237">
        <v>2</v>
      </c>
      <c r="B23" s="1238" t="s">
        <v>395</v>
      </c>
      <c r="C23" s="1242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94"/>
      <c r="E23" s="894"/>
      <c r="F23" s="1243"/>
      <c r="G23" s="1244"/>
      <c r="H23" s="1245"/>
      <c r="I23" s="1335"/>
      <c r="J23" s="1336"/>
      <c r="L23" s="992" t="s">
        <v>53</v>
      </c>
      <c r="M23" s="994"/>
      <c r="N23" s="5">
        <f ca="1">'地价（废）'!J2</f>
        <v>0</v>
      </c>
      <c r="O23" s="1333"/>
      <c r="P23" s="1333"/>
      <c r="Q23" s="989"/>
      <c r="R23" s="989"/>
      <c r="S23" s="989"/>
      <c r="T23" s="988"/>
      <c r="U23" s="988"/>
      <c r="V23" s="988"/>
      <c r="W23" s="988"/>
      <c r="X23" s="890"/>
      <c r="Y23" s="890"/>
      <c r="Z23" s="1046"/>
      <c r="AA23" s="1046"/>
      <c r="AB23" s="1046"/>
      <c r="AC23" s="1046"/>
      <c r="AD23" s="1046"/>
      <c r="AE23" s="988"/>
      <c r="AF23" s="988"/>
      <c r="AK23" s="887"/>
    </row>
    <row r="24" spans="1:37" s="885" customFormat="1" ht="15">
      <c r="A24" s="1246" t="s">
        <v>396</v>
      </c>
      <c r="B24" s="1247" t="s">
        <v>397</v>
      </c>
      <c r="C24" s="1248">
        <f>SUMIF(A46:A88,E2,B46:B88)</f>
        <v>1</v>
      </c>
      <c r="D24" s="1249"/>
      <c r="E24" s="1250"/>
      <c r="F24" s="1250"/>
      <c r="G24" s="1250"/>
      <c r="H24" s="1250"/>
      <c r="I24" s="1250"/>
      <c r="J24" s="1337"/>
      <c r="K24" s="1046"/>
      <c r="L24" s="995" t="s">
        <v>137</v>
      </c>
      <c r="M24" s="996"/>
      <c r="N24" s="1331">
        <f ca="1">'地价（废）'!K2</f>
        <v>0</v>
      </c>
      <c r="O24" s="1333"/>
      <c r="P24" s="1333"/>
      <c r="Q24" s="989"/>
      <c r="R24" s="989"/>
      <c r="S24" s="989"/>
      <c r="T24" s="988"/>
      <c r="U24" s="988"/>
      <c r="V24" s="988"/>
      <c r="W24" s="988"/>
      <c r="X24" s="890"/>
      <c r="Y24" s="890"/>
      <c r="Z24" s="1046"/>
      <c r="AA24" s="1046"/>
      <c r="AB24" s="1046"/>
      <c r="AC24" s="1046"/>
      <c r="AD24" s="1046"/>
      <c r="AE24" s="1046"/>
      <c r="AF24" s="1046"/>
    </row>
    <row r="25" spans="1:37" ht="13.5">
      <c r="A25" s="1227" t="s">
        <v>398</v>
      </c>
      <c r="B25" s="1251" t="s">
        <v>399</v>
      </c>
      <c r="C25" s="1252"/>
      <c r="D25" s="1179"/>
      <c r="E25" s="1179"/>
      <c r="F25" s="1253"/>
      <c r="G25" s="1179"/>
      <c r="H25" s="1179"/>
      <c r="I25" s="1179"/>
      <c r="J25" s="1305"/>
      <c r="L25" s="1333"/>
      <c r="M25" s="1333"/>
      <c r="N25" s="1333"/>
      <c r="O25" s="1333"/>
      <c r="P25" s="1333"/>
      <c r="Q25" s="989"/>
      <c r="R25" s="989"/>
      <c r="S25" s="989"/>
      <c r="T25" s="988"/>
      <c r="U25" s="988"/>
      <c r="V25" s="988"/>
      <c r="W25" s="988"/>
      <c r="X25" s="890"/>
      <c r="Y25" s="890"/>
      <c r="Z25" s="1046"/>
      <c r="AA25" s="1046"/>
      <c r="AB25" s="1046"/>
      <c r="AC25" s="1046"/>
      <c r="AD25" s="1046"/>
      <c r="AE25" s="988"/>
      <c r="AF25" s="988"/>
    </row>
    <row r="26" spans="1:37" ht="13.5">
      <c r="A26" s="1254"/>
      <c r="B26" s="1238" t="s">
        <v>400</v>
      </c>
      <c r="C26" s="1255" t="e">
        <f ca="1">E29+SUM(E33:E39)</f>
        <v>#DIV/0!</v>
      </c>
      <c r="D26" s="1256"/>
      <c r="E26" s="894"/>
      <c r="F26" s="1257"/>
      <c r="G26" s="894"/>
      <c r="H26" s="894"/>
      <c r="I26" s="894"/>
      <c r="J26" s="1338"/>
      <c r="L26" s="1333"/>
      <c r="M26" s="1333"/>
      <c r="N26" s="1333"/>
      <c r="O26" s="1333"/>
      <c r="P26" s="1333"/>
      <c r="Q26" s="989"/>
      <c r="R26" s="989"/>
      <c r="S26" s="989"/>
      <c r="T26" s="988"/>
      <c r="U26" s="988"/>
      <c r="V26" s="988"/>
      <c r="W26" s="988"/>
      <c r="X26" s="890"/>
      <c r="Y26" s="890"/>
      <c r="Z26" s="1046"/>
      <c r="AA26" s="1046"/>
      <c r="AB26" s="1046"/>
      <c r="AC26" s="1046"/>
      <c r="AD26" s="1046"/>
      <c r="AE26" s="988"/>
      <c r="AF26" s="988"/>
    </row>
    <row r="27" spans="1:37" ht="13.5">
      <c r="A27" s="1254"/>
      <c r="B27" s="1258" t="s">
        <v>401</v>
      </c>
      <c r="C27" s="1259" t="e">
        <f ca="1">E30+SUM(I33:I39)</f>
        <v>#DIV/0!</v>
      </c>
      <c r="D27" s="1260"/>
      <c r="E27" s="1261"/>
      <c r="F27" s="1262"/>
      <c r="G27" s="1261"/>
      <c r="H27" s="1261"/>
      <c r="I27" s="1261"/>
      <c r="J27" s="1339"/>
      <c r="L27" s="1333"/>
      <c r="M27" s="1333"/>
      <c r="N27" s="1333"/>
      <c r="O27" s="1333"/>
      <c r="P27" s="1333"/>
      <c r="Q27" s="989"/>
      <c r="R27" s="989"/>
      <c r="S27" s="989"/>
      <c r="T27" s="988"/>
      <c r="U27" s="988"/>
      <c r="V27" s="988"/>
      <c r="W27" s="988"/>
      <c r="X27" s="890"/>
      <c r="Y27" s="890"/>
      <c r="Z27" s="1046"/>
      <c r="AA27" s="1046"/>
      <c r="AB27" s="1046"/>
      <c r="AC27" s="1046"/>
      <c r="AD27" s="1046"/>
      <c r="AE27" s="988"/>
      <c r="AF27" s="988"/>
    </row>
    <row r="28" spans="1:37" ht="13.5">
      <c r="A28" s="1227"/>
      <c r="B28" s="1263" t="s">
        <v>402</v>
      </c>
      <c r="C28" s="1264" t="s">
        <v>294</v>
      </c>
      <c r="D28" s="1264" t="s">
        <v>330</v>
      </c>
      <c r="E28" s="1265" t="s">
        <v>403</v>
      </c>
      <c r="F28" s="1266"/>
      <c r="G28" s="1194"/>
      <c r="H28" s="1194"/>
      <c r="I28" s="1194"/>
      <c r="J28" s="1308"/>
      <c r="L28" s="1333"/>
      <c r="M28" s="1333"/>
      <c r="N28" s="1333"/>
      <c r="O28" s="1333"/>
      <c r="P28" s="1333"/>
      <c r="Q28" s="989"/>
      <c r="R28" s="989"/>
      <c r="S28" s="989"/>
      <c r="T28" s="988"/>
      <c r="U28" s="988"/>
      <c r="V28" s="988"/>
      <c r="W28" s="988"/>
      <c r="X28" s="890"/>
      <c r="Y28" s="890"/>
      <c r="Z28" s="1046"/>
      <c r="AA28" s="1046"/>
      <c r="AB28" s="1046"/>
      <c r="AC28" s="1046"/>
      <c r="AD28" s="1046"/>
      <c r="AE28" s="988"/>
      <c r="AF28" s="988"/>
    </row>
    <row r="29" spans="1:37" ht="13.5">
      <c r="A29" s="1180"/>
      <c r="B29" s="1160" t="s">
        <v>404</v>
      </c>
      <c r="C29" s="1255" t="e">
        <f ca="1">ROUND(C5*C18*C19*C20*C21*C24,0)</f>
        <v>#DIV/0!</v>
      </c>
      <c r="D29" s="11"/>
      <c r="E29" s="1267" t="e">
        <f ca="1">ROUND(C29*D29,0)</f>
        <v>#DIV/0!</v>
      </c>
      <c r="F29" s="1268" t="s">
        <v>405</v>
      </c>
      <c r="G29" s="1269"/>
      <c r="H29" s="1269"/>
      <c r="I29" s="1269"/>
      <c r="J29" s="1340"/>
      <c r="L29" s="1333"/>
      <c r="M29" s="1333"/>
      <c r="N29" s="1333"/>
      <c r="O29" s="1333"/>
      <c r="P29" s="1333"/>
      <c r="Q29" s="989"/>
      <c r="R29" s="989"/>
      <c r="S29" s="989"/>
      <c r="T29" s="988"/>
      <c r="U29" s="988"/>
      <c r="V29" s="988"/>
      <c r="W29" s="988"/>
      <c r="X29" s="890"/>
      <c r="Y29" s="890"/>
      <c r="Z29" s="1046"/>
      <c r="AA29" s="1046"/>
      <c r="AB29" s="1046"/>
      <c r="AC29" s="1046"/>
      <c r="AD29" s="1046"/>
      <c r="AE29" s="890"/>
      <c r="AF29" s="890"/>
      <c r="AG29" s="889"/>
      <c r="AH29" s="889"/>
      <c r="AI29" s="889"/>
      <c r="AJ29" s="889"/>
    </row>
    <row r="30" spans="1:37" ht="24">
      <c r="A30" s="1270"/>
      <c r="B30" s="1271" t="s">
        <v>406</v>
      </c>
      <c r="C30" s="1204" t="e">
        <f ca="1">ROUND(IF(E2="工业",C29*M39,C29*M38),0)</f>
        <v>#DIV/0!</v>
      </c>
      <c r="D30" s="1272"/>
      <c r="E30" s="1267" t="e">
        <f ca="1">ROUND(C30*D30,0)</f>
        <v>#DIV/0!</v>
      </c>
      <c r="F30" s="1273" t="s">
        <v>407</v>
      </c>
      <c r="G30" s="1274"/>
      <c r="H30" s="1274"/>
      <c r="I30" s="1274"/>
      <c r="J30" s="1341"/>
      <c r="L30" s="890"/>
      <c r="M30" s="890"/>
      <c r="N30" s="890"/>
      <c r="O30" s="890"/>
      <c r="P30" s="890"/>
      <c r="Q30" s="890"/>
      <c r="R30" s="890"/>
      <c r="S30" s="890"/>
      <c r="T30" s="890"/>
      <c r="U30" s="890"/>
      <c r="V30" s="890"/>
      <c r="W30" s="890"/>
      <c r="X30" s="890"/>
      <c r="Y30" s="890"/>
      <c r="Z30" s="890"/>
      <c r="AA30" s="890"/>
      <c r="AB30" s="890"/>
      <c r="AC30" s="890"/>
      <c r="AD30" s="890"/>
      <c r="AE30" s="890"/>
      <c r="AF30" s="890"/>
      <c r="AG30" s="889"/>
      <c r="AH30" s="889"/>
      <c r="AI30" s="889"/>
      <c r="AJ30" s="889"/>
    </row>
    <row r="31" spans="1:37">
      <c r="A31" s="1275"/>
      <c r="B31" s="1276" t="s">
        <v>408</v>
      </c>
      <c r="C31" s="1277" t="s">
        <v>409</v>
      </c>
      <c r="D31" s="1194"/>
      <c r="E31" s="1277"/>
      <c r="F31" s="1277"/>
      <c r="G31" s="1192" t="s">
        <v>407</v>
      </c>
      <c r="H31" s="1194"/>
      <c r="I31" s="1342"/>
      <c r="J31" s="1308"/>
      <c r="L31" s="890"/>
      <c r="M31" s="890"/>
      <c r="N31" s="890"/>
      <c r="O31" s="890"/>
      <c r="P31" s="890"/>
      <c r="Q31" s="890"/>
      <c r="R31" s="890"/>
      <c r="S31" s="890"/>
      <c r="T31" s="890"/>
      <c r="U31" s="890"/>
      <c r="V31" s="890"/>
      <c r="W31" s="890"/>
      <c r="X31" s="890"/>
      <c r="Y31" s="890"/>
      <c r="Z31" s="890"/>
      <c r="AA31" s="890"/>
      <c r="AB31" s="890"/>
      <c r="AC31" s="890"/>
      <c r="AD31" s="890"/>
      <c r="AE31" s="890"/>
      <c r="AF31" s="890"/>
      <c r="AG31" s="889"/>
      <c r="AH31" s="889"/>
      <c r="AI31" s="889"/>
      <c r="AJ31" s="889"/>
    </row>
    <row r="32" spans="1:37" ht="24">
      <c r="A32" s="1180"/>
      <c r="B32" s="1278"/>
      <c r="C32" s="1279" t="s">
        <v>294</v>
      </c>
      <c r="D32" s="1280" t="s">
        <v>330</v>
      </c>
      <c r="E32" s="1280" t="s">
        <v>403</v>
      </c>
      <c r="F32" s="901" t="s">
        <v>410</v>
      </c>
      <c r="G32" s="1281" t="s">
        <v>294</v>
      </c>
      <c r="H32" s="1281" t="s">
        <v>330</v>
      </c>
      <c r="I32" s="1281" t="s">
        <v>403</v>
      </c>
      <c r="J32" s="1343"/>
      <c r="L32" s="890"/>
      <c r="M32" s="890"/>
      <c r="N32" s="890"/>
      <c r="O32" s="890"/>
      <c r="P32" s="890"/>
      <c r="Q32" s="890"/>
      <c r="R32" s="890"/>
      <c r="S32" s="890"/>
      <c r="T32" s="890"/>
      <c r="U32" s="890"/>
      <c r="V32" s="890"/>
      <c r="W32" s="890"/>
      <c r="X32" s="890"/>
      <c r="Y32" s="890"/>
      <c r="Z32" s="890"/>
      <c r="AA32" s="890"/>
      <c r="AB32" s="890"/>
      <c r="AC32" s="890"/>
      <c r="AD32" s="890"/>
      <c r="AE32" s="890"/>
      <c r="AF32" s="890"/>
      <c r="AG32" s="889"/>
      <c r="AH32" s="889"/>
      <c r="AI32" s="889"/>
      <c r="AJ32" s="889"/>
    </row>
    <row r="33" spans="1:37" ht="12.75">
      <c r="A33" s="1694" t="s">
        <v>411</v>
      </c>
      <c r="B33" s="1282" t="s">
        <v>412</v>
      </c>
      <c r="C33" s="1255">
        <f ca="1">ROUND(D5*C19*C20*C24*F33,0)</f>
        <v>0</v>
      </c>
      <c r="D33" s="11"/>
      <c r="E33" s="17">
        <f t="shared" ref="E33:E39" ca="1" si="0">ROUND(C33*D33,0)</f>
        <v>0</v>
      </c>
      <c r="F33" s="17">
        <f>SUMIF('2014修正'!A45:A56,G2,'2014修正'!B45:B56)</f>
        <v>0.7</v>
      </c>
      <c r="G33" s="17">
        <f t="shared" ref="G33" ca="1" si="1">ROUND(IF(E2="工业",C33*$M$39,C33*$M$38),0)</f>
        <v>0</v>
      </c>
      <c r="H33" s="17">
        <f>D33</f>
        <v>0</v>
      </c>
      <c r="I33" s="17">
        <f t="shared" ref="I33:I39" ca="1" si="2">ROUND(G33*H33,0)</f>
        <v>0</v>
      </c>
      <c r="J33" s="1344"/>
      <c r="L33" s="890"/>
      <c r="M33" s="890"/>
      <c r="N33" s="890"/>
      <c r="O33" s="890"/>
      <c r="P33" s="890"/>
      <c r="Q33" s="890"/>
      <c r="R33" s="890"/>
      <c r="S33" s="890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988"/>
      <c r="AF33" s="988"/>
    </row>
    <row r="34" spans="1:37" ht="12.75">
      <c r="A34" s="1695"/>
      <c r="B34" s="1085" t="s">
        <v>413</v>
      </c>
      <c r="C34" s="1255">
        <f ca="1">ROUND(D5*C19*C20*C24*F34,0)</f>
        <v>0</v>
      </c>
      <c r="D34" s="11"/>
      <c r="E34" s="17">
        <f t="shared" ca="1" si="0"/>
        <v>0</v>
      </c>
      <c r="F34" s="17">
        <f>SUMIF('2014修正'!A45:A56,G2,'2014修正'!C45:C56)</f>
        <v>0.4</v>
      </c>
      <c r="G34" s="17">
        <f ca="1">ROUND(IF(E2="工业",C34*$M$39,C34*$M$38),0)</f>
        <v>0</v>
      </c>
      <c r="H34" s="17">
        <f t="shared" ref="H34:H39" si="3">D34</f>
        <v>0</v>
      </c>
      <c r="I34" s="17">
        <f t="shared" ca="1" si="2"/>
        <v>0</v>
      </c>
      <c r="J34" s="1344"/>
      <c r="L34" s="890"/>
      <c r="M34" s="890"/>
      <c r="N34" s="890"/>
      <c r="O34" s="890"/>
      <c r="P34" s="890"/>
      <c r="Q34" s="890"/>
      <c r="R34" s="890"/>
      <c r="S34" s="890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988"/>
      <c r="AF34" s="988"/>
    </row>
    <row r="35" spans="1:37" ht="12.75">
      <c r="A35" s="1695"/>
      <c r="B35" s="1085" t="s">
        <v>414</v>
      </c>
      <c r="C35" s="1255">
        <f ca="1">ROUND(D5*C19*C20*C24*F35,0)</f>
        <v>0</v>
      </c>
      <c r="D35" s="11"/>
      <c r="E35" s="17">
        <f t="shared" ca="1" si="0"/>
        <v>0</v>
      </c>
      <c r="F35" s="17">
        <f>SUMIF('2014修正'!A45:A56,G2,'2014修正'!D45:D56)</f>
        <v>0.28000000000000003</v>
      </c>
      <c r="G35" s="17">
        <f ca="1">ROUND(IF(E2="工业",C35*$M$39,C35*$M$38),0)</f>
        <v>0</v>
      </c>
      <c r="H35" s="17">
        <f t="shared" si="3"/>
        <v>0</v>
      </c>
      <c r="I35" s="17">
        <f t="shared" ca="1" si="2"/>
        <v>0</v>
      </c>
      <c r="J35" s="1344"/>
      <c r="L35" s="890"/>
      <c r="M35" s="890"/>
      <c r="N35" s="890"/>
      <c r="O35" s="890"/>
      <c r="P35" s="890"/>
      <c r="Q35" s="890"/>
      <c r="R35" s="890"/>
      <c r="S35" s="890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988"/>
      <c r="AF35" s="988"/>
    </row>
    <row r="36" spans="1:37" ht="12.75">
      <c r="A36" s="1696"/>
      <c r="B36" s="1085" t="s">
        <v>415</v>
      </c>
      <c r="C36" s="1255">
        <f ca="1">ROUND(D5*C19*C20*C24*F36,0)</f>
        <v>0</v>
      </c>
      <c r="D36" s="11"/>
      <c r="E36" s="17">
        <f t="shared" ca="1" si="0"/>
        <v>0</v>
      </c>
      <c r="F36" s="17">
        <f>SUMIF('2014修正'!A45:A56,G2,'2014修正'!E45:E56)</f>
        <v>0.25</v>
      </c>
      <c r="G36" s="17">
        <f ca="1">ROUND(IF(E2="工业",C36*$M$39,C36*$M$38),0)</f>
        <v>0</v>
      </c>
      <c r="H36" s="17">
        <f t="shared" si="3"/>
        <v>0</v>
      </c>
      <c r="I36" s="17">
        <f t="shared" ca="1" si="2"/>
        <v>0</v>
      </c>
      <c r="J36" s="1344"/>
      <c r="L36" s="1345"/>
      <c r="M36" s="1345"/>
      <c r="N36" s="890"/>
      <c r="O36" s="890"/>
      <c r="P36" s="890"/>
      <c r="Q36" s="890"/>
      <c r="R36" s="890"/>
      <c r="S36" s="890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988"/>
      <c r="AF36" s="988"/>
    </row>
    <row r="37" spans="1:37" ht="12.75">
      <c r="A37" s="1283"/>
      <c r="B37" s="1085" t="s">
        <v>416</v>
      </c>
      <c r="C37" s="17">
        <f ca="1">ROUND(D5*C19*C20*C24*F37,0)</f>
        <v>0</v>
      </c>
      <c r="D37" s="11"/>
      <c r="E37" s="17">
        <f t="shared" ca="1" si="0"/>
        <v>0</v>
      </c>
      <c r="F37" s="1255">
        <f>SUMIF('2014修正'!A45:A56,G2,'2014修正'!F45:F56)</f>
        <v>0.25</v>
      </c>
      <c r="G37" s="17">
        <f ca="1">ROUND(IF(E2="工业",C37*$M$39,C37*$M$38),0)</f>
        <v>0</v>
      </c>
      <c r="H37" s="17">
        <f t="shared" si="3"/>
        <v>0</v>
      </c>
      <c r="I37" s="17">
        <f t="shared" ca="1" si="2"/>
        <v>0</v>
      </c>
      <c r="J37" s="1344"/>
      <c r="L37" s="1346" t="s">
        <v>417</v>
      </c>
      <c r="M37" s="1305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</row>
    <row r="38" spans="1:37" ht="12.75">
      <c r="A38" s="1283"/>
      <c r="B38" s="1085" t="s">
        <v>418</v>
      </c>
      <c r="C38" s="17">
        <f ca="1">ROUND(E5*C19*C41*C24*F38,0)</f>
        <v>0</v>
      </c>
      <c r="D38" s="11"/>
      <c r="E38" s="17">
        <f t="shared" ca="1" si="0"/>
        <v>0</v>
      </c>
      <c r="F38" s="1255">
        <f>SUMIF('2014修正'!A45:A56,G2,'2014修正'!G45:G56)</f>
        <v>0.25</v>
      </c>
      <c r="G38" s="17">
        <f ca="1">ROUND(IF(E2="工业",C38*$M$39,C38*$M$38),0)</f>
        <v>0</v>
      </c>
      <c r="H38" s="17">
        <f t="shared" si="3"/>
        <v>0</v>
      </c>
      <c r="I38" s="17">
        <f t="shared" ca="1" si="2"/>
        <v>0</v>
      </c>
      <c r="J38" s="1344"/>
      <c r="L38" s="1347" t="s">
        <v>419</v>
      </c>
      <c r="M38" s="1348">
        <v>0.25</v>
      </c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988"/>
      <c r="AF38" s="988"/>
    </row>
    <row r="39" spans="1:37" ht="12.75">
      <c r="A39" s="1270"/>
      <c r="B39" s="1284" t="s">
        <v>420</v>
      </c>
      <c r="C39" s="1204">
        <f ca="1">ROUND(D5*C19*C41*C24*F39,0)</f>
        <v>0</v>
      </c>
      <c r="D39" s="1272"/>
      <c r="E39" s="1204">
        <f t="shared" ca="1" si="0"/>
        <v>0</v>
      </c>
      <c r="F39" s="1285">
        <f>SUMIF('2014修正'!A45:A56,G2,'2014修正'!H45:H56)</f>
        <v>0.2</v>
      </c>
      <c r="G39" s="1204">
        <f ca="1">ROUND(IF(E2="工业",C39*$M$39,C39*$M$38),0)</f>
        <v>0</v>
      </c>
      <c r="H39" s="1204">
        <f t="shared" si="3"/>
        <v>0</v>
      </c>
      <c r="I39" s="1204">
        <f t="shared" ca="1" si="2"/>
        <v>0</v>
      </c>
      <c r="J39" s="1349"/>
      <c r="L39" s="1350" t="s">
        <v>137</v>
      </c>
      <c r="M39" s="1351">
        <v>0.15</v>
      </c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s="886" customFormat="1">
      <c r="A40" s="890"/>
      <c r="B40" s="890"/>
      <c r="C40" s="890"/>
      <c r="D40" s="890"/>
      <c r="E40" s="890"/>
      <c r="F40" s="890"/>
      <c r="G40" s="890"/>
      <c r="H40" s="890"/>
      <c r="I40" s="890"/>
      <c r="J40" s="890"/>
      <c r="K40" s="890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  <c r="AG40" s="891"/>
      <c r="AH40" s="891"/>
      <c r="AI40" s="891"/>
      <c r="AJ40" s="891"/>
    </row>
    <row r="41" spans="1:37" s="886" customFormat="1" ht="12.75">
      <c r="A41" s="988"/>
      <c r="B41" s="1286" t="s">
        <v>421</v>
      </c>
      <c r="C41" s="1287">
        <f ca="1">ROUND(POWER(1+E41,H41-G41)*(POWER(1+E41,G41)-1)/(POWER(1+E41,H41)-1),4)</f>
        <v>0</v>
      </c>
      <c r="D41" s="17" t="s">
        <v>422</v>
      </c>
      <c r="E41" s="1288">
        <f ca="1">G20</f>
        <v>6.0999999999999999E-2</v>
      </c>
      <c r="F41" s="17" t="s">
        <v>423</v>
      </c>
      <c r="G41" s="1289"/>
      <c r="H41" s="17">
        <v>50</v>
      </c>
      <c r="I41" s="890"/>
      <c r="J41" s="890"/>
      <c r="K41" s="890"/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  <c r="AG41" s="891"/>
      <c r="AH41" s="891"/>
      <c r="AI41" s="891"/>
      <c r="AJ41" s="891"/>
    </row>
    <row r="42" spans="1:37" s="886" customFormat="1">
      <c r="A42" s="988"/>
      <c r="B42" s="998"/>
      <c r="C42" s="890"/>
      <c r="D42" s="890"/>
      <c r="E42" s="890"/>
      <c r="F42" s="890"/>
      <c r="G42" s="890"/>
      <c r="H42" s="890"/>
      <c r="I42" s="890"/>
      <c r="J42" s="890"/>
      <c r="K42" s="890"/>
      <c r="L42" s="890"/>
      <c r="M42" s="890"/>
      <c r="N42" s="890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  <c r="AG42" s="891"/>
      <c r="AH42" s="891"/>
      <c r="AI42" s="891"/>
      <c r="AJ42" s="891"/>
    </row>
    <row r="43" spans="1:37" s="886" customFormat="1">
      <c r="A43" s="988"/>
      <c r="B43" s="998"/>
      <c r="C43" s="890"/>
      <c r="D43" s="890"/>
      <c r="E43" s="890"/>
      <c r="F43" s="890"/>
      <c r="G43" s="890"/>
      <c r="H43" s="890"/>
      <c r="I43" s="890"/>
      <c r="J43" s="890"/>
      <c r="K43" s="890"/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890"/>
      <c r="Z43" s="988"/>
      <c r="AA43" s="988"/>
      <c r="AB43" s="988"/>
      <c r="AC43" s="988"/>
      <c r="AD43" s="988"/>
      <c r="AE43" s="988"/>
      <c r="AF43" s="988"/>
      <c r="AG43" s="891"/>
      <c r="AH43" s="891"/>
      <c r="AI43" s="891"/>
      <c r="AJ43" s="891"/>
    </row>
    <row r="44" spans="1:37" s="886" customFormat="1">
      <c r="A44" s="988"/>
      <c r="B44" s="998"/>
      <c r="C44" s="890"/>
      <c r="D44" s="890"/>
      <c r="E44" s="890"/>
      <c r="F44" s="890"/>
      <c r="G44" s="890"/>
      <c r="H44" s="890"/>
      <c r="I44" s="890"/>
      <c r="J44" s="890"/>
      <c r="K44" s="890"/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890"/>
      <c r="X44" s="890"/>
      <c r="Y44" s="890"/>
      <c r="Z44" s="988"/>
      <c r="AA44" s="988"/>
      <c r="AB44" s="988"/>
      <c r="AC44" s="988"/>
      <c r="AD44" s="988"/>
      <c r="AE44" s="988"/>
      <c r="AF44" s="988"/>
      <c r="AG44" s="891"/>
      <c r="AH44" s="891"/>
      <c r="AI44" s="891"/>
      <c r="AJ44" s="891"/>
    </row>
    <row r="45" spans="1:37" s="886" customFormat="1" ht="13.5">
      <c r="A45" s="999" t="s">
        <v>424</v>
      </c>
      <c r="B45" s="1000"/>
      <c r="C45" s="839"/>
      <c r="D45" s="839"/>
      <c r="E45" s="839"/>
      <c r="F45" s="860"/>
      <c r="G45" s="839"/>
      <c r="H45" s="860"/>
      <c r="I45" s="839"/>
      <c r="J45" s="839"/>
      <c r="K45" s="839"/>
      <c r="L45" s="839"/>
      <c r="M45" s="839"/>
      <c r="O45" s="890"/>
      <c r="P45" s="890"/>
      <c r="Q45" s="890"/>
      <c r="R45" s="890"/>
      <c r="S45" s="890"/>
      <c r="T45" s="890"/>
      <c r="U45" s="890"/>
      <c r="V45" s="890"/>
      <c r="W45" s="890"/>
      <c r="X45" s="890"/>
      <c r="Y45" s="890"/>
      <c r="Z45" s="988"/>
      <c r="AA45" s="988"/>
      <c r="AB45" s="988"/>
      <c r="AC45" s="988"/>
      <c r="AD45" s="988"/>
      <c r="AE45" s="988"/>
      <c r="AF45" s="988"/>
      <c r="AG45" s="891"/>
      <c r="AH45" s="891"/>
      <c r="AI45" s="891"/>
      <c r="AJ45" s="891"/>
    </row>
    <row r="46" spans="1:37" s="886" customFormat="1" ht="13.5">
      <c r="A46" s="1001" t="s">
        <v>377</v>
      </c>
      <c r="B46" s="1002">
        <f>1+E48</f>
        <v>1</v>
      </c>
      <c r="C46" s="1003"/>
      <c r="D46" s="1004"/>
      <c r="E46" s="1005"/>
      <c r="F46" s="999"/>
      <c r="G46" s="860"/>
      <c r="H46" s="839"/>
      <c r="I46" s="839"/>
      <c r="J46" s="839"/>
      <c r="K46" s="839"/>
      <c r="L46" s="839"/>
      <c r="N46" s="890"/>
      <c r="O46" s="890"/>
      <c r="P46" s="890"/>
      <c r="Q46" s="890"/>
      <c r="R46" s="890"/>
      <c r="S46" s="890"/>
      <c r="T46" s="890"/>
      <c r="U46" s="890"/>
      <c r="V46" s="890"/>
      <c r="W46" s="890"/>
      <c r="X46" s="890"/>
      <c r="Y46" s="988"/>
      <c r="Z46" s="988"/>
      <c r="AA46" s="988"/>
      <c r="AB46" s="988"/>
      <c r="AC46" s="988"/>
      <c r="AD46" s="988"/>
      <c r="AE46" s="988"/>
      <c r="AF46" s="891"/>
      <c r="AG46" s="891"/>
      <c r="AH46" s="891"/>
      <c r="AI46" s="891"/>
    </row>
    <row r="47" spans="1:37" s="886" customFormat="1" ht="24">
      <c r="A47" s="1006" t="s">
        <v>425</v>
      </c>
      <c r="B47" s="1007" t="s">
        <v>426</v>
      </c>
      <c r="C47" s="1007" t="s">
        <v>427</v>
      </c>
      <c r="D47" s="1007" t="s">
        <v>428</v>
      </c>
      <c r="E47" s="1008" t="s">
        <v>429</v>
      </c>
      <c r="F47" s="1290" t="s">
        <v>430</v>
      </c>
      <c r="G47" s="1007" t="s">
        <v>368</v>
      </c>
      <c r="H47" s="1291" t="s">
        <v>431</v>
      </c>
      <c r="I47" s="1007" t="s">
        <v>432</v>
      </c>
      <c r="J47" s="1009" t="s">
        <v>433</v>
      </c>
      <c r="K47" s="1009" t="s">
        <v>434</v>
      </c>
      <c r="L47" s="1009" t="s">
        <v>435</v>
      </c>
      <c r="M47" s="1009" t="s">
        <v>436</v>
      </c>
      <c r="N47" s="1009" t="s">
        <v>437</v>
      </c>
      <c r="O47" s="890"/>
      <c r="P47" s="890"/>
      <c r="Q47" s="890"/>
      <c r="R47" s="890"/>
      <c r="S47" s="890"/>
      <c r="T47" s="890"/>
      <c r="U47" s="890"/>
      <c r="V47" s="890"/>
      <c r="W47" s="890"/>
      <c r="X47" s="890"/>
      <c r="Y47" s="890"/>
      <c r="Z47" s="890"/>
      <c r="AA47" s="988"/>
      <c r="AB47" s="988"/>
      <c r="AC47" s="988"/>
      <c r="AD47" s="988"/>
      <c r="AE47" s="988"/>
      <c r="AF47" s="988"/>
      <c r="AG47" s="988"/>
      <c r="AH47" s="891"/>
      <c r="AI47" s="891"/>
      <c r="AJ47" s="891"/>
      <c r="AK47" s="891"/>
    </row>
    <row r="48" spans="1:37" s="886" customFormat="1" ht="36">
      <c r="A48" s="1006" t="s">
        <v>438</v>
      </c>
      <c r="B48" s="1010" t="str">
        <f>估价对象房地状况!C4</f>
        <v>估价对象位于XX商圈，周边商业氛围成熟，人流量大，商业繁华度好</v>
      </c>
      <c r="C48" s="1011"/>
      <c r="D48" s="1012">
        <f t="shared" ref="D48:D56" si="4">SUMIF($J$47:$N$47,C48,J48:N48)</f>
        <v>0</v>
      </c>
      <c r="E48" s="1013">
        <f>ROUND(SUM(D48:D56),4)</f>
        <v>0</v>
      </c>
      <c r="F48" s="1292" t="str">
        <f>IF(E2="商业",SUMIF(L1:L12,G2,N1:N12),"——")</f>
        <v>——</v>
      </c>
      <c r="G48" s="1293"/>
      <c r="H48" s="1294" t="str">
        <f t="shared" ref="H48:H56" si="5">IFERROR($F$48*I48/2,"——")</f>
        <v>——</v>
      </c>
      <c r="I48" s="1352">
        <v>0.33</v>
      </c>
      <c r="J48" s="14">
        <f t="shared" ref="J48:J56" si="6">K48+$G48</f>
        <v>0</v>
      </c>
      <c r="K48" s="14">
        <f t="shared" ref="K48:K56" si="7">$L48+$G48</f>
        <v>0</v>
      </c>
      <c r="L48" s="14">
        <v>0</v>
      </c>
      <c r="M48" s="14">
        <f t="shared" ref="M48:N56" si="8">L48-$G48</f>
        <v>0</v>
      </c>
      <c r="N48" s="14">
        <f t="shared" si="8"/>
        <v>0</v>
      </c>
      <c r="O48" s="890"/>
      <c r="P48" s="890"/>
      <c r="Q48" s="890"/>
      <c r="R48" s="890"/>
      <c r="S48" s="890"/>
      <c r="T48" s="890"/>
      <c r="U48" s="890"/>
      <c r="V48" s="890"/>
      <c r="W48" s="890"/>
      <c r="X48" s="890"/>
      <c r="Y48" s="890"/>
      <c r="Z48" s="890"/>
      <c r="AA48" s="988"/>
      <c r="AB48" s="988"/>
      <c r="AC48" s="988"/>
      <c r="AD48" s="988"/>
      <c r="AE48" s="988"/>
      <c r="AF48" s="988"/>
      <c r="AG48" s="988"/>
      <c r="AH48" s="891"/>
      <c r="AI48" s="891"/>
      <c r="AJ48" s="891"/>
      <c r="AK48" s="891"/>
    </row>
    <row r="49" spans="1:37" s="886" customFormat="1" ht="48">
      <c r="A49" s="1006" t="s">
        <v>145</v>
      </c>
      <c r="B49" s="1007" t="str">
        <f>估价对象房地状况!C6</f>
        <v>估价对象周边道路状况、公共交通通达情况、停车便捷程度，综合评价交通便捷度较好</v>
      </c>
      <c r="C49" s="1011"/>
      <c r="D49" s="1012">
        <f t="shared" si="4"/>
        <v>0</v>
      </c>
      <c r="E49" s="1016"/>
      <c r="F49" s="1292"/>
      <c r="G49" s="1293"/>
      <c r="H49" s="1294" t="str">
        <f t="shared" si="5"/>
        <v>——</v>
      </c>
      <c r="I49" s="1352">
        <v>0.25</v>
      </c>
      <c r="J49" s="14">
        <f t="shared" si="6"/>
        <v>0</v>
      </c>
      <c r="K49" s="14">
        <f t="shared" si="7"/>
        <v>0</v>
      </c>
      <c r="L49" s="14">
        <v>0</v>
      </c>
      <c r="M49" s="14">
        <f t="shared" si="8"/>
        <v>0</v>
      </c>
      <c r="N49" s="14">
        <f t="shared" si="8"/>
        <v>0</v>
      </c>
      <c r="O49" s="890"/>
      <c r="P49" s="890"/>
      <c r="Q49" s="890"/>
      <c r="R49" s="890"/>
      <c r="S49" s="890"/>
      <c r="T49" s="890"/>
      <c r="U49" s="890"/>
      <c r="V49" s="890"/>
      <c r="W49" s="890"/>
      <c r="X49" s="890"/>
      <c r="Y49" s="890"/>
      <c r="Z49" s="890"/>
      <c r="AA49" s="988"/>
      <c r="AB49" s="988"/>
      <c r="AC49" s="988"/>
      <c r="AD49" s="988"/>
      <c r="AE49" s="988"/>
      <c r="AF49" s="988"/>
      <c r="AG49" s="988"/>
      <c r="AH49" s="891"/>
      <c r="AI49" s="891"/>
      <c r="AJ49" s="891"/>
      <c r="AK49" s="891"/>
    </row>
    <row r="50" spans="1:37" s="886" customFormat="1" ht="24">
      <c r="A50" s="1006" t="s">
        <v>38</v>
      </c>
      <c r="B50" s="1007" t="str">
        <f>估价对象房地状况!C7</f>
        <v>零星有其他用地，基本不影响本宗地</v>
      </c>
      <c r="C50" s="1011"/>
      <c r="D50" s="1012">
        <f t="shared" si="4"/>
        <v>0</v>
      </c>
      <c r="E50" s="1016"/>
      <c r="F50" s="1292"/>
      <c r="G50" s="1293"/>
      <c r="H50" s="1294" t="str">
        <f t="shared" si="5"/>
        <v>——</v>
      </c>
      <c r="I50" s="1352">
        <v>0.05</v>
      </c>
      <c r="J50" s="14">
        <f t="shared" si="6"/>
        <v>0</v>
      </c>
      <c r="K50" s="14">
        <f t="shared" si="7"/>
        <v>0</v>
      </c>
      <c r="L50" s="14">
        <v>0</v>
      </c>
      <c r="M50" s="14">
        <f t="shared" si="8"/>
        <v>0</v>
      </c>
      <c r="N50" s="14">
        <f t="shared" si="8"/>
        <v>0</v>
      </c>
      <c r="O50" s="890"/>
      <c r="P50" s="890"/>
      <c r="Q50" s="890"/>
      <c r="R50" s="890"/>
      <c r="S50" s="890"/>
      <c r="T50" s="890"/>
      <c r="U50" s="890"/>
      <c r="V50" s="890"/>
      <c r="W50" s="890"/>
      <c r="X50" s="890"/>
      <c r="Y50" s="890"/>
      <c r="Z50" s="890"/>
      <c r="AA50" s="988"/>
      <c r="AB50" s="988"/>
      <c r="AC50" s="988"/>
      <c r="AD50" s="988"/>
      <c r="AE50" s="988"/>
      <c r="AF50" s="988"/>
      <c r="AG50" s="988"/>
      <c r="AH50" s="891"/>
      <c r="AI50" s="891"/>
      <c r="AJ50" s="891"/>
      <c r="AK50" s="891"/>
    </row>
    <row r="51" spans="1:37" s="886" customFormat="1" ht="36">
      <c r="A51" s="1006" t="s">
        <v>439</v>
      </c>
      <c r="B51" s="1017" t="s">
        <v>440</v>
      </c>
      <c r="C51" s="1011"/>
      <c r="D51" s="1012">
        <f t="shared" si="4"/>
        <v>0</v>
      </c>
      <c r="E51" s="1016"/>
      <c r="F51" s="1292"/>
      <c r="G51" s="1293"/>
      <c r="H51" s="1294" t="str">
        <f t="shared" si="5"/>
        <v>——</v>
      </c>
      <c r="I51" s="1352">
        <v>0.05</v>
      </c>
      <c r="J51" s="14">
        <f t="shared" si="6"/>
        <v>0</v>
      </c>
      <c r="K51" s="14">
        <f t="shared" si="7"/>
        <v>0</v>
      </c>
      <c r="L51" s="14">
        <v>0</v>
      </c>
      <c r="M51" s="14">
        <f t="shared" si="8"/>
        <v>0</v>
      </c>
      <c r="N51" s="14">
        <f t="shared" si="8"/>
        <v>0</v>
      </c>
      <c r="O51" s="890"/>
      <c r="P51" s="890"/>
      <c r="Q51" s="890"/>
      <c r="R51" s="890"/>
      <c r="S51" s="890"/>
      <c r="T51" s="890"/>
      <c r="U51" s="890"/>
      <c r="V51" s="890"/>
      <c r="W51" s="890"/>
      <c r="X51" s="890"/>
      <c r="Y51" s="890"/>
      <c r="Z51" s="890"/>
      <c r="AA51" s="988"/>
      <c r="AB51" s="988"/>
      <c r="AC51" s="988"/>
      <c r="AD51" s="988"/>
      <c r="AE51" s="988"/>
      <c r="AF51" s="988"/>
      <c r="AG51" s="988"/>
      <c r="AH51" s="891"/>
      <c r="AI51" s="891"/>
      <c r="AJ51" s="891"/>
      <c r="AK51" s="891"/>
    </row>
    <row r="52" spans="1:37" s="886" customFormat="1" ht="24">
      <c r="A52" s="1006" t="s">
        <v>441</v>
      </c>
      <c r="B52" s="1007">
        <f>估价对象房地状况!C12</f>
        <v>0</v>
      </c>
      <c r="C52" s="1011"/>
      <c r="D52" s="1012">
        <f t="shared" si="4"/>
        <v>0</v>
      </c>
      <c r="E52" s="1016"/>
      <c r="F52" s="1292"/>
      <c r="G52" s="1293"/>
      <c r="H52" s="1294" t="str">
        <f t="shared" si="5"/>
        <v>——</v>
      </c>
      <c r="I52" s="1352">
        <v>0.08</v>
      </c>
      <c r="J52" s="14">
        <f t="shared" si="6"/>
        <v>0</v>
      </c>
      <c r="K52" s="14">
        <f t="shared" si="7"/>
        <v>0</v>
      </c>
      <c r="L52" s="14">
        <v>0</v>
      </c>
      <c r="M52" s="14">
        <f t="shared" si="8"/>
        <v>0</v>
      </c>
      <c r="N52" s="14">
        <f t="shared" si="8"/>
        <v>0</v>
      </c>
      <c r="O52" s="890"/>
      <c r="P52" s="890"/>
      <c r="Q52" s="890"/>
      <c r="R52" s="890"/>
      <c r="S52" s="890"/>
      <c r="T52" s="890"/>
      <c r="U52" s="890"/>
      <c r="V52" s="890"/>
      <c r="W52" s="890"/>
      <c r="X52" s="890"/>
      <c r="Y52" s="890"/>
      <c r="Z52" s="890"/>
      <c r="AA52" s="988"/>
      <c r="AB52" s="988"/>
      <c r="AC52" s="988"/>
      <c r="AD52" s="988"/>
      <c r="AE52" s="988"/>
      <c r="AF52" s="988"/>
      <c r="AG52" s="988"/>
      <c r="AH52" s="891"/>
      <c r="AI52" s="891"/>
      <c r="AJ52" s="891"/>
      <c r="AK52" s="891"/>
    </row>
    <row r="53" spans="1:37" s="886" customFormat="1" ht="24">
      <c r="A53" s="1006" t="s">
        <v>442</v>
      </c>
      <c r="B53" s="1018" t="s">
        <v>443</v>
      </c>
      <c r="C53" s="1011"/>
      <c r="D53" s="1012">
        <f t="shared" si="4"/>
        <v>0</v>
      </c>
      <c r="E53" s="1016"/>
      <c r="F53" s="1292"/>
      <c r="G53" s="1293"/>
      <c r="H53" s="1294" t="str">
        <f t="shared" si="5"/>
        <v>——</v>
      </c>
      <c r="I53" s="1352">
        <v>0.03</v>
      </c>
      <c r="J53" s="14">
        <f t="shared" si="6"/>
        <v>0</v>
      </c>
      <c r="K53" s="14">
        <f t="shared" si="7"/>
        <v>0</v>
      </c>
      <c r="L53" s="14">
        <v>0</v>
      </c>
      <c r="M53" s="14">
        <f t="shared" si="8"/>
        <v>0</v>
      </c>
      <c r="N53" s="14">
        <f t="shared" si="8"/>
        <v>0</v>
      </c>
      <c r="O53" s="890"/>
      <c r="P53" s="890"/>
      <c r="Q53" s="890"/>
      <c r="R53" s="890"/>
      <c r="S53" s="890"/>
      <c r="T53" s="890"/>
      <c r="U53" s="890"/>
      <c r="V53" s="890"/>
      <c r="W53" s="890"/>
      <c r="X53" s="890"/>
      <c r="Y53" s="890"/>
      <c r="Z53" s="890"/>
      <c r="AA53" s="988"/>
      <c r="AB53" s="988"/>
      <c r="AC53" s="988"/>
      <c r="AD53" s="988"/>
      <c r="AE53" s="988"/>
      <c r="AF53" s="988"/>
      <c r="AG53" s="988"/>
      <c r="AH53" s="891"/>
      <c r="AI53" s="891"/>
      <c r="AJ53" s="891"/>
      <c r="AK53" s="891"/>
    </row>
    <row r="54" spans="1:37" s="886" customFormat="1" ht="24">
      <c r="A54" s="827" t="s">
        <v>444</v>
      </c>
      <c r="B54" s="1024" t="str">
        <f>估价对象房地状况!C9</f>
        <v>估价对象所在区域公共配套设施齐备情况</v>
      </c>
      <c r="C54" s="1011"/>
      <c r="D54" s="1012">
        <f t="shared" si="4"/>
        <v>0</v>
      </c>
      <c r="E54" s="1016"/>
      <c r="F54" s="1292"/>
      <c r="G54" s="1293"/>
      <c r="H54" s="1294" t="str">
        <f t="shared" si="5"/>
        <v>——</v>
      </c>
      <c r="I54" s="1352">
        <v>0.05</v>
      </c>
      <c r="J54" s="14">
        <f t="shared" si="6"/>
        <v>0</v>
      </c>
      <c r="K54" s="14">
        <f t="shared" si="7"/>
        <v>0</v>
      </c>
      <c r="L54" s="14">
        <v>0</v>
      </c>
      <c r="M54" s="14">
        <f t="shared" si="8"/>
        <v>0</v>
      </c>
      <c r="N54" s="14">
        <f t="shared" si="8"/>
        <v>0</v>
      </c>
      <c r="O54" s="890"/>
      <c r="P54" s="890"/>
      <c r="Q54" s="890"/>
      <c r="R54" s="890"/>
      <c r="S54" s="890"/>
      <c r="T54" s="890"/>
      <c r="U54" s="890"/>
      <c r="V54" s="890"/>
      <c r="W54" s="890"/>
      <c r="X54" s="890"/>
      <c r="Y54" s="890"/>
      <c r="Z54" s="890"/>
      <c r="AA54" s="988"/>
      <c r="AB54" s="988"/>
      <c r="AC54" s="988"/>
      <c r="AD54" s="988"/>
      <c r="AE54" s="988"/>
      <c r="AF54" s="988"/>
      <c r="AG54" s="988"/>
      <c r="AH54" s="891"/>
      <c r="AI54" s="891"/>
      <c r="AJ54" s="891"/>
      <c r="AK54" s="891"/>
    </row>
    <row r="55" spans="1:37" s="886" customFormat="1" ht="24">
      <c r="A55" s="827" t="s">
        <v>445</v>
      </c>
      <c r="B55" s="1007" t="str">
        <f>估价对象房地状况!C10</f>
        <v>估价对象所在区域基础设施水平</v>
      </c>
      <c r="C55" s="1011"/>
      <c r="D55" s="1012">
        <f t="shared" si="4"/>
        <v>0</v>
      </c>
      <c r="E55" s="1016"/>
      <c r="F55" s="1292"/>
      <c r="G55" s="1293"/>
      <c r="H55" s="1294" t="str">
        <f t="shared" si="5"/>
        <v>——</v>
      </c>
      <c r="I55" s="1352">
        <v>0.1</v>
      </c>
      <c r="J55" s="14">
        <f t="shared" si="6"/>
        <v>0</v>
      </c>
      <c r="K55" s="14">
        <f t="shared" si="7"/>
        <v>0</v>
      </c>
      <c r="L55" s="14">
        <v>0</v>
      </c>
      <c r="M55" s="14">
        <f t="shared" si="8"/>
        <v>0</v>
      </c>
      <c r="N55" s="14">
        <f t="shared" si="8"/>
        <v>0</v>
      </c>
      <c r="O55" s="890"/>
      <c r="P55" s="890"/>
      <c r="Q55" s="890"/>
      <c r="R55" s="890"/>
      <c r="S55" s="890"/>
      <c r="T55" s="890"/>
      <c r="U55" s="890"/>
      <c r="V55" s="890"/>
      <c r="W55" s="890"/>
      <c r="X55" s="890"/>
      <c r="Y55" s="890"/>
      <c r="Z55" s="890"/>
      <c r="AA55" s="988"/>
      <c r="AB55" s="988"/>
      <c r="AC55" s="988"/>
      <c r="AD55" s="988"/>
      <c r="AE55" s="988"/>
      <c r="AF55" s="988"/>
      <c r="AG55" s="988"/>
      <c r="AH55" s="891"/>
      <c r="AI55" s="891"/>
      <c r="AJ55" s="891"/>
      <c r="AK55" s="891"/>
    </row>
    <row r="56" spans="1:37" s="886" customFormat="1" ht="36">
      <c r="A56" s="1051" t="s">
        <v>446</v>
      </c>
      <c r="B56" s="1295" t="str">
        <f>估价对象房地状况!C8</f>
        <v>区域自然环境：；人文环境；综合评价环境状况一般</v>
      </c>
      <c r="C56" s="1011"/>
      <c r="D56" s="1012">
        <f t="shared" si="4"/>
        <v>0</v>
      </c>
      <c r="E56" s="1296"/>
      <c r="F56" s="1292"/>
      <c r="G56" s="1293"/>
      <c r="H56" s="1294" t="str">
        <f t="shared" si="5"/>
        <v>——</v>
      </c>
      <c r="I56" s="1353">
        <v>0.06</v>
      </c>
      <c r="J56" s="14">
        <f t="shared" si="6"/>
        <v>0</v>
      </c>
      <c r="K56" s="14">
        <f t="shared" si="7"/>
        <v>0</v>
      </c>
      <c r="L56" s="14">
        <v>0</v>
      </c>
      <c r="M56" s="14">
        <f t="shared" si="8"/>
        <v>0</v>
      </c>
      <c r="N56" s="14">
        <f t="shared" si="8"/>
        <v>0</v>
      </c>
      <c r="O56" s="890"/>
      <c r="P56" s="890"/>
      <c r="Q56" s="890"/>
      <c r="R56" s="890"/>
      <c r="S56" s="890"/>
      <c r="T56" s="890"/>
      <c r="U56" s="890"/>
      <c r="V56" s="890"/>
      <c r="W56" s="890"/>
      <c r="X56" s="890"/>
      <c r="Y56" s="890"/>
      <c r="Z56" s="890"/>
      <c r="AA56" s="988"/>
      <c r="AB56" s="988"/>
      <c r="AC56" s="988"/>
      <c r="AD56" s="988"/>
      <c r="AE56" s="988"/>
      <c r="AF56" s="988"/>
      <c r="AG56" s="988"/>
      <c r="AH56" s="891"/>
      <c r="AI56" s="891"/>
      <c r="AJ56" s="891"/>
      <c r="AK56" s="891"/>
    </row>
    <row r="57" spans="1:37" s="886" customFormat="1" ht="13.5">
      <c r="A57" s="1001" t="s">
        <v>78</v>
      </c>
      <c r="B57" s="1019">
        <f>1+E59</f>
        <v>1</v>
      </c>
      <c r="C57" s="1004"/>
      <c r="D57" s="1004"/>
      <c r="E57" s="1005"/>
      <c r="F57" s="999"/>
      <c r="G57" s="860"/>
      <c r="H57" s="860"/>
      <c r="I57" s="1004"/>
      <c r="J57" s="839"/>
      <c r="K57" s="839"/>
      <c r="L57" s="839"/>
      <c r="M57" s="839"/>
      <c r="N57" s="839"/>
      <c r="O57" s="890"/>
      <c r="P57" s="890"/>
      <c r="Q57" s="890"/>
      <c r="R57" s="890"/>
      <c r="S57" s="890"/>
      <c r="T57" s="890"/>
      <c r="U57" s="890"/>
      <c r="V57" s="890"/>
      <c r="W57" s="890"/>
      <c r="X57" s="890"/>
      <c r="Y57" s="890"/>
      <c r="Z57" s="890"/>
      <c r="AA57" s="988"/>
      <c r="AB57" s="988"/>
      <c r="AC57" s="988"/>
      <c r="AD57" s="988"/>
      <c r="AE57" s="988"/>
      <c r="AF57" s="988"/>
      <c r="AG57" s="988"/>
      <c r="AH57" s="891"/>
      <c r="AI57" s="891"/>
      <c r="AJ57" s="891"/>
      <c r="AK57" s="891"/>
    </row>
    <row r="58" spans="1:37" s="886" customFormat="1" ht="24">
      <c r="A58" s="1006" t="s">
        <v>425</v>
      </c>
      <c r="B58" s="1007"/>
      <c r="C58" s="1007" t="s">
        <v>427</v>
      </c>
      <c r="D58" s="1007" t="s">
        <v>428</v>
      </c>
      <c r="E58" s="1008" t="s">
        <v>429</v>
      </c>
      <c r="F58" s="1290" t="s">
        <v>430</v>
      </c>
      <c r="G58" s="1007" t="s">
        <v>368</v>
      </c>
      <c r="H58" s="1291" t="s">
        <v>431</v>
      </c>
      <c r="I58" s="1007" t="s">
        <v>432</v>
      </c>
      <c r="J58" s="1009" t="s">
        <v>433</v>
      </c>
      <c r="K58" s="1009" t="s">
        <v>434</v>
      </c>
      <c r="L58" s="1009" t="s">
        <v>435</v>
      </c>
      <c r="M58" s="1009" t="s">
        <v>436</v>
      </c>
      <c r="N58" s="1009" t="s">
        <v>437</v>
      </c>
      <c r="O58" s="890"/>
      <c r="P58" s="890"/>
      <c r="Q58" s="890"/>
      <c r="R58" s="890"/>
      <c r="S58" s="890"/>
      <c r="T58" s="890"/>
      <c r="U58" s="890"/>
      <c r="V58" s="890"/>
      <c r="W58" s="890"/>
      <c r="X58" s="890"/>
      <c r="Y58" s="890"/>
      <c r="Z58" s="890"/>
      <c r="AA58" s="988"/>
      <c r="AB58" s="988"/>
      <c r="AC58" s="988"/>
      <c r="AD58" s="988"/>
      <c r="AE58" s="988"/>
      <c r="AF58" s="988"/>
      <c r="AG58" s="988"/>
      <c r="AH58" s="891"/>
      <c r="AI58" s="891"/>
      <c r="AJ58" s="891"/>
      <c r="AK58" s="891"/>
    </row>
    <row r="59" spans="1:37" s="886" customFormat="1" ht="36">
      <c r="A59" s="1006" t="s">
        <v>147</v>
      </c>
      <c r="B59" s="1010" t="str">
        <f>估价对象房地状况!C5</f>
        <v>估价对象位于XX商圈，周边办公楼项目较多，入驻率高，办公集聚程度较好</v>
      </c>
      <c r="C59" s="1011"/>
      <c r="D59" s="1012">
        <f t="shared" ref="D59:D67" si="9">SUMIF($J$58:$N$58,C59,J59:N59)</f>
        <v>0</v>
      </c>
      <c r="E59" s="1013">
        <f>ROUND(SUM(D59:D67),4)</f>
        <v>0</v>
      </c>
      <c r="F59" s="1292" t="str">
        <f>IF(E2="办公/综合",SUMIF(L1:L12,G2,N1:N12),"——")</f>
        <v>——</v>
      </c>
      <c r="G59" s="1293"/>
      <c r="H59" s="1294" t="str">
        <f t="shared" ref="H59:H67" si="10">IFERROR($F$59*I59/2,"——")</f>
        <v>——</v>
      </c>
      <c r="I59" s="1352">
        <v>0.24</v>
      </c>
      <c r="J59" s="14">
        <f t="shared" ref="J59:J67" si="11">K59+$G59</f>
        <v>0</v>
      </c>
      <c r="K59" s="14">
        <f t="shared" ref="K59:K67" si="12">$L59+$G59</f>
        <v>0</v>
      </c>
      <c r="L59" s="14">
        <v>0</v>
      </c>
      <c r="M59" s="14">
        <f t="shared" ref="M59:N67" si="13">L59-$G59</f>
        <v>0</v>
      </c>
      <c r="N59" s="14">
        <f t="shared" si="13"/>
        <v>0</v>
      </c>
      <c r="O59" s="890"/>
      <c r="P59" s="890"/>
      <c r="Q59" s="890"/>
      <c r="R59" s="890"/>
      <c r="S59" s="890"/>
      <c r="T59" s="890"/>
      <c r="U59" s="890"/>
      <c r="V59" s="890"/>
      <c r="W59" s="890"/>
      <c r="X59" s="890"/>
      <c r="Y59" s="890"/>
      <c r="Z59" s="890"/>
      <c r="AA59" s="988"/>
      <c r="AB59" s="988"/>
      <c r="AC59" s="988"/>
      <c r="AD59" s="988"/>
      <c r="AE59" s="988"/>
      <c r="AF59" s="988"/>
      <c r="AG59" s="988"/>
      <c r="AH59" s="891"/>
      <c r="AI59" s="891"/>
      <c r="AJ59" s="891"/>
      <c r="AK59" s="891"/>
    </row>
    <row r="60" spans="1:37" s="886" customFormat="1" ht="48">
      <c r="A60" s="1006" t="s">
        <v>145</v>
      </c>
      <c r="B60" s="1007" t="str">
        <f>估价对象房地状况!C6</f>
        <v>估价对象周边道路状况、公共交通通达情况、停车便捷程度，综合评价交通便捷度较好</v>
      </c>
      <c r="C60" s="1011"/>
      <c r="D60" s="1012">
        <f t="shared" si="9"/>
        <v>0</v>
      </c>
      <c r="E60" s="1016"/>
      <c r="F60" s="1292"/>
      <c r="G60" s="1293"/>
      <c r="H60" s="1294" t="str">
        <f t="shared" si="10"/>
        <v>——</v>
      </c>
      <c r="I60" s="1352">
        <v>0.3</v>
      </c>
      <c r="J60" s="14">
        <f t="shared" si="11"/>
        <v>0</v>
      </c>
      <c r="K60" s="14">
        <f t="shared" si="12"/>
        <v>0</v>
      </c>
      <c r="L60" s="14">
        <v>0</v>
      </c>
      <c r="M60" s="14">
        <f t="shared" si="13"/>
        <v>0</v>
      </c>
      <c r="N60" s="14">
        <f t="shared" si="13"/>
        <v>0</v>
      </c>
      <c r="O60" s="890"/>
      <c r="P60" s="890"/>
      <c r="Q60" s="890"/>
      <c r="R60" s="890"/>
      <c r="S60" s="890"/>
      <c r="T60" s="890"/>
      <c r="U60" s="890"/>
      <c r="V60" s="890"/>
      <c r="W60" s="890"/>
      <c r="X60" s="890"/>
      <c r="Y60" s="890"/>
      <c r="Z60" s="890"/>
      <c r="AA60" s="988"/>
      <c r="AB60" s="988"/>
      <c r="AC60" s="988"/>
      <c r="AD60" s="988"/>
      <c r="AE60" s="988"/>
      <c r="AF60" s="988"/>
      <c r="AG60" s="988"/>
      <c r="AH60" s="891"/>
      <c r="AI60" s="891"/>
      <c r="AJ60" s="891"/>
      <c r="AK60" s="891"/>
    </row>
    <row r="61" spans="1:37" s="886" customFormat="1" ht="24">
      <c r="A61" s="1006" t="s">
        <v>38</v>
      </c>
      <c r="B61" s="1007" t="str">
        <f>估价对象房地状况!C7</f>
        <v>零星有其他用地，基本不影响本宗地</v>
      </c>
      <c r="C61" s="1011"/>
      <c r="D61" s="1012">
        <f t="shared" si="9"/>
        <v>0</v>
      </c>
      <c r="E61" s="1016"/>
      <c r="F61" s="1292"/>
      <c r="G61" s="1293"/>
      <c r="H61" s="1294" t="str">
        <f t="shared" si="10"/>
        <v>——</v>
      </c>
      <c r="I61" s="1352">
        <v>0.08</v>
      </c>
      <c r="J61" s="14">
        <f t="shared" si="11"/>
        <v>0</v>
      </c>
      <c r="K61" s="14">
        <f t="shared" si="12"/>
        <v>0</v>
      </c>
      <c r="L61" s="14">
        <v>0</v>
      </c>
      <c r="M61" s="14">
        <f t="shared" si="13"/>
        <v>0</v>
      </c>
      <c r="N61" s="14">
        <f t="shared" si="13"/>
        <v>0</v>
      </c>
      <c r="O61" s="890"/>
      <c r="P61" s="890"/>
      <c r="Q61" s="890"/>
      <c r="R61" s="890"/>
      <c r="S61" s="890"/>
      <c r="T61" s="890"/>
      <c r="U61" s="890"/>
      <c r="V61" s="890"/>
      <c r="W61" s="890"/>
      <c r="X61" s="890"/>
      <c r="Y61" s="890"/>
      <c r="Z61" s="890"/>
      <c r="AA61" s="988"/>
      <c r="AB61" s="988"/>
      <c r="AC61" s="988"/>
      <c r="AD61" s="988"/>
      <c r="AE61" s="988"/>
      <c r="AF61" s="988"/>
      <c r="AG61" s="988"/>
      <c r="AH61" s="891"/>
      <c r="AI61" s="891"/>
      <c r="AJ61" s="891"/>
      <c r="AK61" s="891"/>
    </row>
    <row r="62" spans="1:37" s="886" customFormat="1" ht="36">
      <c r="A62" s="1006" t="s">
        <v>439</v>
      </c>
      <c r="B62" s="1017" t="s">
        <v>440</v>
      </c>
      <c r="C62" s="1011"/>
      <c r="D62" s="1012">
        <f t="shared" si="9"/>
        <v>0</v>
      </c>
      <c r="E62" s="1016"/>
      <c r="F62" s="1292"/>
      <c r="G62" s="1293"/>
      <c r="H62" s="1294" t="str">
        <f t="shared" si="10"/>
        <v>——</v>
      </c>
      <c r="I62" s="1352">
        <v>0.04</v>
      </c>
      <c r="J62" s="14">
        <f t="shared" si="11"/>
        <v>0</v>
      </c>
      <c r="K62" s="14">
        <f t="shared" si="12"/>
        <v>0</v>
      </c>
      <c r="L62" s="14">
        <v>0</v>
      </c>
      <c r="M62" s="14">
        <f t="shared" si="13"/>
        <v>0</v>
      </c>
      <c r="N62" s="14">
        <f t="shared" si="13"/>
        <v>0</v>
      </c>
      <c r="O62" s="890"/>
      <c r="P62" s="890"/>
      <c r="Q62" s="890"/>
      <c r="R62" s="890"/>
      <c r="S62" s="890"/>
      <c r="T62" s="890"/>
      <c r="U62" s="890"/>
      <c r="V62" s="890"/>
      <c r="W62" s="890"/>
      <c r="X62" s="890"/>
      <c r="Y62" s="890"/>
      <c r="Z62" s="890"/>
      <c r="AA62" s="988"/>
      <c r="AB62" s="988"/>
      <c r="AC62" s="988"/>
      <c r="AD62" s="988"/>
      <c r="AE62" s="988"/>
      <c r="AF62" s="988"/>
      <c r="AG62" s="988"/>
      <c r="AH62" s="891"/>
      <c r="AI62" s="891"/>
      <c r="AJ62" s="891"/>
      <c r="AK62" s="891"/>
    </row>
    <row r="63" spans="1:37" s="886" customFormat="1" ht="24">
      <c r="A63" s="1006" t="s">
        <v>441</v>
      </c>
      <c r="B63" s="1007">
        <f>估价对象房地状况!C12</f>
        <v>0</v>
      </c>
      <c r="C63" s="1011"/>
      <c r="D63" s="1012">
        <f t="shared" si="9"/>
        <v>0</v>
      </c>
      <c r="E63" s="1016"/>
      <c r="F63" s="1292"/>
      <c r="G63" s="1293"/>
      <c r="H63" s="1294" t="str">
        <f t="shared" si="10"/>
        <v>——</v>
      </c>
      <c r="I63" s="1352">
        <v>0.05</v>
      </c>
      <c r="J63" s="14">
        <f t="shared" si="11"/>
        <v>0</v>
      </c>
      <c r="K63" s="14">
        <f t="shared" si="12"/>
        <v>0</v>
      </c>
      <c r="L63" s="14">
        <v>0</v>
      </c>
      <c r="M63" s="14">
        <f t="shared" si="13"/>
        <v>0</v>
      </c>
      <c r="N63" s="14">
        <f t="shared" si="13"/>
        <v>0</v>
      </c>
      <c r="O63" s="890"/>
      <c r="P63" s="890"/>
      <c r="Q63" s="890"/>
      <c r="R63" s="890"/>
      <c r="S63" s="890"/>
      <c r="T63" s="890"/>
      <c r="U63" s="890"/>
      <c r="V63" s="890"/>
      <c r="W63" s="890"/>
      <c r="X63" s="890"/>
      <c r="Y63" s="890"/>
      <c r="Z63" s="890"/>
      <c r="AA63" s="988"/>
      <c r="AB63" s="988"/>
      <c r="AC63" s="988"/>
      <c r="AD63" s="988"/>
      <c r="AE63" s="988"/>
      <c r="AF63" s="988"/>
      <c r="AG63" s="988"/>
      <c r="AH63" s="891"/>
      <c r="AI63" s="891"/>
      <c r="AJ63" s="891"/>
      <c r="AK63" s="891"/>
    </row>
    <row r="64" spans="1:37" s="886" customFormat="1" ht="24">
      <c r="A64" s="1006" t="s">
        <v>442</v>
      </c>
      <c r="B64" s="1018" t="s">
        <v>443</v>
      </c>
      <c r="C64" s="1011"/>
      <c r="D64" s="1012">
        <f t="shared" si="9"/>
        <v>0</v>
      </c>
      <c r="E64" s="1016"/>
      <c r="F64" s="1292"/>
      <c r="G64" s="1293"/>
      <c r="H64" s="1294" t="str">
        <f t="shared" si="10"/>
        <v>——</v>
      </c>
      <c r="I64" s="1352">
        <v>0.05</v>
      </c>
      <c r="J64" s="14">
        <f t="shared" si="11"/>
        <v>0</v>
      </c>
      <c r="K64" s="14">
        <f t="shared" si="12"/>
        <v>0</v>
      </c>
      <c r="L64" s="14">
        <v>0</v>
      </c>
      <c r="M64" s="14">
        <f t="shared" si="13"/>
        <v>0</v>
      </c>
      <c r="N64" s="14">
        <f t="shared" si="13"/>
        <v>0</v>
      </c>
      <c r="O64" s="890"/>
      <c r="P64" s="890"/>
      <c r="Q64" s="890"/>
      <c r="R64" s="890"/>
      <c r="S64" s="890"/>
      <c r="T64" s="890"/>
      <c r="U64" s="890"/>
      <c r="V64" s="890"/>
      <c r="W64" s="890"/>
      <c r="X64" s="890"/>
      <c r="Y64" s="890"/>
      <c r="Z64" s="890"/>
      <c r="AA64" s="988"/>
      <c r="AB64" s="988"/>
      <c r="AC64" s="988"/>
      <c r="AD64" s="988"/>
      <c r="AE64" s="988"/>
      <c r="AF64" s="988"/>
      <c r="AG64" s="988"/>
      <c r="AH64" s="891"/>
      <c r="AI64" s="891"/>
      <c r="AJ64" s="891"/>
      <c r="AK64" s="891"/>
    </row>
    <row r="65" spans="1:37" s="886" customFormat="1" ht="24">
      <c r="A65" s="1006" t="s">
        <v>444</v>
      </c>
      <c r="B65" s="1024" t="str">
        <f>估价对象房地状况!C9</f>
        <v>估价对象所在区域公共配套设施齐备情况</v>
      </c>
      <c r="C65" s="1011"/>
      <c r="D65" s="1012">
        <f t="shared" si="9"/>
        <v>0</v>
      </c>
      <c r="E65" s="1016"/>
      <c r="F65" s="1292"/>
      <c r="G65" s="1293"/>
      <c r="H65" s="1294" t="str">
        <f t="shared" si="10"/>
        <v>——</v>
      </c>
      <c r="I65" s="1352">
        <v>0.06</v>
      </c>
      <c r="J65" s="14">
        <f t="shared" si="11"/>
        <v>0</v>
      </c>
      <c r="K65" s="14">
        <f t="shared" si="12"/>
        <v>0</v>
      </c>
      <c r="L65" s="14">
        <v>0</v>
      </c>
      <c r="M65" s="14">
        <f t="shared" si="13"/>
        <v>0</v>
      </c>
      <c r="N65" s="14">
        <f t="shared" si="13"/>
        <v>0</v>
      </c>
      <c r="O65" s="890"/>
      <c r="P65" s="890"/>
      <c r="Q65" s="890"/>
      <c r="R65" s="890"/>
      <c r="S65" s="890"/>
      <c r="T65" s="890"/>
      <c r="U65" s="890"/>
      <c r="V65" s="890"/>
      <c r="W65" s="890"/>
      <c r="X65" s="890"/>
      <c r="Y65" s="890"/>
      <c r="Z65" s="890"/>
      <c r="AA65" s="988"/>
      <c r="AB65" s="988"/>
      <c r="AC65" s="988"/>
      <c r="AD65" s="988"/>
      <c r="AE65" s="988"/>
      <c r="AF65" s="988"/>
      <c r="AG65" s="988"/>
      <c r="AH65" s="891"/>
      <c r="AI65" s="891"/>
      <c r="AJ65" s="891"/>
      <c r="AK65" s="891"/>
    </row>
    <row r="66" spans="1:37" s="886" customFormat="1" ht="24">
      <c r="A66" s="1006" t="s">
        <v>445</v>
      </c>
      <c r="B66" s="1024" t="str">
        <f>估价对象房地状况!C10</f>
        <v>估价对象所在区域基础设施水平</v>
      </c>
      <c r="C66" s="1011"/>
      <c r="D66" s="1012">
        <f t="shared" si="9"/>
        <v>0</v>
      </c>
      <c r="E66" s="1016"/>
      <c r="F66" s="1292"/>
      <c r="G66" s="1293"/>
      <c r="H66" s="1294" t="str">
        <f t="shared" si="10"/>
        <v>——</v>
      </c>
      <c r="I66" s="1352">
        <v>0.12</v>
      </c>
      <c r="J66" s="14">
        <f t="shared" si="11"/>
        <v>0</v>
      </c>
      <c r="K66" s="14">
        <f t="shared" si="12"/>
        <v>0</v>
      </c>
      <c r="L66" s="14">
        <v>0</v>
      </c>
      <c r="M66" s="14">
        <f t="shared" si="13"/>
        <v>0</v>
      </c>
      <c r="N66" s="14">
        <f t="shared" si="13"/>
        <v>0</v>
      </c>
      <c r="O66" s="890"/>
      <c r="P66" s="890"/>
      <c r="Q66" s="890"/>
      <c r="R66" s="890"/>
      <c r="S66" s="890"/>
      <c r="T66" s="890"/>
      <c r="U66" s="890"/>
      <c r="V66" s="890"/>
      <c r="W66" s="890"/>
      <c r="X66" s="890"/>
      <c r="Y66" s="890"/>
      <c r="Z66" s="890"/>
      <c r="AA66" s="988"/>
      <c r="AB66" s="988"/>
      <c r="AC66" s="988"/>
      <c r="AD66" s="988"/>
      <c r="AE66" s="988"/>
      <c r="AF66" s="988"/>
      <c r="AG66" s="988"/>
      <c r="AH66" s="891"/>
      <c r="AI66" s="891"/>
      <c r="AJ66" s="891"/>
      <c r="AK66" s="891"/>
    </row>
    <row r="67" spans="1:37" s="886" customFormat="1" ht="36">
      <c r="A67" s="1051" t="s">
        <v>446</v>
      </c>
      <c r="B67" s="1356" t="str">
        <f>估价对象房地状况!C8</f>
        <v>区域自然环境：；人文环境；综合评价环境状况一般</v>
      </c>
      <c r="C67" s="1011"/>
      <c r="D67" s="1012">
        <f t="shared" si="9"/>
        <v>0</v>
      </c>
      <c r="E67" s="1296"/>
      <c r="F67" s="1292"/>
      <c r="G67" s="1293"/>
      <c r="H67" s="1294" t="str">
        <f t="shared" si="10"/>
        <v>——</v>
      </c>
      <c r="I67" s="1353">
        <v>0.06</v>
      </c>
      <c r="J67" s="14">
        <f t="shared" si="11"/>
        <v>0</v>
      </c>
      <c r="K67" s="14">
        <f t="shared" si="12"/>
        <v>0</v>
      </c>
      <c r="L67" s="14">
        <v>0</v>
      </c>
      <c r="M67" s="14">
        <f t="shared" si="13"/>
        <v>0</v>
      </c>
      <c r="N67" s="14">
        <f t="shared" si="13"/>
        <v>0</v>
      </c>
      <c r="O67" s="890"/>
      <c r="P67" s="890"/>
      <c r="Q67" s="890"/>
      <c r="R67" s="890"/>
      <c r="S67" s="890"/>
      <c r="T67" s="890"/>
      <c r="U67" s="890"/>
      <c r="V67" s="890"/>
      <c r="W67" s="890"/>
      <c r="X67" s="890"/>
      <c r="Y67" s="890"/>
      <c r="Z67" s="890"/>
      <c r="AA67" s="988"/>
      <c r="AB67" s="988"/>
      <c r="AC67" s="988"/>
      <c r="AD67" s="988"/>
      <c r="AE67" s="988"/>
      <c r="AF67" s="988"/>
      <c r="AG67" s="988"/>
      <c r="AH67" s="891"/>
      <c r="AI67" s="891"/>
      <c r="AJ67" s="891"/>
      <c r="AK67" s="891"/>
    </row>
    <row r="68" spans="1:37" s="886" customFormat="1" ht="13.5">
      <c r="A68" s="1001" t="s">
        <v>53</v>
      </c>
      <c r="B68" s="1019">
        <f>1+E70</f>
        <v>1</v>
      </c>
      <c r="C68" s="1004"/>
      <c r="D68" s="1004"/>
      <c r="E68" s="1005"/>
      <c r="F68" s="999"/>
      <c r="G68" s="860"/>
      <c r="H68" s="860"/>
      <c r="I68" s="1004"/>
      <c r="J68" s="839"/>
      <c r="K68" s="839"/>
      <c r="L68" s="839"/>
      <c r="M68" s="839"/>
      <c r="N68" s="839"/>
      <c r="O68" s="890"/>
      <c r="P68" s="890"/>
      <c r="Q68" s="890"/>
      <c r="R68" s="890"/>
      <c r="S68" s="890"/>
      <c r="T68" s="890"/>
      <c r="U68" s="890"/>
      <c r="V68" s="890"/>
      <c r="W68" s="890"/>
      <c r="X68" s="890"/>
      <c r="Y68" s="890"/>
      <c r="Z68" s="890"/>
      <c r="AA68" s="988"/>
      <c r="AB68" s="988"/>
      <c r="AC68" s="988"/>
      <c r="AD68" s="988"/>
      <c r="AE68" s="988"/>
      <c r="AF68" s="988"/>
      <c r="AG68" s="988"/>
      <c r="AH68" s="891"/>
      <c r="AI68" s="891"/>
      <c r="AJ68" s="891"/>
      <c r="AK68" s="891"/>
    </row>
    <row r="69" spans="1:37" s="886" customFormat="1" ht="24">
      <c r="A69" s="1006" t="s">
        <v>425</v>
      </c>
      <c r="B69" s="1007"/>
      <c r="C69" s="1007" t="s">
        <v>427</v>
      </c>
      <c r="D69" s="1007" t="s">
        <v>428</v>
      </c>
      <c r="E69" s="1008" t="s">
        <v>429</v>
      </c>
      <c r="F69" s="1290" t="s">
        <v>430</v>
      </c>
      <c r="G69" s="1007" t="s">
        <v>368</v>
      </c>
      <c r="H69" s="1291" t="s">
        <v>431</v>
      </c>
      <c r="I69" s="1007" t="s">
        <v>432</v>
      </c>
      <c r="J69" s="1009" t="s">
        <v>433</v>
      </c>
      <c r="K69" s="1009" t="s">
        <v>434</v>
      </c>
      <c r="L69" s="1009" t="s">
        <v>435</v>
      </c>
      <c r="M69" s="1009" t="s">
        <v>436</v>
      </c>
      <c r="N69" s="1009" t="s">
        <v>437</v>
      </c>
      <c r="O69" s="890"/>
      <c r="P69" s="890"/>
      <c r="Q69" s="890"/>
      <c r="R69" s="890"/>
      <c r="S69" s="890"/>
      <c r="T69" s="890"/>
      <c r="U69" s="890"/>
      <c r="V69" s="890"/>
      <c r="W69" s="890"/>
      <c r="X69" s="890"/>
      <c r="Y69" s="890"/>
      <c r="Z69" s="890"/>
      <c r="AA69" s="988"/>
      <c r="AB69" s="988"/>
      <c r="AC69" s="988"/>
      <c r="AD69" s="988"/>
      <c r="AE69" s="988"/>
      <c r="AF69" s="988"/>
      <c r="AG69" s="988"/>
      <c r="AH69" s="891"/>
      <c r="AI69" s="891"/>
      <c r="AJ69" s="891"/>
      <c r="AK69" s="891"/>
    </row>
    <row r="70" spans="1:37" s="886" customFormat="1" ht="48">
      <c r="A70" s="1006" t="s">
        <v>139</v>
      </c>
      <c r="B70" s="1010" t="str">
        <f>估价对象房地状况!C3</f>
        <v>估价对象周边居住用地比例、居住小区规模和社区发展完善程度，综合评价居住社区成熟度一般</v>
      </c>
      <c r="C70" s="1011"/>
      <c r="D70" s="1012">
        <f t="shared" ref="D70:D78" si="14">SUMIF($J$69:$N$69,C70,J70:N70)</f>
        <v>0</v>
      </c>
      <c r="E70" s="1013">
        <f>ROUND(SUM(D70:D78),4)</f>
        <v>0</v>
      </c>
      <c r="F70" s="1292">
        <f>IF(E2="住宅/居住",SUMIF(L1:L12,G2,N1:N12),"——")</f>
        <v>0</v>
      </c>
      <c r="G70" s="1293"/>
      <c r="H70" s="1294">
        <f t="shared" ref="H70:H78" si="15">IFERROR($F$70*I70/2,"——")</f>
        <v>0</v>
      </c>
      <c r="I70" s="1352">
        <v>0.14000000000000001</v>
      </c>
      <c r="J70" s="14">
        <f t="shared" ref="J70:J78" si="16">K70+$G70</f>
        <v>0</v>
      </c>
      <c r="K70" s="14">
        <f t="shared" ref="K70:K78" si="17">$L70+$G70</f>
        <v>0</v>
      </c>
      <c r="L70" s="14">
        <v>0</v>
      </c>
      <c r="M70" s="14">
        <f t="shared" ref="M70:N78" si="18">L70-$G70</f>
        <v>0</v>
      </c>
      <c r="N70" s="14">
        <f t="shared" si="18"/>
        <v>0</v>
      </c>
      <c r="O70" s="890"/>
      <c r="P70" s="890"/>
      <c r="Q70" s="890"/>
      <c r="R70" s="890"/>
      <c r="S70" s="890"/>
      <c r="T70" s="890"/>
      <c r="U70" s="890"/>
      <c r="V70" s="890"/>
      <c r="W70" s="890"/>
      <c r="X70" s="890"/>
      <c r="Y70" s="890"/>
      <c r="Z70" s="890"/>
      <c r="AA70" s="988"/>
      <c r="AB70" s="988"/>
      <c r="AC70" s="988"/>
      <c r="AD70" s="988"/>
      <c r="AE70" s="988"/>
      <c r="AF70" s="988"/>
      <c r="AG70" s="988"/>
      <c r="AH70" s="891"/>
      <c r="AI70" s="891"/>
      <c r="AJ70" s="891"/>
      <c r="AK70" s="891"/>
    </row>
    <row r="71" spans="1:37" s="886" customFormat="1" ht="48">
      <c r="A71" s="1006" t="s">
        <v>145</v>
      </c>
      <c r="B71" s="1007" t="str">
        <f>估价对象房地状况!C6</f>
        <v>估价对象周边道路状况、公共交通通达情况、停车便捷程度，综合评价交通便捷度较好</v>
      </c>
      <c r="C71" s="1011"/>
      <c r="D71" s="1012">
        <f t="shared" si="14"/>
        <v>0</v>
      </c>
      <c r="E71" s="1025"/>
      <c r="F71" s="1357"/>
      <c r="G71" s="1293"/>
      <c r="H71" s="1294">
        <f t="shared" si="15"/>
        <v>0</v>
      </c>
      <c r="I71" s="1352">
        <v>0.3</v>
      </c>
      <c r="J71" s="14">
        <f t="shared" si="16"/>
        <v>0</v>
      </c>
      <c r="K71" s="14">
        <f t="shared" si="17"/>
        <v>0</v>
      </c>
      <c r="L71" s="14">
        <v>0</v>
      </c>
      <c r="M71" s="14">
        <f t="shared" si="18"/>
        <v>0</v>
      </c>
      <c r="N71" s="14">
        <f t="shared" si="18"/>
        <v>0</v>
      </c>
      <c r="O71" s="890"/>
      <c r="P71" s="890"/>
      <c r="Q71" s="890"/>
      <c r="R71" s="890"/>
      <c r="S71" s="890"/>
      <c r="T71" s="890"/>
      <c r="U71" s="890"/>
      <c r="V71" s="890"/>
      <c r="W71" s="890"/>
      <c r="X71" s="890"/>
      <c r="Y71" s="890"/>
      <c r="Z71" s="890"/>
      <c r="AA71" s="988"/>
      <c r="AB71" s="988"/>
      <c r="AC71" s="988"/>
      <c r="AD71" s="988"/>
      <c r="AE71" s="988"/>
      <c r="AF71" s="988"/>
      <c r="AG71" s="988"/>
      <c r="AH71" s="891"/>
      <c r="AI71" s="891"/>
      <c r="AJ71" s="891"/>
      <c r="AK71" s="891"/>
    </row>
    <row r="72" spans="1:37" s="886" customFormat="1" ht="24">
      <c r="A72" s="1006" t="s">
        <v>38</v>
      </c>
      <c r="B72" s="1007" t="str">
        <f>估价对象房地状况!C7</f>
        <v>零星有其他用地，基本不影响本宗地</v>
      </c>
      <c r="C72" s="1011"/>
      <c r="D72" s="1012">
        <f t="shared" si="14"/>
        <v>0</v>
      </c>
      <c r="E72" s="1025"/>
      <c r="F72" s="1357"/>
      <c r="G72" s="1293"/>
      <c r="H72" s="1294">
        <f t="shared" si="15"/>
        <v>0</v>
      </c>
      <c r="I72" s="1352">
        <v>0.08</v>
      </c>
      <c r="J72" s="14">
        <f t="shared" si="16"/>
        <v>0</v>
      </c>
      <c r="K72" s="14">
        <f t="shared" si="17"/>
        <v>0</v>
      </c>
      <c r="L72" s="14">
        <v>0</v>
      </c>
      <c r="M72" s="14">
        <f t="shared" si="18"/>
        <v>0</v>
      </c>
      <c r="N72" s="14">
        <f t="shared" si="18"/>
        <v>0</v>
      </c>
      <c r="O72" s="890"/>
      <c r="P72" s="890"/>
      <c r="Q72" s="890"/>
      <c r="R72" s="890"/>
      <c r="S72" s="890"/>
      <c r="T72" s="890"/>
      <c r="U72" s="890"/>
      <c r="V72" s="890"/>
      <c r="W72" s="890"/>
      <c r="X72" s="890"/>
      <c r="Y72" s="890"/>
      <c r="Z72" s="890"/>
      <c r="AA72" s="988"/>
      <c r="AB72" s="988"/>
      <c r="AC72" s="988"/>
      <c r="AD72" s="988"/>
      <c r="AE72" s="988"/>
      <c r="AF72" s="988"/>
      <c r="AG72" s="988"/>
      <c r="AH72" s="891"/>
      <c r="AI72" s="891"/>
      <c r="AJ72" s="891"/>
      <c r="AK72" s="891"/>
    </row>
    <row r="73" spans="1:37" s="886" customFormat="1" ht="14.25">
      <c r="A73" s="1006" t="s">
        <v>447</v>
      </c>
      <c r="B73" s="1007">
        <f>估价对象房地状况!C12</f>
        <v>0</v>
      </c>
      <c r="C73" s="1011"/>
      <c r="D73" s="1012">
        <f t="shared" si="14"/>
        <v>0</v>
      </c>
      <c r="E73" s="1025"/>
      <c r="F73" s="1357"/>
      <c r="G73" s="1293"/>
      <c r="H73" s="1294">
        <f t="shared" si="15"/>
        <v>0</v>
      </c>
      <c r="I73" s="1352">
        <v>0.04</v>
      </c>
      <c r="J73" s="14">
        <f t="shared" si="16"/>
        <v>0</v>
      </c>
      <c r="K73" s="14">
        <f t="shared" si="17"/>
        <v>0</v>
      </c>
      <c r="L73" s="14">
        <v>0</v>
      </c>
      <c r="M73" s="14">
        <f t="shared" si="18"/>
        <v>0</v>
      </c>
      <c r="N73" s="14">
        <f t="shared" si="18"/>
        <v>0</v>
      </c>
      <c r="O73" s="890"/>
      <c r="P73" s="890"/>
      <c r="Q73" s="890"/>
      <c r="R73" s="890"/>
      <c r="S73" s="890"/>
      <c r="T73" s="890"/>
      <c r="U73" s="890"/>
      <c r="V73" s="890"/>
      <c r="W73" s="890"/>
      <c r="X73" s="890"/>
      <c r="Y73" s="890"/>
      <c r="Z73" s="890"/>
      <c r="AA73" s="988"/>
      <c r="AB73" s="988"/>
      <c r="AC73" s="988"/>
      <c r="AD73" s="988"/>
      <c r="AE73" s="988"/>
      <c r="AF73" s="988"/>
      <c r="AG73" s="988"/>
      <c r="AH73" s="891"/>
      <c r="AI73" s="891"/>
      <c r="AJ73" s="891"/>
      <c r="AK73" s="891"/>
    </row>
    <row r="74" spans="1:37" s="886" customFormat="1" ht="24">
      <c r="A74" s="1006" t="s">
        <v>444</v>
      </c>
      <c r="B74" s="1024" t="str">
        <f>估价对象房地状况!C9</f>
        <v>估价对象所在区域公共配套设施齐备情况</v>
      </c>
      <c r="C74" s="1011"/>
      <c r="D74" s="1012">
        <f t="shared" si="14"/>
        <v>0</v>
      </c>
      <c r="E74" s="1025"/>
      <c r="F74" s="1357"/>
      <c r="G74" s="1293"/>
      <c r="H74" s="1294">
        <f t="shared" si="15"/>
        <v>0</v>
      </c>
      <c r="I74" s="1352">
        <v>0.08</v>
      </c>
      <c r="J74" s="14">
        <f t="shared" si="16"/>
        <v>0</v>
      </c>
      <c r="K74" s="14">
        <f t="shared" si="17"/>
        <v>0</v>
      </c>
      <c r="L74" s="14">
        <v>0</v>
      </c>
      <c r="M74" s="14">
        <f t="shared" si="18"/>
        <v>0</v>
      </c>
      <c r="N74" s="14">
        <f t="shared" si="18"/>
        <v>0</v>
      </c>
      <c r="O74" s="890"/>
      <c r="P74" s="890"/>
      <c r="Q74" s="890"/>
      <c r="R74" s="890"/>
      <c r="S74" s="890"/>
      <c r="T74" s="890"/>
      <c r="U74" s="890"/>
      <c r="V74" s="890"/>
      <c r="W74" s="890"/>
      <c r="X74" s="890"/>
      <c r="Y74" s="890"/>
      <c r="Z74" s="890"/>
      <c r="AA74" s="988"/>
      <c r="AB74" s="988"/>
      <c r="AC74" s="988"/>
      <c r="AD74" s="988"/>
      <c r="AE74" s="988"/>
      <c r="AF74" s="988"/>
      <c r="AG74" s="988"/>
      <c r="AH74" s="891"/>
      <c r="AI74" s="891"/>
      <c r="AJ74" s="891"/>
      <c r="AK74" s="891"/>
    </row>
    <row r="75" spans="1:37" s="886" customFormat="1" ht="24">
      <c r="A75" s="1006" t="s">
        <v>445</v>
      </c>
      <c r="B75" s="1024" t="str">
        <f>估价对象房地状况!C10</f>
        <v>估价对象所在区域基础设施水平</v>
      </c>
      <c r="C75" s="1011"/>
      <c r="D75" s="1012">
        <f t="shared" si="14"/>
        <v>0</v>
      </c>
      <c r="E75" s="1025"/>
      <c r="F75" s="1357"/>
      <c r="G75" s="1293"/>
      <c r="H75" s="1294">
        <f t="shared" si="15"/>
        <v>0</v>
      </c>
      <c r="I75" s="1352">
        <v>0.12</v>
      </c>
      <c r="J75" s="14">
        <f t="shared" si="16"/>
        <v>0</v>
      </c>
      <c r="K75" s="14">
        <f t="shared" si="17"/>
        <v>0</v>
      </c>
      <c r="L75" s="14">
        <v>0</v>
      </c>
      <c r="M75" s="14">
        <f t="shared" si="18"/>
        <v>0</v>
      </c>
      <c r="N75" s="14">
        <f t="shared" si="18"/>
        <v>0</v>
      </c>
      <c r="O75" s="890"/>
      <c r="P75" s="890"/>
      <c r="Q75" s="890"/>
      <c r="R75" s="890"/>
      <c r="S75" s="890"/>
      <c r="T75" s="890"/>
      <c r="U75" s="890"/>
      <c r="V75" s="890"/>
      <c r="W75" s="890"/>
      <c r="X75" s="890"/>
      <c r="Y75" s="890"/>
      <c r="Z75" s="890"/>
      <c r="AA75" s="988"/>
      <c r="AB75" s="988"/>
      <c r="AC75" s="988"/>
      <c r="AD75" s="988"/>
      <c r="AE75" s="988"/>
      <c r="AF75" s="988"/>
      <c r="AG75" s="988"/>
      <c r="AH75" s="891"/>
      <c r="AI75" s="891"/>
      <c r="AJ75" s="891"/>
      <c r="AK75" s="891"/>
    </row>
    <row r="76" spans="1:37" ht="24">
      <c r="A76" s="1006" t="s">
        <v>442</v>
      </c>
      <c r="B76" s="1018" t="s">
        <v>443</v>
      </c>
      <c r="C76" s="1011"/>
      <c r="D76" s="1012">
        <f t="shared" si="14"/>
        <v>0</v>
      </c>
      <c r="E76" s="1025"/>
      <c r="F76" s="1357"/>
      <c r="G76" s="1293"/>
      <c r="H76" s="1294">
        <f t="shared" si="15"/>
        <v>0</v>
      </c>
      <c r="I76" s="1352">
        <v>0.05</v>
      </c>
      <c r="J76" s="14">
        <f t="shared" si="16"/>
        <v>0</v>
      </c>
      <c r="K76" s="14">
        <f t="shared" si="17"/>
        <v>0</v>
      </c>
      <c r="L76" s="14">
        <v>0</v>
      </c>
      <c r="M76" s="14">
        <f t="shared" si="18"/>
        <v>0</v>
      </c>
      <c r="N76" s="14">
        <f t="shared" si="18"/>
        <v>0</v>
      </c>
      <c r="Z76" s="889"/>
      <c r="AA76" s="887"/>
      <c r="AG76" s="891"/>
      <c r="AK76" s="887"/>
    </row>
    <row r="77" spans="1:37" ht="36">
      <c r="A77" s="1006" t="s">
        <v>446</v>
      </c>
      <c r="B77" s="1010" t="str">
        <f>估价对象房地状况!C8</f>
        <v>区域自然环境：；人文环境；综合评价环境状况一般</v>
      </c>
      <c r="C77" s="1011"/>
      <c r="D77" s="1012">
        <f t="shared" si="14"/>
        <v>0</v>
      </c>
      <c r="E77" s="1025"/>
      <c r="F77" s="1357"/>
      <c r="G77" s="1293"/>
      <c r="H77" s="1294">
        <f t="shared" si="15"/>
        <v>0</v>
      </c>
      <c r="I77" s="1352">
        <v>0.15</v>
      </c>
      <c r="J77" s="14">
        <f t="shared" si="16"/>
        <v>0</v>
      </c>
      <c r="K77" s="14">
        <f t="shared" si="17"/>
        <v>0</v>
      </c>
      <c r="L77" s="14">
        <v>0</v>
      </c>
      <c r="M77" s="14">
        <f t="shared" si="18"/>
        <v>0</v>
      </c>
      <c r="N77" s="14">
        <f t="shared" si="18"/>
        <v>0</v>
      </c>
      <c r="Z77" s="889"/>
      <c r="AA77" s="887"/>
      <c r="AG77" s="891"/>
      <c r="AK77" s="887"/>
    </row>
    <row r="78" spans="1:37" ht="24">
      <c r="A78" s="1051" t="s">
        <v>448</v>
      </c>
      <c r="B78" s="1052"/>
      <c r="C78" s="1011"/>
      <c r="D78" s="1012">
        <f t="shared" si="14"/>
        <v>0</v>
      </c>
      <c r="E78" s="1053"/>
      <c r="F78" s="1357"/>
      <c r="G78" s="1293"/>
      <c r="H78" s="1294">
        <f t="shared" si="15"/>
        <v>0</v>
      </c>
      <c r="I78" s="1353">
        <v>0.04</v>
      </c>
      <c r="J78" s="14">
        <f t="shared" si="16"/>
        <v>0</v>
      </c>
      <c r="K78" s="14">
        <f t="shared" si="17"/>
        <v>0</v>
      </c>
      <c r="L78" s="14">
        <v>0</v>
      </c>
      <c r="M78" s="14">
        <f t="shared" si="18"/>
        <v>0</v>
      </c>
      <c r="N78" s="14">
        <f t="shared" si="18"/>
        <v>0</v>
      </c>
      <c r="Z78" s="889"/>
      <c r="AA78" s="887"/>
      <c r="AG78" s="891"/>
      <c r="AK78" s="887"/>
    </row>
    <row r="79" spans="1:37" ht="13.5">
      <c r="A79" s="1001" t="s">
        <v>137</v>
      </c>
      <c r="B79" s="1019">
        <f>1+E81</f>
        <v>1</v>
      </c>
      <c r="C79" s="1004"/>
      <c r="D79" s="1004"/>
      <c r="E79" s="1005"/>
      <c r="F79" s="999"/>
      <c r="G79" s="860"/>
      <c r="H79" s="860"/>
      <c r="I79" s="1004"/>
      <c r="J79" s="839"/>
      <c r="K79" s="839"/>
      <c r="L79" s="839"/>
      <c r="M79" s="839"/>
      <c r="N79" s="839"/>
      <c r="Z79" s="889"/>
      <c r="AA79" s="887"/>
      <c r="AG79" s="891"/>
      <c r="AK79" s="887"/>
    </row>
    <row r="80" spans="1:37" ht="24">
      <c r="A80" s="1006" t="s">
        <v>425</v>
      </c>
      <c r="B80" s="1007"/>
      <c r="C80" s="1007" t="s">
        <v>427</v>
      </c>
      <c r="D80" s="1007" t="s">
        <v>428</v>
      </c>
      <c r="E80" s="1008" t="s">
        <v>429</v>
      </c>
      <c r="F80" s="1290" t="s">
        <v>430</v>
      </c>
      <c r="G80" s="1007" t="s">
        <v>368</v>
      </c>
      <c r="H80" s="1291" t="s">
        <v>431</v>
      </c>
      <c r="I80" s="1007" t="s">
        <v>432</v>
      </c>
      <c r="J80" s="1009" t="s">
        <v>433</v>
      </c>
      <c r="K80" s="1009" t="s">
        <v>434</v>
      </c>
      <c r="L80" s="1009" t="s">
        <v>435</v>
      </c>
      <c r="M80" s="1009" t="s">
        <v>436</v>
      </c>
      <c r="N80" s="1009" t="s">
        <v>437</v>
      </c>
      <c r="Z80" s="889"/>
      <c r="AA80" s="887"/>
      <c r="AG80" s="891"/>
      <c r="AK80" s="887"/>
    </row>
    <row r="81" spans="1:37" ht="36">
      <c r="A81" s="1006" t="s">
        <v>141</v>
      </c>
      <c r="B81" s="1007" t="str">
        <f>估价对象房地状况!G3</f>
        <v>估价对象位于XX开发区，园区建设成熟度？产业集聚程度？</v>
      </c>
      <c r="C81" s="1011"/>
      <c r="D81" s="1012">
        <f t="shared" ref="D81:D88" si="19">SUMIF($J$80:$N$80,C81,J81:N81)</f>
        <v>0</v>
      </c>
      <c r="E81" s="1013">
        <f>ROUND(SUM(D81:D88),4)</f>
        <v>0</v>
      </c>
      <c r="F81" s="1292" t="str">
        <f>IF(E2="工业",SUMIF(L1:L12,G2,N1:N12),"——")</f>
        <v>——</v>
      </c>
      <c r="G81" s="1293"/>
      <c r="H81" s="1294" t="str">
        <f t="shared" ref="H81:H88" si="20">IFERROR($F$81*I81/2,"——")</f>
        <v>——</v>
      </c>
      <c r="I81" s="1352">
        <v>0.26</v>
      </c>
      <c r="J81" s="14">
        <f t="shared" ref="J81:J88" si="21">K81+$G81</f>
        <v>0</v>
      </c>
      <c r="K81" s="14">
        <f t="shared" ref="K81:K88" si="22">$L81+$G81</f>
        <v>0</v>
      </c>
      <c r="L81" s="14">
        <v>0</v>
      </c>
      <c r="M81" s="14">
        <f t="shared" ref="M81:N88" si="23">L81-$G81</f>
        <v>0</v>
      </c>
      <c r="N81" s="14">
        <f t="shared" si="23"/>
        <v>0</v>
      </c>
      <c r="Z81" s="889"/>
      <c r="AA81" s="887"/>
      <c r="AG81" s="891"/>
      <c r="AK81" s="887"/>
    </row>
    <row r="82" spans="1:37" ht="48">
      <c r="A82" s="1006" t="s">
        <v>145</v>
      </c>
      <c r="B82" s="1007" t="str">
        <f>估价对象房地状况!G4</f>
        <v>估价对象周边道路状况、公共交通通达情况、停车便捷程度，综合评价交通便捷度较好</v>
      </c>
      <c r="C82" s="1011"/>
      <c r="D82" s="1012">
        <f t="shared" si="19"/>
        <v>0</v>
      </c>
      <c r="E82" s="1025"/>
      <c r="F82" s="1357"/>
      <c r="G82" s="1293"/>
      <c r="H82" s="1294" t="str">
        <f t="shared" si="20"/>
        <v>——</v>
      </c>
      <c r="I82" s="1352">
        <v>0.33</v>
      </c>
      <c r="J82" s="14">
        <f t="shared" si="21"/>
        <v>0</v>
      </c>
      <c r="K82" s="14">
        <f t="shared" si="22"/>
        <v>0</v>
      </c>
      <c r="L82" s="14">
        <v>0</v>
      </c>
      <c r="M82" s="14">
        <f t="shared" si="23"/>
        <v>0</v>
      </c>
      <c r="N82" s="14">
        <f t="shared" si="23"/>
        <v>0</v>
      </c>
      <c r="Z82" s="889"/>
      <c r="AA82" s="887"/>
      <c r="AG82" s="891"/>
      <c r="AK82" s="887"/>
    </row>
    <row r="83" spans="1:37" ht="24">
      <c r="A83" s="1006" t="s">
        <v>38</v>
      </c>
      <c r="B83" s="1007" t="str">
        <f>估价对象房地状况!G5</f>
        <v>零星有其他用地，基本不影响本宗地</v>
      </c>
      <c r="C83" s="1011"/>
      <c r="D83" s="1012">
        <f t="shared" si="19"/>
        <v>0</v>
      </c>
      <c r="E83" s="1025"/>
      <c r="F83" s="1357"/>
      <c r="G83" s="1293"/>
      <c r="H83" s="1294" t="str">
        <f t="shared" si="20"/>
        <v>——</v>
      </c>
      <c r="I83" s="1352">
        <v>0.05</v>
      </c>
      <c r="J83" s="14">
        <f t="shared" si="21"/>
        <v>0</v>
      </c>
      <c r="K83" s="14">
        <f t="shared" si="22"/>
        <v>0</v>
      </c>
      <c r="L83" s="14">
        <v>0</v>
      </c>
      <c r="M83" s="14">
        <f t="shared" si="23"/>
        <v>0</v>
      </c>
      <c r="N83" s="14">
        <f t="shared" si="23"/>
        <v>0</v>
      </c>
      <c r="Z83" s="889"/>
      <c r="AA83" s="887"/>
      <c r="AG83" s="891"/>
      <c r="AK83" s="887"/>
    </row>
    <row r="84" spans="1:37" ht="14.25">
      <c r="A84" s="1006" t="s">
        <v>447</v>
      </c>
      <c r="B84" s="1007">
        <f>估价对象房地状况!G10</f>
        <v>0</v>
      </c>
      <c r="C84" s="1011"/>
      <c r="D84" s="1012">
        <f t="shared" si="19"/>
        <v>0</v>
      </c>
      <c r="E84" s="1025"/>
      <c r="F84" s="1357"/>
      <c r="G84" s="1293"/>
      <c r="H84" s="1294" t="str">
        <f t="shared" si="20"/>
        <v>——</v>
      </c>
      <c r="I84" s="1352">
        <v>0.04</v>
      </c>
      <c r="J84" s="14">
        <f t="shared" si="21"/>
        <v>0</v>
      </c>
      <c r="K84" s="14">
        <f t="shared" si="22"/>
        <v>0</v>
      </c>
      <c r="L84" s="14">
        <v>0</v>
      </c>
      <c r="M84" s="14">
        <f t="shared" si="23"/>
        <v>0</v>
      </c>
      <c r="N84" s="14">
        <f t="shared" si="23"/>
        <v>0</v>
      </c>
      <c r="Z84" s="889"/>
      <c r="AA84" s="887"/>
      <c r="AG84" s="891"/>
      <c r="AK84" s="887"/>
    </row>
    <row r="85" spans="1:37" ht="24">
      <c r="A85" s="1006" t="s">
        <v>444</v>
      </c>
      <c r="B85" s="1024" t="str">
        <f>估价对象房地状况!G7</f>
        <v>估价对象所在区域公共配套设施齐备情况</v>
      </c>
      <c r="C85" s="1011"/>
      <c r="D85" s="1012">
        <f t="shared" si="19"/>
        <v>0</v>
      </c>
      <c r="E85" s="1025"/>
      <c r="F85" s="1357"/>
      <c r="G85" s="1293"/>
      <c r="H85" s="1294" t="str">
        <f t="shared" si="20"/>
        <v>——</v>
      </c>
      <c r="I85" s="1352">
        <v>0.06</v>
      </c>
      <c r="J85" s="14">
        <f t="shared" si="21"/>
        <v>0</v>
      </c>
      <c r="K85" s="14">
        <f t="shared" si="22"/>
        <v>0</v>
      </c>
      <c r="L85" s="14">
        <v>0</v>
      </c>
      <c r="M85" s="14">
        <f t="shared" si="23"/>
        <v>0</v>
      </c>
      <c r="N85" s="14">
        <f t="shared" si="23"/>
        <v>0</v>
      </c>
      <c r="Z85" s="889"/>
      <c r="AA85" s="887"/>
      <c r="AG85" s="891"/>
      <c r="AK85" s="887"/>
    </row>
    <row r="86" spans="1:37" ht="24">
      <c r="A86" s="1006" t="s">
        <v>445</v>
      </c>
      <c r="B86" s="1024" t="str">
        <f>估价对象房地状况!G8</f>
        <v>估价对象所在区域基础设施水平</v>
      </c>
      <c r="C86" s="1011"/>
      <c r="D86" s="1012">
        <f t="shared" si="19"/>
        <v>0</v>
      </c>
      <c r="E86" s="1025"/>
      <c r="F86" s="1357"/>
      <c r="G86" s="1293"/>
      <c r="H86" s="1294" t="str">
        <f t="shared" si="20"/>
        <v>——</v>
      </c>
      <c r="I86" s="1352">
        <v>0.15</v>
      </c>
      <c r="J86" s="14">
        <f t="shared" si="21"/>
        <v>0</v>
      </c>
      <c r="K86" s="14">
        <f t="shared" si="22"/>
        <v>0</v>
      </c>
      <c r="L86" s="14">
        <v>0</v>
      </c>
      <c r="M86" s="14">
        <f t="shared" si="23"/>
        <v>0</v>
      </c>
      <c r="N86" s="14">
        <f t="shared" si="23"/>
        <v>0</v>
      </c>
      <c r="Z86" s="889"/>
      <c r="AA86" s="887"/>
      <c r="AG86" s="891"/>
      <c r="AK86" s="887"/>
    </row>
    <row r="87" spans="1:37" ht="24">
      <c r="A87" s="1006" t="s">
        <v>442</v>
      </c>
      <c r="B87" s="1018" t="s">
        <v>443</v>
      </c>
      <c r="C87" s="1011"/>
      <c r="D87" s="1012">
        <f t="shared" si="19"/>
        <v>0</v>
      </c>
      <c r="E87" s="1025"/>
      <c r="F87" s="1357"/>
      <c r="G87" s="1293"/>
      <c r="H87" s="1294" t="str">
        <f t="shared" si="20"/>
        <v>——</v>
      </c>
      <c r="I87" s="1352">
        <v>0.05</v>
      </c>
      <c r="J87" s="14">
        <f t="shared" si="21"/>
        <v>0</v>
      </c>
      <c r="K87" s="14">
        <f t="shared" si="22"/>
        <v>0</v>
      </c>
      <c r="L87" s="14">
        <v>0</v>
      </c>
      <c r="M87" s="14">
        <f t="shared" si="23"/>
        <v>0</v>
      </c>
      <c r="N87" s="14">
        <f t="shared" si="23"/>
        <v>0</v>
      </c>
      <c r="Z87" s="889"/>
      <c r="AA87" s="887"/>
      <c r="AG87" s="891"/>
      <c r="AK87" s="887"/>
    </row>
    <row r="88" spans="1:37" ht="36">
      <c r="A88" s="1051" t="s">
        <v>150</v>
      </c>
      <c r="B88" s="1054" t="str">
        <f>估价对象房地状况!G6</f>
        <v>该园区内无污染型企业，绿化较好，卫生条件良好，整体环境状况较好</v>
      </c>
      <c r="C88" s="1011"/>
      <c r="D88" s="1012">
        <f t="shared" si="19"/>
        <v>0</v>
      </c>
      <c r="E88" s="1053"/>
      <c r="F88" s="1357"/>
      <c r="G88" s="1293"/>
      <c r="H88" s="1294" t="str">
        <f t="shared" si="20"/>
        <v>——</v>
      </c>
      <c r="I88" s="1353">
        <v>0.06</v>
      </c>
      <c r="J88" s="14">
        <f t="shared" si="21"/>
        <v>0</v>
      </c>
      <c r="K88" s="14">
        <f t="shared" si="22"/>
        <v>0</v>
      </c>
      <c r="L88" s="14">
        <v>0</v>
      </c>
      <c r="M88" s="14">
        <f t="shared" si="23"/>
        <v>0</v>
      </c>
      <c r="N88" s="14">
        <f t="shared" si="23"/>
        <v>0</v>
      </c>
      <c r="Z88" s="889"/>
      <c r="AA88" s="887"/>
      <c r="AG88" s="891"/>
      <c r="AK88" s="887"/>
    </row>
    <row r="91" spans="1:37">
      <c r="A91" s="1687" t="s">
        <v>449</v>
      </c>
      <c r="B91" s="1687"/>
      <c r="C91" s="1687"/>
      <c r="D91" s="1687"/>
      <c r="E91" s="1687"/>
      <c r="F91" s="1687"/>
      <c r="G91" s="1687"/>
      <c r="H91" s="1687"/>
      <c r="I91" s="1687"/>
      <c r="J91" s="1687"/>
      <c r="K91" s="1358"/>
      <c r="L91" s="1358"/>
      <c r="M91" s="1358"/>
      <c r="N91" s="1358"/>
    </row>
    <row r="92" spans="1:37">
      <c r="A92" s="1697" t="s">
        <v>376</v>
      </c>
      <c r="B92" s="1697" t="s">
        <v>450</v>
      </c>
      <c r="C92" s="1268" t="s">
        <v>451</v>
      </c>
      <c r="D92" s="1269"/>
      <c r="E92" s="1269"/>
      <c r="F92" s="1269"/>
      <c r="G92" s="1269"/>
      <c r="H92" s="1269"/>
      <c r="I92" s="1269"/>
      <c r="J92" s="1377"/>
      <c r="K92" s="1091"/>
      <c r="L92" s="1091"/>
      <c r="M92" s="1091"/>
      <c r="N92" s="1091"/>
    </row>
    <row r="93" spans="1:37">
      <c r="A93" s="1697"/>
      <c r="B93" s="1697"/>
      <c r="C93" s="1087" t="s">
        <v>49</v>
      </c>
      <c r="D93" s="1087" t="s">
        <v>63</v>
      </c>
      <c r="E93" s="1087" t="s">
        <v>75</v>
      </c>
      <c r="F93" s="1087" t="s">
        <v>87</v>
      </c>
      <c r="G93" s="1087" t="s">
        <v>96</v>
      </c>
      <c r="H93" s="1087" t="s">
        <v>103</v>
      </c>
      <c r="I93" s="1087" t="s">
        <v>108</v>
      </c>
      <c r="J93" s="1087" t="s">
        <v>113</v>
      </c>
      <c r="K93" s="1087" t="s">
        <v>116</v>
      </c>
      <c r="L93" s="1087" t="s">
        <v>118</v>
      </c>
      <c r="M93" s="1087" t="s">
        <v>120</v>
      </c>
      <c r="N93" s="1087" t="s">
        <v>122</v>
      </c>
    </row>
    <row r="94" spans="1:37" ht="12.75">
      <c r="A94" s="1698" t="s">
        <v>452</v>
      </c>
      <c r="B94" s="1359">
        <v>1</v>
      </c>
      <c r="C94" s="1360">
        <v>1.9361999999999999</v>
      </c>
      <c r="D94" s="1360">
        <v>1.9361999999999999</v>
      </c>
      <c r="E94" s="1360">
        <v>1.8629</v>
      </c>
      <c r="F94" s="1360">
        <v>1.8629</v>
      </c>
      <c r="G94" s="1360">
        <v>1.8629</v>
      </c>
      <c r="H94" s="1360">
        <v>1.8629</v>
      </c>
      <c r="I94" s="1360">
        <v>1.8629</v>
      </c>
      <c r="J94" s="1360">
        <v>1.9419999999999999</v>
      </c>
      <c r="K94" s="1360">
        <v>1.9419999999999999</v>
      </c>
      <c r="L94" s="1360">
        <v>1.9419999999999999</v>
      </c>
      <c r="M94" s="1360">
        <v>1.9419999999999999</v>
      </c>
      <c r="N94" s="1360">
        <v>1.9419999999999999</v>
      </c>
    </row>
    <row r="95" spans="1:37" ht="12.75">
      <c r="A95" s="1699"/>
      <c r="B95" s="1359">
        <v>2</v>
      </c>
      <c r="C95" s="1360">
        <v>1.4198</v>
      </c>
      <c r="D95" s="1360">
        <v>1.4198</v>
      </c>
      <c r="E95" s="1360">
        <v>1.3371999999999999</v>
      </c>
      <c r="F95" s="1360">
        <v>1.3371999999999999</v>
      </c>
      <c r="G95" s="1360">
        <v>1.3371999999999999</v>
      </c>
      <c r="H95" s="1360">
        <v>1.3371999999999999</v>
      </c>
      <c r="I95" s="1360">
        <v>1.3371999999999999</v>
      </c>
      <c r="J95" s="1360">
        <v>1.2799</v>
      </c>
      <c r="K95" s="1360">
        <v>1.2799</v>
      </c>
      <c r="L95" s="1360">
        <v>1.2799</v>
      </c>
      <c r="M95" s="1360">
        <v>1.2799</v>
      </c>
      <c r="N95" s="1360">
        <v>1.2799</v>
      </c>
    </row>
    <row r="96" spans="1:37" ht="12.75">
      <c r="A96" s="1699"/>
      <c r="B96" s="1359">
        <v>3</v>
      </c>
      <c r="C96" s="1360">
        <v>1.1594</v>
      </c>
      <c r="D96" s="1360">
        <v>1.1594</v>
      </c>
      <c r="E96" s="1360">
        <v>1.0788</v>
      </c>
      <c r="F96" s="1360">
        <v>1.0788</v>
      </c>
      <c r="G96" s="1360">
        <v>1.0788</v>
      </c>
      <c r="H96" s="1360">
        <v>1.0788</v>
      </c>
      <c r="I96" s="1360">
        <v>1.0788</v>
      </c>
      <c r="J96" s="1360">
        <v>1.0072000000000001</v>
      </c>
      <c r="K96" s="1360">
        <v>1.0072000000000001</v>
      </c>
      <c r="L96" s="1360">
        <v>1.0072000000000001</v>
      </c>
      <c r="M96" s="1360">
        <v>1.0072000000000001</v>
      </c>
      <c r="N96" s="1360">
        <v>1.0072000000000001</v>
      </c>
    </row>
    <row r="97" spans="1:14" ht="12.75">
      <c r="A97" s="1699"/>
      <c r="B97" s="1359">
        <v>4</v>
      </c>
      <c r="C97" s="1360">
        <v>0.96220000000000006</v>
      </c>
      <c r="D97" s="1360">
        <v>0.96220000000000006</v>
      </c>
      <c r="E97" s="1360">
        <v>0.86560000000000004</v>
      </c>
      <c r="F97" s="1360">
        <v>0.86560000000000004</v>
      </c>
      <c r="G97" s="1360">
        <v>0.86560000000000004</v>
      </c>
      <c r="H97" s="1360">
        <v>0.86560000000000004</v>
      </c>
      <c r="I97" s="1360">
        <v>0.86560000000000004</v>
      </c>
      <c r="J97" s="1360">
        <v>0.75249999999999995</v>
      </c>
      <c r="K97" s="1360">
        <v>0.75249999999999995</v>
      </c>
      <c r="L97" s="1360">
        <v>0.75249999999999995</v>
      </c>
      <c r="M97" s="1360">
        <v>0.75249999999999995</v>
      </c>
      <c r="N97" s="1360">
        <v>0.75249999999999995</v>
      </c>
    </row>
    <row r="98" spans="1:14" ht="12.75">
      <c r="A98" s="1699"/>
      <c r="B98" s="1359">
        <v>5</v>
      </c>
      <c r="C98" s="1360">
        <v>0.8417</v>
      </c>
      <c r="D98" s="1360">
        <v>0.8417</v>
      </c>
      <c r="E98" s="1360">
        <v>0.73709999999999998</v>
      </c>
      <c r="F98" s="1360">
        <v>0.73709999999999998</v>
      </c>
      <c r="G98" s="1360">
        <v>0.73709999999999998</v>
      </c>
      <c r="H98" s="1360">
        <v>0.73709999999999998</v>
      </c>
      <c r="I98" s="1360">
        <v>0.73709999999999998</v>
      </c>
      <c r="J98" s="1360">
        <v>0.56589999999999996</v>
      </c>
      <c r="K98" s="1360">
        <v>0.56589999999999996</v>
      </c>
      <c r="L98" s="1360">
        <v>0.56589999999999996</v>
      </c>
      <c r="M98" s="1360">
        <v>0.56589999999999996</v>
      </c>
      <c r="N98" s="1360">
        <v>0.56589999999999996</v>
      </c>
    </row>
    <row r="99" spans="1:14" ht="12.75">
      <c r="A99" s="1699"/>
      <c r="B99" s="1359">
        <v>6</v>
      </c>
      <c r="C99" s="1360">
        <v>0.76080000000000003</v>
      </c>
      <c r="D99" s="1360">
        <v>0.76080000000000003</v>
      </c>
      <c r="E99" s="1360">
        <v>0.6482</v>
      </c>
      <c r="F99" s="1360">
        <v>0.6482</v>
      </c>
      <c r="G99" s="1360">
        <v>0.6482</v>
      </c>
      <c r="H99" s="1360">
        <v>0.6482</v>
      </c>
      <c r="I99" s="1360">
        <v>0.6482</v>
      </c>
      <c r="J99" s="1360">
        <v>0.45250000000000001</v>
      </c>
      <c r="K99" s="1360">
        <v>0.45250000000000001</v>
      </c>
      <c r="L99" s="1360">
        <v>0.45250000000000001</v>
      </c>
      <c r="M99" s="1360">
        <v>0.45250000000000001</v>
      </c>
      <c r="N99" s="1360">
        <v>0.45250000000000001</v>
      </c>
    </row>
    <row r="100" spans="1:14" ht="12.75">
      <c r="A100" s="1699"/>
      <c r="B100" s="1359" t="s">
        <v>453</v>
      </c>
      <c r="C100" s="1361">
        <f>$I$3</f>
        <v>1</v>
      </c>
      <c r="D100" s="1361">
        <f t="shared" ref="D100:N100" si="24">$I$3</f>
        <v>1</v>
      </c>
      <c r="E100" s="1361">
        <f t="shared" si="24"/>
        <v>1</v>
      </c>
      <c r="F100" s="1361">
        <f t="shared" si="24"/>
        <v>1</v>
      </c>
      <c r="G100" s="1361">
        <f t="shared" si="24"/>
        <v>1</v>
      </c>
      <c r="H100" s="1361">
        <f t="shared" si="24"/>
        <v>1</v>
      </c>
      <c r="I100" s="1361">
        <f t="shared" si="24"/>
        <v>1</v>
      </c>
      <c r="J100" s="1361">
        <f t="shared" si="24"/>
        <v>1</v>
      </c>
      <c r="K100" s="1361">
        <f t="shared" si="24"/>
        <v>1</v>
      </c>
      <c r="L100" s="1361">
        <f t="shared" si="24"/>
        <v>1</v>
      </c>
      <c r="M100" s="1361">
        <f t="shared" si="24"/>
        <v>1</v>
      </c>
      <c r="N100" s="1361">
        <f t="shared" si="24"/>
        <v>1</v>
      </c>
    </row>
    <row r="101" spans="1:14" ht="12.75">
      <c r="A101" s="1700"/>
      <c r="B101" s="1359">
        <v>7</v>
      </c>
      <c r="C101" s="1362">
        <f>(-0.163*(C100^2)-0.59*C100+7617)*(10^(-4))</f>
        <v>0.76162470000000004</v>
      </c>
      <c r="D101" s="1362">
        <f>(-0.163*(D100^2)-0.59*D100+7617)*(10^(-4))</f>
        <v>0.76162470000000004</v>
      </c>
      <c r="E101" s="1362">
        <f>(-0.161*(E100^2)-7.509*E100+6533)*(10^(-4))</f>
        <v>0.65253300000000003</v>
      </c>
      <c r="F101" s="1362">
        <f>(-0.161*(F100^2)-7.509*F100+6533)*(10^(-4))</f>
        <v>0.65253300000000003</v>
      </c>
      <c r="G101" s="1362">
        <f>(-0.161*(G100^2)-7.509*G100+6533)*(10^(-4))</f>
        <v>0.65253300000000003</v>
      </c>
      <c r="H101" s="1362">
        <f>(-0.161*(H100^2)-7.509*H100+6533)*(10^(-4))</f>
        <v>0.65253300000000003</v>
      </c>
      <c r="I101" s="1362">
        <f>(-0.161*(I100^2)-7.509*I100+6533)*(10^(-4))</f>
        <v>0.65253300000000003</v>
      </c>
      <c r="J101" s="1362">
        <f>(-0.214*(J100^2)-21.991*J100+4665)*(10^(-4))</f>
        <v>0.46427950000000001</v>
      </c>
      <c r="K101" s="1362">
        <f>(-0.214*(K100^2)-21.991*K100+4665)*(10^(-4))</f>
        <v>0.46427950000000001</v>
      </c>
      <c r="L101" s="1362">
        <f>(-0.214*(L100^2)-21.991*L100+4665)*(10^(-4))</f>
        <v>0.46427950000000001</v>
      </c>
      <c r="M101" s="1362">
        <f>(-0.214*(M100^2)-21.991*M100+4665)*(10^(-4))</f>
        <v>0.46427950000000001</v>
      </c>
      <c r="N101" s="1362">
        <f>(-0.214*(N100^2)-21.991*N100+4665)*(10^(-4))</f>
        <v>0.46427950000000001</v>
      </c>
    </row>
    <row r="102" spans="1:14" ht="12.75">
      <c r="A102" s="1698" t="s">
        <v>454</v>
      </c>
      <c r="B102" s="1363" t="s">
        <v>455</v>
      </c>
      <c r="C102" s="1364" t="e">
        <f>$G$3</f>
        <v>#DIV/0!</v>
      </c>
      <c r="D102" s="1364" t="e">
        <f t="shared" ref="D102:N102" si="25">$G$3</f>
        <v>#DIV/0!</v>
      </c>
      <c r="E102" s="1364" t="e">
        <f t="shared" si="25"/>
        <v>#DIV/0!</v>
      </c>
      <c r="F102" s="1364" t="e">
        <f t="shared" si="25"/>
        <v>#DIV/0!</v>
      </c>
      <c r="G102" s="1364" t="e">
        <f t="shared" si="25"/>
        <v>#DIV/0!</v>
      </c>
      <c r="H102" s="1364" t="e">
        <f t="shared" si="25"/>
        <v>#DIV/0!</v>
      </c>
      <c r="I102" s="1364" t="e">
        <f t="shared" si="25"/>
        <v>#DIV/0!</v>
      </c>
      <c r="J102" s="1364" t="e">
        <f t="shared" si="25"/>
        <v>#DIV/0!</v>
      </c>
      <c r="K102" s="1364" t="e">
        <f t="shared" si="25"/>
        <v>#DIV/0!</v>
      </c>
      <c r="L102" s="1364" t="e">
        <f t="shared" si="25"/>
        <v>#DIV/0!</v>
      </c>
      <c r="M102" s="1364" t="e">
        <f t="shared" si="25"/>
        <v>#DIV/0!</v>
      </c>
      <c r="N102" s="1364" t="e">
        <f t="shared" si="25"/>
        <v>#DIV/0!</v>
      </c>
    </row>
    <row r="103" spans="1:14" ht="12.75">
      <c r="A103" s="1699"/>
      <c r="B103" s="1359">
        <v>1</v>
      </c>
      <c r="C103" s="1360" t="e">
        <f>1.9362/C102</f>
        <v>#DIV/0!</v>
      </c>
      <c r="D103" s="1360" t="e">
        <f>1.9362/D102</f>
        <v>#DIV/0!</v>
      </c>
      <c r="E103" s="1360" t="e">
        <f>1.8629/E102</f>
        <v>#DIV/0!</v>
      </c>
      <c r="F103" s="1360" t="e">
        <f>1.8629/F102</f>
        <v>#DIV/0!</v>
      </c>
      <c r="G103" s="1360" t="e">
        <f>1.8629/G102</f>
        <v>#DIV/0!</v>
      </c>
      <c r="H103" s="1360" t="e">
        <f>1.8629/H102</f>
        <v>#DIV/0!</v>
      </c>
      <c r="I103" s="1360" t="e">
        <f>1.8629/I102</f>
        <v>#DIV/0!</v>
      </c>
      <c r="J103" s="1360" t="e">
        <f>1.942/J102</f>
        <v>#DIV/0!</v>
      </c>
      <c r="K103" s="1360" t="e">
        <f>1.942/K102</f>
        <v>#DIV/0!</v>
      </c>
      <c r="L103" s="1360" t="e">
        <f>1.942/L102</f>
        <v>#DIV/0!</v>
      </c>
      <c r="M103" s="1360" t="e">
        <f>1.942/M102</f>
        <v>#DIV/0!</v>
      </c>
      <c r="N103" s="1360" t="e">
        <f>1.942/N102</f>
        <v>#DIV/0!</v>
      </c>
    </row>
    <row r="104" spans="1:14" ht="12.75">
      <c r="A104" s="1699"/>
      <c r="B104" s="1359">
        <v>2</v>
      </c>
      <c r="C104" s="1360" t="e">
        <f>1.4198/C102</f>
        <v>#DIV/0!</v>
      </c>
      <c r="D104" s="1360" t="e">
        <f>1.4198/D102</f>
        <v>#DIV/0!</v>
      </c>
      <c r="E104" s="1360" t="e">
        <f>1.3372/E102</f>
        <v>#DIV/0!</v>
      </c>
      <c r="F104" s="1360" t="e">
        <f>1.3372/F102</f>
        <v>#DIV/0!</v>
      </c>
      <c r="G104" s="1360" t="e">
        <f>1.3372/G102</f>
        <v>#DIV/0!</v>
      </c>
      <c r="H104" s="1360" t="e">
        <f>1.3372/H102</f>
        <v>#DIV/0!</v>
      </c>
      <c r="I104" s="1360" t="e">
        <f>1.3372/I102</f>
        <v>#DIV/0!</v>
      </c>
      <c r="J104" s="1360" t="e">
        <f>1.2799/J102</f>
        <v>#DIV/0!</v>
      </c>
      <c r="K104" s="1360" t="e">
        <f>1.2799/K102</f>
        <v>#DIV/0!</v>
      </c>
      <c r="L104" s="1360" t="e">
        <f>1.2799/L102</f>
        <v>#DIV/0!</v>
      </c>
      <c r="M104" s="1360" t="e">
        <f>1.2799/M102</f>
        <v>#DIV/0!</v>
      </c>
      <c r="N104" s="1360" t="e">
        <f>1.2799/N102</f>
        <v>#DIV/0!</v>
      </c>
    </row>
    <row r="105" spans="1:14" ht="12.75">
      <c r="A105" s="1699"/>
      <c r="B105" s="1359">
        <v>3</v>
      </c>
      <c r="C105" s="1360" t="e">
        <f>1.1594/C102</f>
        <v>#DIV/0!</v>
      </c>
      <c r="D105" s="1360" t="e">
        <f>1.1594/D102</f>
        <v>#DIV/0!</v>
      </c>
      <c r="E105" s="1360" t="e">
        <f>1.0788/E102</f>
        <v>#DIV/0!</v>
      </c>
      <c r="F105" s="1360" t="e">
        <f>1.0788/F102</f>
        <v>#DIV/0!</v>
      </c>
      <c r="G105" s="1360" t="e">
        <f>1.0788/G102</f>
        <v>#DIV/0!</v>
      </c>
      <c r="H105" s="1360" t="e">
        <f>1.0788/H102</f>
        <v>#DIV/0!</v>
      </c>
      <c r="I105" s="1360" t="e">
        <f>1.0788/I102</f>
        <v>#DIV/0!</v>
      </c>
      <c r="J105" s="1360" t="e">
        <f>1.0072/J102</f>
        <v>#DIV/0!</v>
      </c>
      <c r="K105" s="1360" t="e">
        <f>1.0072/K102</f>
        <v>#DIV/0!</v>
      </c>
      <c r="L105" s="1360" t="e">
        <f>1.0072/L102</f>
        <v>#DIV/0!</v>
      </c>
      <c r="M105" s="1360" t="e">
        <f>1.0072/M102</f>
        <v>#DIV/0!</v>
      </c>
      <c r="N105" s="1360" t="e">
        <f>1.0072/N102</f>
        <v>#DIV/0!</v>
      </c>
    </row>
    <row r="106" spans="1:14" ht="12.75">
      <c r="A106" s="1699"/>
      <c r="B106" s="1359">
        <v>4</v>
      </c>
      <c r="C106" s="1360" t="e">
        <f>0.9622/C102</f>
        <v>#DIV/0!</v>
      </c>
      <c r="D106" s="1360" t="e">
        <f>0.9622/D102</f>
        <v>#DIV/0!</v>
      </c>
      <c r="E106" s="1360" t="e">
        <f>0.8656/E102</f>
        <v>#DIV/0!</v>
      </c>
      <c r="F106" s="1360" t="e">
        <f>0.8656/F102</f>
        <v>#DIV/0!</v>
      </c>
      <c r="G106" s="1360" t="e">
        <f>0.8656/G102</f>
        <v>#DIV/0!</v>
      </c>
      <c r="H106" s="1360" t="e">
        <f>0.8656/H102</f>
        <v>#DIV/0!</v>
      </c>
      <c r="I106" s="1360" t="e">
        <f>0.8656/I102</f>
        <v>#DIV/0!</v>
      </c>
      <c r="J106" s="1360" t="e">
        <f>0.7525/J102</f>
        <v>#DIV/0!</v>
      </c>
      <c r="K106" s="1360" t="e">
        <f>0.7525/K102</f>
        <v>#DIV/0!</v>
      </c>
      <c r="L106" s="1360" t="e">
        <f>0.7525/L102</f>
        <v>#DIV/0!</v>
      </c>
      <c r="M106" s="1360" t="e">
        <f>0.7525/M102</f>
        <v>#DIV/0!</v>
      </c>
      <c r="N106" s="1360" t="e">
        <f>0.7525/N102</f>
        <v>#DIV/0!</v>
      </c>
    </row>
    <row r="107" spans="1:14" ht="12.75">
      <c r="A107" s="1699"/>
      <c r="B107" s="1359">
        <v>5</v>
      </c>
      <c r="C107" s="1360" t="e">
        <f>0.8417/C102</f>
        <v>#DIV/0!</v>
      </c>
      <c r="D107" s="1360" t="e">
        <f>0.8417/D102</f>
        <v>#DIV/0!</v>
      </c>
      <c r="E107" s="1360" t="e">
        <f>0.7371/E102</f>
        <v>#DIV/0!</v>
      </c>
      <c r="F107" s="1360" t="e">
        <f>0.7371/F102</f>
        <v>#DIV/0!</v>
      </c>
      <c r="G107" s="1360" t="e">
        <f>0.7371/G102</f>
        <v>#DIV/0!</v>
      </c>
      <c r="H107" s="1360" t="e">
        <f>0.7371/H102</f>
        <v>#DIV/0!</v>
      </c>
      <c r="I107" s="1360" t="e">
        <f>0.7371/I102</f>
        <v>#DIV/0!</v>
      </c>
      <c r="J107" s="1360" t="e">
        <f>0.5659/J102</f>
        <v>#DIV/0!</v>
      </c>
      <c r="K107" s="1360" t="e">
        <f>0.5659/K102</f>
        <v>#DIV/0!</v>
      </c>
      <c r="L107" s="1360" t="e">
        <f>0.5659/L102</f>
        <v>#DIV/0!</v>
      </c>
      <c r="M107" s="1360" t="e">
        <f>0.5659/M102</f>
        <v>#DIV/0!</v>
      </c>
      <c r="N107" s="1360" t="e">
        <f>0.5659/N102</f>
        <v>#DIV/0!</v>
      </c>
    </row>
    <row r="108" spans="1:14" ht="12.75">
      <c r="A108" s="1699"/>
      <c r="B108" s="1359">
        <v>6</v>
      </c>
      <c r="C108" s="1360" t="e">
        <f>0.7608/C102</f>
        <v>#DIV/0!</v>
      </c>
      <c r="D108" s="1360" t="e">
        <f>0.7608/D102</f>
        <v>#DIV/0!</v>
      </c>
      <c r="E108" s="1360" t="e">
        <f>0.6482/E102</f>
        <v>#DIV/0!</v>
      </c>
      <c r="F108" s="1360" t="e">
        <f>0.6482/F102</f>
        <v>#DIV/0!</v>
      </c>
      <c r="G108" s="1360" t="e">
        <f>0.6482/G102</f>
        <v>#DIV/0!</v>
      </c>
      <c r="H108" s="1360" t="e">
        <f>0.6482/H102</f>
        <v>#DIV/0!</v>
      </c>
      <c r="I108" s="1360" t="e">
        <f>0.6482/I102</f>
        <v>#DIV/0!</v>
      </c>
      <c r="J108" s="1360" t="e">
        <f>0.4525/J102</f>
        <v>#DIV/0!</v>
      </c>
      <c r="K108" s="1360" t="e">
        <f>0.4525/K102</f>
        <v>#DIV/0!</v>
      </c>
      <c r="L108" s="1360" t="e">
        <f>0.4525/L102</f>
        <v>#DIV/0!</v>
      </c>
      <c r="M108" s="1360" t="e">
        <f>0.4525/M102</f>
        <v>#DIV/0!</v>
      </c>
      <c r="N108" s="1360" t="e">
        <f>0.4525/N102</f>
        <v>#DIV/0!</v>
      </c>
    </row>
    <row r="109" spans="1:14" ht="12.75">
      <c r="A109" s="1699"/>
      <c r="B109" s="1701" t="s">
        <v>456</v>
      </c>
      <c r="C109" s="1361">
        <f>C100</f>
        <v>1</v>
      </c>
      <c r="D109" s="1361">
        <f t="shared" ref="D109:N109" si="26">D100</f>
        <v>1</v>
      </c>
      <c r="E109" s="1361">
        <f t="shared" si="26"/>
        <v>1</v>
      </c>
      <c r="F109" s="1361">
        <f t="shared" si="26"/>
        <v>1</v>
      </c>
      <c r="G109" s="1361">
        <f t="shared" si="26"/>
        <v>1</v>
      </c>
      <c r="H109" s="1361">
        <f t="shared" si="26"/>
        <v>1</v>
      </c>
      <c r="I109" s="1361">
        <f t="shared" si="26"/>
        <v>1</v>
      </c>
      <c r="J109" s="1361">
        <f t="shared" si="26"/>
        <v>1</v>
      </c>
      <c r="K109" s="1361">
        <f t="shared" si="26"/>
        <v>1</v>
      </c>
      <c r="L109" s="1361">
        <f t="shared" si="26"/>
        <v>1</v>
      </c>
      <c r="M109" s="1361">
        <f t="shared" si="26"/>
        <v>1</v>
      </c>
      <c r="N109" s="1361">
        <f t="shared" si="26"/>
        <v>1</v>
      </c>
    </row>
    <row r="110" spans="1:14" ht="12.75">
      <c r="A110" s="1700"/>
      <c r="B110" s="1702"/>
      <c r="C110" s="1362" t="e">
        <f>(-0.163*(C109^2)-0.59*C109+7617)*(10^(-4))/C102</f>
        <v>#DIV/0!</v>
      </c>
      <c r="D110" s="1362" t="e">
        <f>(-0.163*(D109^2)-0.59*D109+7617)*(10^(-4))/D102</f>
        <v>#DIV/0!</v>
      </c>
      <c r="E110" s="1362" t="e">
        <f>(-0.161*(E109^2)-7.509*E109+6533)*(10^(-4))/E102</f>
        <v>#DIV/0!</v>
      </c>
      <c r="F110" s="1362" t="e">
        <f>(-0.161*(F109^2)-7.509*F109+6533)*(10^(-4))/F102</f>
        <v>#DIV/0!</v>
      </c>
      <c r="G110" s="1362" t="e">
        <f>(-0.161*(G109^2)-7.509*G109+6533)*(10^(-4))/G102</f>
        <v>#DIV/0!</v>
      </c>
      <c r="H110" s="1362" t="e">
        <f>(-0.161*(H109^2)-7.509*H109+6533)*(10^(-4))/H102</f>
        <v>#DIV/0!</v>
      </c>
      <c r="I110" s="1362" t="e">
        <f>(-0.161*(I109^2)-7.509*I109+6533)*(10^(-4))/I102</f>
        <v>#DIV/0!</v>
      </c>
      <c r="J110" s="1362" t="e">
        <f>(-0.214*(J109^2)-21.991*J109+4665)*(10^(-4))/J102</f>
        <v>#DIV/0!</v>
      </c>
      <c r="K110" s="1362" t="e">
        <f>(-0.214*(K109^2)-21.991*K109+4665)*(10^(-4))/K102</f>
        <v>#DIV/0!</v>
      </c>
      <c r="L110" s="1362" t="e">
        <f>(-0.214*(L109^2)-21.991*L109+4665)*(10^(-4))/L102</f>
        <v>#DIV/0!</v>
      </c>
      <c r="M110" s="1362" t="e">
        <f>(-0.214*(M109^2)-21.991*M109+4665)*(10^(-4))/M102</f>
        <v>#DIV/0!</v>
      </c>
      <c r="N110" s="1362" t="e">
        <f>(-0.214*(N109^2)-21.991*N109+4665)*(10^(-4))/N102</f>
        <v>#DIV/0!</v>
      </c>
    </row>
    <row r="111" spans="1:14">
      <c r="A111" s="1688" t="s">
        <v>457</v>
      </c>
      <c r="B111" s="1688"/>
      <c r="C111" s="1688"/>
      <c r="D111" s="1688"/>
      <c r="E111" s="1688"/>
      <c r="F111" s="1688"/>
      <c r="G111" s="1688"/>
      <c r="H111" s="1688"/>
      <c r="I111" s="1688"/>
      <c r="J111" s="1688"/>
      <c r="K111" s="1365"/>
      <c r="L111" s="1365"/>
      <c r="M111" s="1365"/>
      <c r="N111" s="1365"/>
    </row>
    <row r="114" spans="1:13" ht="14.25">
      <c r="A114" s="1366" t="s">
        <v>458</v>
      </c>
      <c r="B114" s="1367" t="e">
        <f>G3</f>
        <v>#DIV/0!</v>
      </c>
      <c r="C114" s="1368" t="s">
        <v>459</v>
      </c>
      <c r="D114" s="1369" t="e">
        <f>SUMPRODUCT((A116:A119=F114)*(B115:M115=H114)*B116:M119)</f>
        <v>#DIV/0!</v>
      </c>
      <c r="E114" s="3" t="s">
        <v>376</v>
      </c>
      <c r="F114" s="1370" t="str">
        <f>E2</f>
        <v>住宅/居住</v>
      </c>
      <c r="G114" s="3" t="s">
        <v>25</v>
      </c>
      <c r="H114" s="1370" t="str">
        <f>G2</f>
        <v>五级</v>
      </c>
      <c r="I114" s="3"/>
      <c r="J114"/>
      <c r="K114"/>
      <c r="L114"/>
      <c r="M114"/>
    </row>
    <row r="115" spans="1:13">
      <c r="A115" s="1371"/>
      <c r="B115" s="1372" t="s">
        <v>49</v>
      </c>
      <c r="C115" s="1372" t="s">
        <v>63</v>
      </c>
      <c r="D115" s="1372" t="s">
        <v>75</v>
      </c>
      <c r="E115" s="1373" t="s">
        <v>87</v>
      </c>
      <c r="F115" s="1373" t="s">
        <v>96</v>
      </c>
      <c r="G115" s="1373" t="s">
        <v>103</v>
      </c>
      <c r="H115" s="1374" t="s">
        <v>108</v>
      </c>
      <c r="I115" s="1374" t="s">
        <v>113</v>
      </c>
      <c r="J115" s="1378" t="s">
        <v>116</v>
      </c>
      <c r="K115" s="1378" t="s">
        <v>118</v>
      </c>
      <c r="L115" s="1378" t="s">
        <v>120</v>
      </c>
      <c r="M115" s="1379" t="s">
        <v>122</v>
      </c>
    </row>
    <row r="116" spans="1:13" ht="12.75">
      <c r="A116" s="1056" t="s">
        <v>377</v>
      </c>
      <c r="B116" s="1375" t="e">
        <f>ROUND(0.9335-0.0094*B114,4)</f>
        <v>#DIV/0!</v>
      </c>
      <c r="C116" s="1375" t="e">
        <f>B116</f>
        <v>#DIV/0!</v>
      </c>
      <c r="D116" s="1375" t="e">
        <f>ROUND(0.8331-0.0109*B114,4)</f>
        <v>#DIV/0!</v>
      </c>
      <c r="E116" s="1375" t="e">
        <f>D116</f>
        <v>#DIV/0!</v>
      </c>
      <c r="F116" s="1375" t="e">
        <f>E116</f>
        <v>#DIV/0!</v>
      </c>
      <c r="G116" s="1375" t="e">
        <f>F116</f>
        <v>#DIV/0!</v>
      </c>
      <c r="H116" s="1375" t="e">
        <f>G116</f>
        <v>#DIV/0!</v>
      </c>
      <c r="I116" s="1375" t="e">
        <f>ROUND(0.689-0.0155*B114,4)</f>
        <v>#DIV/0!</v>
      </c>
      <c r="J116" s="1375" t="e">
        <f t="shared" ref="J116:M119" si="27">I116</f>
        <v>#DIV/0!</v>
      </c>
      <c r="K116" s="1375" t="e">
        <f t="shared" si="27"/>
        <v>#DIV/0!</v>
      </c>
      <c r="L116" s="1375" t="e">
        <f t="shared" si="27"/>
        <v>#DIV/0!</v>
      </c>
      <c r="M116" s="1380" t="e">
        <f t="shared" si="27"/>
        <v>#DIV/0!</v>
      </c>
    </row>
    <row r="117" spans="1:13" ht="12.75">
      <c r="A117" s="1056" t="s">
        <v>78</v>
      </c>
      <c r="B117" s="1375" t="e">
        <f>ROUND(0.949-0.012*B114,4)</f>
        <v>#DIV/0!</v>
      </c>
      <c r="C117" s="1375" t="e">
        <f>B117</f>
        <v>#DIV/0!</v>
      </c>
      <c r="D117" s="1375" t="e">
        <f>ROUND(0.8567-0.013*B114,4)</f>
        <v>#DIV/0!</v>
      </c>
      <c r="E117" s="1375" t="e">
        <f t="shared" ref="E117:H118" si="28">D117</f>
        <v>#DIV/0!</v>
      </c>
      <c r="F117" s="1375" t="e">
        <f t="shared" si="28"/>
        <v>#DIV/0!</v>
      </c>
      <c r="G117" s="1375" t="e">
        <f t="shared" si="28"/>
        <v>#DIV/0!</v>
      </c>
      <c r="H117" s="1375" t="e">
        <f t="shared" si="28"/>
        <v>#DIV/0!</v>
      </c>
      <c r="I117" s="1375" t="e">
        <f>ROUND(0.7694-0.014*B114,4)</f>
        <v>#DIV/0!</v>
      </c>
      <c r="J117" s="1375" t="e">
        <f t="shared" si="27"/>
        <v>#DIV/0!</v>
      </c>
      <c r="K117" s="1375" t="e">
        <f t="shared" si="27"/>
        <v>#DIV/0!</v>
      </c>
      <c r="L117" s="1375" t="e">
        <f t="shared" si="27"/>
        <v>#DIV/0!</v>
      </c>
      <c r="M117" s="1380" t="e">
        <f t="shared" si="27"/>
        <v>#DIV/0!</v>
      </c>
    </row>
    <row r="118" spans="1:13" ht="12.75">
      <c r="A118" s="1056" t="s">
        <v>53</v>
      </c>
      <c r="B118" s="1375" t="e">
        <f>ROUND(0.8808-0.006*B114,4)</f>
        <v>#DIV/0!</v>
      </c>
      <c r="C118" s="1375" t="e">
        <f>B118</f>
        <v>#DIV/0!</v>
      </c>
      <c r="D118" s="1375" t="e">
        <f>ROUND(0.8748-0.008*B114,4)</f>
        <v>#DIV/0!</v>
      </c>
      <c r="E118" s="1375" t="e">
        <f t="shared" si="28"/>
        <v>#DIV/0!</v>
      </c>
      <c r="F118" s="1375" t="e">
        <f t="shared" si="28"/>
        <v>#DIV/0!</v>
      </c>
      <c r="G118" s="1375" t="e">
        <f t="shared" si="28"/>
        <v>#DIV/0!</v>
      </c>
      <c r="H118" s="1375" t="e">
        <f t="shared" si="28"/>
        <v>#DIV/0!</v>
      </c>
      <c r="I118" s="1375" t="e">
        <f>ROUND(0.7412-0.0095*B114,4)</f>
        <v>#DIV/0!</v>
      </c>
      <c r="J118" s="1375" t="e">
        <f t="shared" si="27"/>
        <v>#DIV/0!</v>
      </c>
      <c r="K118" s="1375" t="e">
        <f t="shared" si="27"/>
        <v>#DIV/0!</v>
      </c>
      <c r="L118" s="1375" t="e">
        <f t="shared" si="27"/>
        <v>#DIV/0!</v>
      </c>
      <c r="M118" s="1380" t="e">
        <f t="shared" si="27"/>
        <v>#DIV/0!</v>
      </c>
    </row>
    <row r="119" spans="1:13" ht="12.75">
      <c r="A119" s="1057" t="s">
        <v>137</v>
      </c>
      <c r="B119" s="1376" t="e">
        <f>ROUND(0.7275-0.01*B114,4)</f>
        <v>#DIV/0!</v>
      </c>
      <c r="C119" s="1376" t="e">
        <f>B119</f>
        <v>#DIV/0!</v>
      </c>
      <c r="D119" s="1376" t="e">
        <f>ROUND(0.7043-0.012*B114,4)</f>
        <v>#DIV/0!</v>
      </c>
      <c r="E119" s="1376" t="e">
        <f>D119</f>
        <v>#DIV/0!</v>
      </c>
      <c r="F119" s="1376" t="e">
        <f>E119</f>
        <v>#DIV/0!</v>
      </c>
      <c r="G119" s="1376" t="e">
        <f>ROUND(0.6299-0.0122*B114,4)</f>
        <v>#DIV/0!</v>
      </c>
      <c r="H119" s="1376" t="e">
        <f>G119</f>
        <v>#DIV/0!</v>
      </c>
      <c r="I119" s="1376" t="e">
        <f>ROUND(0.5667-0.0136*B114,4)</f>
        <v>#DIV/0!</v>
      </c>
      <c r="J119" s="1376" t="e">
        <f t="shared" si="27"/>
        <v>#DIV/0!</v>
      </c>
      <c r="K119" s="1376" t="e">
        <f t="shared" si="27"/>
        <v>#DIV/0!</v>
      </c>
      <c r="L119" s="1376" t="e">
        <f t="shared" si="27"/>
        <v>#DIV/0!</v>
      </c>
      <c r="M119" s="1381" t="e">
        <f t="shared" si="27"/>
        <v>#DIV/0!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3" xr:uid="{00000000-0002-0000-0600-000000000000}">
      <formula1>"容积率,设定容积率"</formula1>
    </dataValidation>
    <dataValidation type="list" allowBlank="1" showInputMessage="1" showErrorMessage="1" sqref="F1" xr:uid="{00000000-0002-0000-0600-000001000000}">
      <formula1>"地上,地下"</formula1>
    </dataValidation>
    <dataValidation type="list" allowBlank="1" showInputMessage="1" showErrorMessage="1" sqref="C8" xr:uid="{00000000-0002-0000-0600-000002000000}">
      <formula1>商业街名称</formula1>
    </dataValidation>
    <dataValidation type="list" allowBlank="1" showInputMessage="1" showErrorMessage="1" sqref="G1" xr:uid="{00000000-0002-0000-0600-000003000000}">
      <formula1>地下</formula1>
    </dataValidation>
    <dataValidation type="list" allowBlank="1" showInputMessage="1" showErrorMessage="1" sqref="E3" xr:uid="{00000000-0002-0000-0600-000004000000}">
      <formula1>二级分类</formula1>
    </dataValidation>
    <dataValidation type="list" allowBlank="1" showInputMessage="1" showErrorMessage="1" sqref="H16:O16" xr:uid="{00000000-0002-0000-0600-000005000000}">
      <formula1>七通一平</formula1>
    </dataValidation>
    <dataValidation type="list" allowBlank="1" showInputMessage="1" showErrorMessage="1" sqref="C14:E14" xr:uid="{00000000-0002-0000-0600-000006000000}">
      <formula1>"有,无"</formula1>
    </dataValidation>
    <dataValidation type="list" allowBlank="1" showInputMessage="1" showErrorMessage="1" sqref="F14" xr:uid="{00000000-0002-0000-0600-000007000000}">
      <formula1>"500米范围内,500-1000米,1000米以外"</formula1>
    </dataValidation>
    <dataValidation type="list" allowBlank="1" showInputMessage="1" showErrorMessage="1" sqref="F17" xr:uid="{00000000-0002-0000-0600-000008000000}">
      <formula1>"与级别开发程度一致,与级别开发程度不一致"</formula1>
    </dataValidation>
    <dataValidation type="list" allowBlank="1" showInputMessage="1" showErrorMessage="1" sqref="N19" xr:uid="{00000000-0002-0000-0600-000009000000}">
      <formula1>季度2014</formula1>
    </dataValidation>
    <dataValidation type="list" allowBlank="1" showInputMessage="1" showErrorMessage="1" sqref="H20" xr:uid="{00000000-0002-0000-0600-00000A000000}">
      <formula1>"剩余土地使用年限,剩余土地使用年限（设定）"</formula1>
    </dataValidation>
    <dataValidation type="list" allowBlank="1" showInputMessage="1" showErrorMessage="1" sqref="B21" xr:uid="{00000000-0002-0000-0600-00000B000000}">
      <formula1>"容积率修正,楼层修正"</formula1>
    </dataValidation>
    <dataValidation type="list" allowBlank="1" showInputMessage="1" showErrorMessage="1" sqref="C48:C56 C59:C67 C70:C78 C81:C88" xr:uid="{00000000-0002-0000-0600-00000C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ColWidth="9" defaultRowHeight="13.5"/>
  <cols>
    <col min="1" max="1" width="12.625" style="860" customWidth="1"/>
    <col min="2" max="2" width="10.25" style="839" customWidth="1"/>
  </cols>
  <sheetData>
    <row r="1" spans="1:6">
      <c r="A1" s="1703" t="s">
        <v>460</v>
      </c>
      <c r="B1" s="1703"/>
    </row>
    <row r="2" spans="1:6">
      <c r="A2" s="1108"/>
      <c r="B2" s="1108"/>
    </row>
    <row r="3" spans="1:6">
      <c r="A3" s="1108"/>
      <c r="B3" s="1108"/>
      <c r="C3" s="1136" t="s">
        <v>377</v>
      </c>
      <c r="D3" s="1136" t="s">
        <v>78</v>
      </c>
      <c r="E3" s="1136" t="s">
        <v>53</v>
      </c>
      <c r="F3" s="1136" t="s">
        <v>137</v>
      </c>
    </row>
    <row r="4" spans="1:6">
      <c r="A4" s="1137" t="s">
        <v>461</v>
      </c>
      <c r="B4" s="1138" t="s">
        <v>262</v>
      </c>
      <c r="C4" s="1136"/>
      <c r="D4" s="1136"/>
      <c r="E4" s="1136"/>
      <c r="F4" s="1136"/>
    </row>
    <row r="5" spans="1:6">
      <c r="A5" s="1112" t="s">
        <v>49</v>
      </c>
      <c r="B5" s="1113" t="s">
        <v>462</v>
      </c>
      <c r="C5" s="1139">
        <v>8.8999999999999996E-2</v>
      </c>
      <c r="D5" s="1139">
        <v>7.3999999999999996E-2</v>
      </c>
      <c r="E5" s="1139">
        <v>7.4999999999999997E-2</v>
      </c>
      <c r="F5" s="1140">
        <v>0.1</v>
      </c>
    </row>
    <row r="6" spans="1:6">
      <c r="A6" s="1112" t="s">
        <v>49</v>
      </c>
      <c r="B6" s="1117" t="s">
        <v>463</v>
      </c>
      <c r="C6" s="1141">
        <v>0.1</v>
      </c>
      <c r="D6" s="1141">
        <v>9.0999999999999998E-2</v>
      </c>
      <c r="E6" s="1141">
        <v>9.0999999999999998E-2</v>
      </c>
      <c r="F6" s="1142">
        <v>0.1</v>
      </c>
    </row>
    <row r="7" spans="1:6">
      <c r="A7" s="1112" t="s">
        <v>49</v>
      </c>
      <c r="B7" s="1121" t="s">
        <v>464</v>
      </c>
      <c r="C7" s="1141">
        <v>8.5999999999999993E-2</v>
      </c>
      <c r="D7" s="1141">
        <v>9.6000000000000002E-2</v>
      </c>
      <c r="E7" s="1141">
        <v>7.5999999999999998E-2</v>
      </c>
      <c r="F7" s="1142">
        <v>0.1</v>
      </c>
    </row>
    <row r="8" spans="1:6">
      <c r="A8" s="1112" t="s">
        <v>49</v>
      </c>
      <c r="B8" s="1117" t="s">
        <v>465</v>
      </c>
      <c r="C8" s="1141">
        <v>9.9000000000000005E-2</v>
      </c>
      <c r="D8" s="1141">
        <v>9.8000000000000004E-2</v>
      </c>
      <c r="E8" s="1141">
        <v>9.8000000000000004E-2</v>
      </c>
      <c r="F8" s="1142">
        <v>0.1</v>
      </c>
    </row>
    <row r="9" spans="1:6">
      <c r="A9" s="1130" t="s">
        <v>49</v>
      </c>
      <c r="B9" s="1122" t="s">
        <v>466</v>
      </c>
      <c r="C9" s="1143">
        <v>0.05</v>
      </c>
      <c r="D9" s="1144"/>
      <c r="E9" s="1144"/>
      <c r="F9" s="1145"/>
    </row>
    <row r="10" spans="1:6">
      <c r="A10" s="1112" t="s">
        <v>63</v>
      </c>
      <c r="B10" s="1113" t="s">
        <v>467</v>
      </c>
      <c r="C10" s="1139">
        <v>8.8999999999999996E-2</v>
      </c>
      <c r="D10" s="1139">
        <v>7.2999999999999995E-2</v>
      </c>
      <c r="E10" s="1139">
        <v>8.2000000000000003E-2</v>
      </c>
      <c r="F10" s="1140">
        <v>0.1</v>
      </c>
    </row>
    <row r="11" spans="1:6">
      <c r="A11" s="1112" t="s">
        <v>63</v>
      </c>
      <c r="B11" s="1121" t="s">
        <v>468</v>
      </c>
      <c r="C11" s="1141">
        <v>8.8999999999999996E-2</v>
      </c>
      <c r="D11" s="1141">
        <v>7.2999999999999995E-2</v>
      </c>
      <c r="E11" s="1141">
        <v>8.2000000000000003E-2</v>
      </c>
      <c r="F11" s="1142">
        <v>0.1</v>
      </c>
    </row>
    <row r="12" spans="1:6">
      <c r="A12" s="1112" t="s">
        <v>63</v>
      </c>
      <c r="B12" s="1121" t="s">
        <v>469</v>
      </c>
      <c r="C12" s="1141">
        <v>6.0999999999999999E-2</v>
      </c>
      <c r="D12" s="1141">
        <v>7.0999999999999994E-2</v>
      </c>
      <c r="E12" s="1141">
        <v>9.6000000000000002E-2</v>
      </c>
      <c r="F12" s="1142">
        <v>0.1</v>
      </c>
    </row>
    <row r="13" spans="1:6">
      <c r="A13" s="1112" t="s">
        <v>63</v>
      </c>
      <c r="B13" s="1121" t="s">
        <v>470</v>
      </c>
      <c r="C13" s="1141">
        <v>6.9000000000000006E-2</v>
      </c>
      <c r="D13" s="1141">
        <v>6.5000000000000002E-2</v>
      </c>
      <c r="E13" s="1141">
        <v>6.6000000000000003E-2</v>
      </c>
      <c r="F13" s="1142">
        <v>0.1</v>
      </c>
    </row>
    <row r="14" spans="1:6">
      <c r="A14" s="1112" t="s">
        <v>63</v>
      </c>
      <c r="B14" s="1121" t="s">
        <v>471</v>
      </c>
      <c r="C14" s="1141">
        <v>0.1</v>
      </c>
      <c r="D14" s="1141">
        <v>6.5000000000000002E-2</v>
      </c>
      <c r="E14" s="1141">
        <v>7.0000000000000007E-2</v>
      </c>
      <c r="F14" s="1142">
        <v>0.1</v>
      </c>
    </row>
    <row r="15" spans="1:6">
      <c r="A15" s="1112" t="s">
        <v>63</v>
      </c>
      <c r="B15" s="1121" t="s">
        <v>472</v>
      </c>
      <c r="C15" s="1141">
        <v>9.8000000000000004E-2</v>
      </c>
      <c r="D15" s="1141">
        <v>8.8999999999999996E-2</v>
      </c>
      <c r="E15" s="1141">
        <v>8.8999999999999996E-2</v>
      </c>
      <c r="F15" s="1142">
        <v>0.1</v>
      </c>
    </row>
    <row r="16" spans="1:6">
      <c r="A16" s="1112" t="s">
        <v>63</v>
      </c>
      <c r="B16" s="1121" t="s">
        <v>473</v>
      </c>
      <c r="C16" s="1141">
        <v>7.0000000000000007E-2</v>
      </c>
      <c r="D16" s="1141">
        <v>9.2999999999999999E-2</v>
      </c>
      <c r="E16" s="1141">
        <v>9.6000000000000002E-2</v>
      </c>
      <c r="F16" s="1142">
        <v>0.1</v>
      </c>
    </row>
    <row r="17" spans="1:6">
      <c r="A17" s="1112" t="s">
        <v>63</v>
      </c>
      <c r="B17" s="1121" t="s">
        <v>474</v>
      </c>
      <c r="C17" s="1141">
        <v>9.5000000000000001E-2</v>
      </c>
      <c r="D17" s="1141">
        <v>0.1</v>
      </c>
      <c r="E17" s="1141">
        <v>0.1</v>
      </c>
      <c r="F17" s="1146"/>
    </row>
    <row r="18" spans="1:6">
      <c r="A18" s="1112" t="s">
        <v>63</v>
      </c>
      <c r="B18" s="1121" t="s">
        <v>475</v>
      </c>
      <c r="C18" s="1141">
        <v>7.3999999999999996E-2</v>
      </c>
      <c r="D18" s="1141">
        <v>9.9000000000000005E-2</v>
      </c>
      <c r="E18" s="1141">
        <v>0.1</v>
      </c>
      <c r="F18" s="1146"/>
    </row>
    <row r="19" spans="1:6">
      <c r="A19" s="1112" t="s">
        <v>63</v>
      </c>
      <c r="B19" s="1121" t="s">
        <v>476</v>
      </c>
      <c r="C19" s="1141">
        <v>9.9000000000000005E-2</v>
      </c>
      <c r="D19" s="1141">
        <v>7.5999999999999998E-2</v>
      </c>
      <c r="E19" s="1141">
        <v>8.6999999999999994E-2</v>
      </c>
      <c r="F19" s="1146"/>
    </row>
    <row r="20" spans="1:6">
      <c r="A20" s="1112" t="s">
        <v>63</v>
      </c>
      <c r="B20" s="1121" t="s">
        <v>477</v>
      </c>
      <c r="C20" s="1141">
        <v>9.8000000000000004E-2</v>
      </c>
      <c r="D20" s="1141">
        <v>8.5000000000000006E-2</v>
      </c>
      <c r="E20" s="1141">
        <v>8.2000000000000003E-2</v>
      </c>
      <c r="F20" s="1146"/>
    </row>
    <row r="21" spans="1:6">
      <c r="A21" s="1112" t="s">
        <v>63</v>
      </c>
      <c r="B21" s="1121" t="s">
        <v>478</v>
      </c>
      <c r="C21" s="1141">
        <v>6.6000000000000003E-2</v>
      </c>
      <c r="D21" s="1141">
        <v>6.4000000000000001E-2</v>
      </c>
      <c r="E21" s="1141">
        <v>6.5000000000000002E-2</v>
      </c>
      <c r="F21" s="1146"/>
    </row>
    <row r="22" spans="1:6">
      <c r="A22" s="1112" t="s">
        <v>63</v>
      </c>
      <c r="B22" s="1121" t="s">
        <v>479</v>
      </c>
      <c r="C22" s="1141">
        <v>0.08</v>
      </c>
      <c r="D22" s="1141">
        <v>9.8000000000000004E-2</v>
      </c>
      <c r="E22" s="1141">
        <v>9.8000000000000004E-2</v>
      </c>
      <c r="F22" s="1146"/>
    </row>
    <row r="23" spans="1:6">
      <c r="A23" s="1112" t="s">
        <v>63</v>
      </c>
      <c r="B23" s="1121" t="s">
        <v>480</v>
      </c>
      <c r="C23" s="1141">
        <v>9.9000000000000005E-2</v>
      </c>
      <c r="D23" s="1141">
        <v>9.8000000000000004E-2</v>
      </c>
      <c r="E23" s="1141">
        <v>9.0999999999999998E-2</v>
      </c>
      <c r="F23" s="1146"/>
    </row>
    <row r="24" spans="1:6">
      <c r="A24" s="1112" t="s">
        <v>63</v>
      </c>
      <c r="B24" s="1121" t="s">
        <v>481</v>
      </c>
      <c r="C24" s="1141">
        <v>8.8999999999999996E-2</v>
      </c>
      <c r="D24" s="1141">
        <v>9.7000000000000003E-2</v>
      </c>
      <c r="E24" s="1141">
        <v>7.0000000000000007E-2</v>
      </c>
      <c r="F24" s="1146"/>
    </row>
    <row r="25" spans="1:6">
      <c r="A25" s="1112" t="s">
        <v>63</v>
      </c>
      <c r="B25" s="1121" t="s">
        <v>482</v>
      </c>
      <c r="C25" s="1141">
        <v>8.8999999999999996E-2</v>
      </c>
      <c r="D25" s="1141">
        <v>0.1</v>
      </c>
      <c r="E25" s="1141">
        <v>8.1000000000000003E-2</v>
      </c>
      <c r="F25" s="1146"/>
    </row>
    <row r="26" spans="1:6">
      <c r="A26" s="1112" t="s">
        <v>63</v>
      </c>
      <c r="B26" s="1121" t="s">
        <v>483</v>
      </c>
      <c r="C26" s="1147"/>
      <c r="D26" s="1141">
        <v>9.6000000000000002E-2</v>
      </c>
      <c r="E26" s="1141">
        <v>9.2999999999999999E-2</v>
      </c>
      <c r="F26" s="1146"/>
    </row>
    <row r="27" spans="1:6">
      <c r="A27" s="1112" t="s">
        <v>63</v>
      </c>
      <c r="B27" s="1121" t="s">
        <v>484</v>
      </c>
      <c r="C27" s="1147"/>
      <c r="D27" s="1141">
        <v>7.5999999999999998E-2</v>
      </c>
      <c r="E27" s="1141">
        <v>9.1999999999999998E-2</v>
      </c>
      <c r="F27" s="1146"/>
    </row>
    <row r="28" spans="1:6">
      <c r="A28" s="1130" t="s">
        <v>63</v>
      </c>
      <c r="B28" s="1122" t="s">
        <v>485</v>
      </c>
      <c r="C28" s="1144"/>
      <c r="D28" s="1143">
        <v>7.5999999999999998E-2</v>
      </c>
      <c r="E28" s="1143">
        <v>9.1999999999999998E-2</v>
      </c>
      <c r="F28" s="1145"/>
    </row>
    <row r="29" spans="1:6">
      <c r="A29" s="1112" t="s">
        <v>75</v>
      </c>
      <c r="B29" s="1113" t="s">
        <v>486</v>
      </c>
      <c r="C29" s="1139">
        <v>6.4000000000000001E-2</v>
      </c>
      <c r="D29" s="1139">
        <v>6.5000000000000002E-2</v>
      </c>
      <c r="E29" s="1139">
        <v>6.9000000000000006E-2</v>
      </c>
      <c r="F29" s="1140">
        <v>0.1</v>
      </c>
    </row>
    <row r="30" spans="1:6">
      <c r="A30" s="1112" t="s">
        <v>75</v>
      </c>
      <c r="B30" s="1121" t="s">
        <v>487</v>
      </c>
      <c r="C30" s="1141">
        <v>6.4000000000000001E-2</v>
      </c>
      <c r="D30" s="1141">
        <v>9.9000000000000005E-2</v>
      </c>
      <c r="E30" s="1141">
        <v>0.1</v>
      </c>
      <c r="F30" s="1142">
        <v>0.1</v>
      </c>
    </row>
    <row r="31" spans="1:6">
      <c r="A31" s="1112" t="s">
        <v>75</v>
      </c>
      <c r="B31" s="1121" t="s">
        <v>488</v>
      </c>
      <c r="C31" s="1141">
        <v>0.1</v>
      </c>
      <c r="D31" s="1141">
        <v>9.5000000000000001E-2</v>
      </c>
      <c r="E31" s="1141">
        <v>8.8999999999999996E-2</v>
      </c>
      <c r="F31" s="1142">
        <v>0.1</v>
      </c>
    </row>
    <row r="32" spans="1:6">
      <c r="A32" s="1112" t="s">
        <v>75</v>
      </c>
      <c r="B32" s="1121" t="s">
        <v>489</v>
      </c>
      <c r="C32" s="1141">
        <v>0.05</v>
      </c>
      <c r="D32" s="1141">
        <v>0.05</v>
      </c>
      <c r="E32" s="1141">
        <v>8.7999999999999995E-2</v>
      </c>
      <c r="F32" s="1142">
        <v>0.1</v>
      </c>
    </row>
    <row r="33" spans="1:6">
      <c r="A33" s="1112" t="s">
        <v>75</v>
      </c>
      <c r="B33" s="1121" t="s">
        <v>490</v>
      </c>
      <c r="C33" s="1141">
        <v>7.4999999999999997E-2</v>
      </c>
      <c r="D33" s="1141">
        <v>9.4E-2</v>
      </c>
      <c r="E33" s="1141">
        <v>9.7000000000000003E-2</v>
      </c>
      <c r="F33" s="1142">
        <v>0.1</v>
      </c>
    </row>
    <row r="34" spans="1:6">
      <c r="A34" s="1112" t="s">
        <v>75</v>
      </c>
      <c r="B34" s="1121" t="s">
        <v>491</v>
      </c>
      <c r="C34" s="1141">
        <v>9.8000000000000004E-2</v>
      </c>
      <c r="D34" s="1141">
        <v>8.5999999999999993E-2</v>
      </c>
      <c r="E34" s="1141">
        <v>9.7000000000000003E-2</v>
      </c>
      <c r="F34" s="1142">
        <v>0.1</v>
      </c>
    </row>
    <row r="35" spans="1:6">
      <c r="A35" s="1112" t="s">
        <v>75</v>
      </c>
      <c r="B35" s="1121" t="s">
        <v>492</v>
      </c>
      <c r="C35" s="1141">
        <v>5.8999999999999997E-2</v>
      </c>
      <c r="D35" s="1141">
        <v>6.5000000000000002E-2</v>
      </c>
      <c r="E35" s="1141">
        <v>7.0000000000000007E-2</v>
      </c>
      <c r="F35" s="1142">
        <v>0.1</v>
      </c>
    </row>
    <row r="36" spans="1:6">
      <c r="A36" s="1112" t="s">
        <v>75</v>
      </c>
      <c r="B36" s="1121" t="s">
        <v>493</v>
      </c>
      <c r="C36" s="1141">
        <v>6.3E-2</v>
      </c>
      <c r="D36" s="1141">
        <v>0.1</v>
      </c>
      <c r="E36" s="1141">
        <v>0.1</v>
      </c>
      <c r="F36" s="1142">
        <v>0.1</v>
      </c>
    </row>
    <row r="37" spans="1:6">
      <c r="A37" s="1112" t="s">
        <v>75</v>
      </c>
      <c r="B37" s="1121" t="s">
        <v>494</v>
      </c>
      <c r="C37" s="1141">
        <v>7.3999999999999996E-2</v>
      </c>
      <c r="D37" s="1141">
        <v>0.1</v>
      </c>
      <c r="E37" s="1141">
        <v>0.1</v>
      </c>
      <c r="F37" s="1142">
        <v>0.1</v>
      </c>
    </row>
    <row r="38" spans="1:6">
      <c r="A38" s="1112" t="s">
        <v>75</v>
      </c>
      <c r="B38" s="1121" t="s">
        <v>495</v>
      </c>
      <c r="C38" s="1141">
        <v>0.1</v>
      </c>
      <c r="D38" s="1141">
        <v>9.6000000000000002E-2</v>
      </c>
      <c r="E38" s="1141">
        <v>9.6000000000000002E-2</v>
      </c>
      <c r="F38" s="1146"/>
    </row>
    <row r="39" spans="1:6">
      <c r="A39" s="1112" t="s">
        <v>75</v>
      </c>
      <c r="B39" s="1121" t="s">
        <v>496</v>
      </c>
      <c r="C39" s="1141">
        <v>0.1</v>
      </c>
      <c r="D39" s="1141">
        <v>9.6000000000000002E-2</v>
      </c>
      <c r="E39" s="1141">
        <v>9.6000000000000002E-2</v>
      </c>
      <c r="F39" s="1146"/>
    </row>
    <row r="40" spans="1:6">
      <c r="A40" s="1112" t="s">
        <v>75</v>
      </c>
      <c r="B40" s="1121" t="s">
        <v>497</v>
      </c>
      <c r="C40" s="1141">
        <v>9.6000000000000002E-2</v>
      </c>
      <c r="D40" s="1141">
        <v>0.1</v>
      </c>
      <c r="E40" s="1141">
        <v>9.9000000000000005E-2</v>
      </c>
      <c r="F40" s="1146"/>
    </row>
    <row r="41" spans="1:6">
      <c r="A41" s="1112" t="s">
        <v>75</v>
      </c>
      <c r="B41" s="1121" t="s">
        <v>498</v>
      </c>
      <c r="C41" s="1141">
        <v>9.6000000000000002E-2</v>
      </c>
      <c r="D41" s="1141">
        <v>9.8000000000000004E-2</v>
      </c>
      <c r="E41" s="1141">
        <v>9.8000000000000004E-2</v>
      </c>
      <c r="F41" s="1146"/>
    </row>
    <row r="42" spans="1:6">
      <c r="A42" s="1112" t="s">
        <v>75</v>
      </c>
      <c r="B42" s="1121" t="s">
        <v>499</v>
      </c>
      <c r="C42" s="1141">
        <v>0.1</v>
      </c>
      <c r="D42" s="1141">
        <v>8.7999999999999995E-2</v>
      </c>
      <c r="E42" s="1141">
        <v>0.1</v>
      </c>
      <c r="F42" s="1146"/>
    </row>
    <row r="43" spans="1:6">
      <c r="A43" s="1112" t="s">
        <v>75</v>
      </c>
      <c r="B43" s="1121" t="s">
        <v>500</v>
      </c>
      <c r="C43" s="1141">
        <v>9.8000000000000004E-2</v>
      </c>
      <c r="D43" s="1141">
        <v>9.7000000000000003E-2</v>
      </c>
      <c r="E43" s="1141">
        <v>9.6000000000000002E-2</v>
      </c>
      <c r="F43" s="1146"/>
    </row>
    <row r="44" spans="1:6">
      <c r="A44" s="1112" t="s">
        <v>75</v>
      </c>
      <c r="B44" s="1121" t="s">
        <v>501</v>
      </c>
      <c r="C44" s="1141">
        <v>8.5999999999999993E-2</v>
      </c>
      <c r="D44" s="1141">
        <v>7.9000000000000001E-2</v>
      </c>
      <c r="E44" s="1141">
        <v>7.0999999999999994E-2</v>
      </c>
      <c r="F44" s="1146"/>
    </row>
    <row r="45" spans="1:6">
      <c r="A45" s="1112" t="s">
        <v>75</v>
      </c>
      <c r="B45" s="1121" t="s">
        <v>502</v>
      </c>
      <c r="C45" s="1141">
        <v>9.8000000000000004E-2</v>
      </c>
      <c r="D45" s="1141">
        <v>9.6000000000000002E-2</v>
      </c>
      <c r="E45" s="1141">
        <v>9.6000000000000002E-2</v>
      </c>
      <c r="F45" s="1146"/>
    </row>
    <row r="46" spans="1:6">
      <c r="A46" s="1112" t="s">
        <v>75</v>
      </c>
      <c r="B46" s="1121" t="s">
        <v>503</v>
      </c>
      <c r="C46" s="1141">
        <v>8.5999999999999993E-2</v>
      </c>
      <c r="D46" s="1141">
        <v>9.8000000000000004E-2</v>
      </c>
      <c r="E46" s="1141">
        <v>8.7999999999999995E-2</v>
      </c>
      <c r="F46" s="1146"/>
    </row>
    <row r="47" spans="1:6">
      <c r="A47" s="1112" t="s">
        <v>75</v>
      </c>
      <c r="B47" s="1121" t="s">
        <v>504</v>
      </c>
      <c r="C47" s="1141">
        <v>9.6000000000000002E-2</v>
      </c>
      <c r="D47" s="1147"/>
      <c r="E47" s="1141">
        <v>6.9000000000000006E-2</v>
      </c>
      <c r="F47" s="1146"/>
    </row>
    <row r="48" spans="1:6">
      <c r="A48" s="1130" t="s">
        <v>75</v>
      </c>
      <c r="B48" s="1122" t="s">
        <v>505</v>
      </c>
      <c r="C48" s="1143">
        <v>9.8000000000000004E-2</v>
      </c>
      <c r="D48" s="1144"/>
      <c r="E48" s="1143">
        <v>9.5000000000000001E-2</v>
      </c>
      <c r="F48" s="1145"/>
    </row>
    <row r="49" spans="1:6">
      <c r="A49" s="1112" t="s">
        <v>87</v>
      </c>
      <c r="B49" s="1113" t="s">
        <v>506</v>
      </c>
      <c r="C49" s="1139">
        <v>9.7000000000000003E-2</v>
      </c>
      <c r="D49" s="1139">
        <v>9.5000000000000001E-2</v>
      </c>
      <c r="E49" s="1139">
        <v>9.7000000000000003E-2</v>
      </c>
      <c r="F49" s="1140">
        <v>0.1</v>
      </c>
    </row>
    <row r="50" spans="1:6">
      <c r="A50" s="1112" t="s">
        <v>87</v>
      </c>
      <c r="B50" s="1117" t="s">
        <v>507</v>
      </c>
      <c r="C50" s="1141">
        <v>7.4999999999999997E-2</v>
      </c>
      <c r="D50" s="1141">
        <v>9.5000000000000001E-2</v>
      </c>
      <c r="E50" s="1141">
        <v>0.1</v>
      </c>
      <c r="F50" s="1142">
        <v>0.1</v>
      </c>
    </row>
    <row r="51" spans="1:6">
      <c r="A51" s="1112" t="s">
        <v>87</v>
      </c>
      <c r="B51" s="1117" t="s">
        <v>508</v>
      </c>
      <c r="C51" s="1141">
        <v>9.8000000000000004E-2</v>
      </c>
      <c r="D51" s="1141">
        <v>8.8999999999999996E-2</v>
      </c>
      <c r="E51" s="1141">
        <v>0.1</v>
      </c>
      <c r="F51" s="1142">
        <v>0.1</v>
      </c>
    </row>
    <row r="52" spans="1:6">
      <c r="A52" s="1112" t="s">
        <v>87</v>
      </c>
      <c r="B52" s="1117" t="s">
        <v>509</v>
      </c>
      <c r="C52" s="1141">
        <v>9.8000000000000004E-2</v>
      </c>
      <c r="D52" s="1141">
        <v>9.7000000000000003E-2</v>
      </c>
      <c r="E52" s="1141">
        <v>8.1000000000000003E-2</v>
      </c>
      <c r="F52" s="1142">
        <v>0.1</v>
      </c>
    </row>
    <row r="53" spans="1:6">
      <c r="A53" s="1112" t="s">
        <v>87</v>
      </c>
      <c r="B53" s="1117" t="s">
        <v>510</v>
      </c>
      <c r="C53" s="1141">
        <v>9.7000000000000003E-2</v>
      </c>
      <c r="D53" s="1141">
        <v>7.5999999999999998E-2</v>
      </c>
      <c r="E53" s="1141">
        <v>7.0999999999999994E-2</v>
      </c>
      <c r="F53" s="1142">
        <v>0.1</v>
      </c>
    </row>
    <row r="54" spans="1:6">
      <c r="A54" s="1112" t="s">
        <v>87</v>
      </c>
      <c r="B54" s="1117" t="s">
        <v>511</v>
      </c>
      <c r="C54" s="1141">
        <v>7.5999999999999998E-2</v>
      </c>
      <c r="D54" s="1141">
        <v>0.1</v>
      </c>
      <c r="E54" s="1141">
        <v>9.9000000000000005E-2</v>
      </c>
      <c r="F54" s="1142">
        <v>0.1</v>
      </c>
    </row>
    <row r="55" spans="1:6">
      <c r="A55" s="1112" t="s">
        <v>87</v>
      </c>
      <c r="B55" s="1117" t="s">
        <v>512</v>
      </c>
      <c r="C55" s="1141">
        <v>0.1</v>
      </c>
      <c r="D55" s="1141">
        <v>0.1</v>
      </c>
      <c r="E55" s="1141">
        <v>9.6000000000000002E-2</v>
      </c>
      <c r="F55" s="1142">
        <v>0.1</v>
      </c>
    </row>
    <row r="56" spans="1:6">
      <c r="A56" s="1112" t="s">
        <v>87</v>
      </c>
      <c r="B56" s="1117" t="s">
        <v>513</v>
      </c>
      <c r="C56" s="1141">
        <v>0.1</v>
      </c>
      <c r="D56" s="1141">
        <v>9.6000000000000002E-2</v>
      </c>
      <c r="E56" s="1141">
        <v>5.1999999999999998E-2</v>
      </c>
      <c r="F56" s="1142">
        <v>0.1</v>
      </c>
    </row>
    <row r="57" spans="1:6">
      <c r="A57" s="1112" t="s">
        <v>87</v>
      </c>
      <c r="B57" s="1117" t="s">
        <v>514</v>
      </c>
      <c r="C57" s="1141">
        <v>9.7000000000000003E-2</v>
      </c>
      <c r="D57" s="1141">
        <v>9.6000000000000002E-2</v>
      </c>
      <c r="E57" s="1141">
        <v>9.6000000000000002E-2</v>
      </c>
      <c r="F57" s="1142">
        <v>0.1</v>
      </c>
    </row>
    <row r="58" spans="1:6">
      <c r="A58" s="1112" t="s">
        <v>87</v>
      </c>
      <c r="B58" s="1117" t="s">
        <v>515</v>
      </c>
      <c r="C58" s="1141">
        <v>9.6000000000000002E-2</v>
      </c>
      <c r="D58" s="1141">
        <v>9.9000000000000005E-2</v>
      </c>
      <c r="E58" s="1141">
        <v>9.6000000000000002E-2</v>
      </c>
      <c r="F58" s="1142">
        <v>0.1</v>
      </c>
    </row>
    <row r="59" spans="1:6">
      <c r="A59" s="1112" t="s">
        <v>87</v>
      </c>
      <c r="B59" s="1117" t="s">
        <v>516</v>
      </c>
      <c r="C59" s="1141">
        <v>7.1999999999999995E-2</v>
      </c>
      <c r="D59" s="1141">
        <v>9.6000000000000002E-2</v>
      </c>
      <c r="E59" s="1141">
        <v>7.0999999999999994E-2</v>
      </c>
      <c r="F59" s="1142">
        <v>0.1</v>
      </c>
    </row>
    <row r="60" spans="1:6">
      <c r="A60" s="1112" t="s">
        <v>87</v>
      </c>
      <c r="B60" s="1117" t="s">
        <v>517</v>
      </c>
      <c r="C60" s="1141">
        <v>9.6000000000000002E-2</v>
      </c>
      <c r="D60" s="1141">
        <v>8.8999999999999996E-2</v>
      </c>
      <c r="E60" s="1141">
        <v>9.6000000000000002E-2</v>
      </c>
      <c r="F60" s="1142">
        <v>0.1</v>
      </c>
    </row>
    <row r="61" spans="1:6">
      <c r="A61" s="1112" t="s">
        <v>87</v>
      </c>
      <c r="B61" s="1117" t="s">
        <v>518</v>
      </c>
      <c r="C61" s="1141">
        <v>8.8999999999999996E-2</v>
      </c>
      <c r="D61" s="1141">
        <v>9.8000000000000004E-2</v>
      </c>
      <c r="E61" s="1141">
        <v>8.7999999999999995E-2</v>
      </c>
      <c r="F61" s="1146"/>
    </row>
    <row r="62" spans="1:6">
      <c r="A62" s="1112" t="s">
        <v>87</v>
      </c>
      <c r="B62" s="1117" t="s">
        <v>519</v>
      </c>
      <c r="C62" s="1141">
        <v>9.8000000000000004E-2</v>
      </c>
      <c r="D62" s="1141">
        <v>9.2999999999999999E-2</v>
      </c>
      <c r="E62" s="1141">
        <v>9.7000000000000003E-2</v>
      </c>
      <c r="F62" s="1146"/>
    </row>
    <row r="63" spans="1:6">
      <c r="A63" s="1112" t="s">
        <v>87</v>
      </c>
      <c r="B63" s="1117" t="s">
        <v>520</v>
      </c>
      <c r="C63" s="1141">
        <v>9.6000000000000002E-2</v>
      </c>
      <c r="D63" s="1141">
        <v>9.8000000000000004E-2</v>
      </c>
      <c r="E63" s="1141">
        <v>0.09</v>
      </c>
      <c r="F63" s="1146"/>
    </row>
    <row r="64" spans="1:6">
      <c r="A64" s="1112" t="s">
        <v>87</v>
      </c>
      <c r="B64" s="1117" t="s">
        <v>521</v>
      </c>
      <c r="C64" s="1141">
        <v>9.9000000000000005E-2</v>
      </c>
      <c r="D64" s="1141">
        <v>9.7000000000000003E-2</v>
      </c>
      <c r="E64" s="1141">
        <v>9.9000000000000005E-2</v>
      </c>
      <c r="F64" s="1146"/>
    </row>
    <row r="65" spans="1:6">
      <c r="A65" s="1112" t="s">
        <v>87</v>
      </c>
      <c r="B65" s="1117" t="s">
        <v>522</v>
      </c>
      <c r="C65" s="1141">
        <v>9.8000000000000004E-2</v>
      </c>
      <c r="D65" s="1141">
        <v>9.6000000000000002E-2</v>
      </c>
      <c r="E65" s="1141">
        <v>9.6000000000000002E-2</v>
      </c>
      <c r="F65" s="1146"/>
    </row>
    <row r="66" spans="1:6">
      <c r="A66" s="1112" t="s">
        <v>87</v>
      </c>
      <c r="B66" s="1117" t="s">
        <v>523</v>
      </c>
      <c r="C66" s="1141">
        <v>9.6000000000000002E-2</v>
      </c>
      <c r="D66" s="1141">
        <v>9.1999999999999998E-2</v>
      </c>
      <c r="E66" s="1141">
        <v>9.6000000000000002E-2</v>
      </c>
      <c r="F66" s="1146"/>
    </row>
    <row r="67" spans="1:6">
      <c r="A67" s="1112" t="s">
        <v>87</v>
      </c>
      <c r="B67" s="1117" t="s">
        <v>524</v>
      </c>
      <c r="C67" s="1141">
        <v>9.4E-2</v>
      </c>
      <c r="D67" s="1141">
        <v>0.1</v>
      </c>
      <c r="E67" s="1141">
        <v>8.7999999999999995E-2</v>
      </c>
      <c r="F67" s="1146"/>
    </row>
    <row r="68" spans="1:6">
      <c r="A68" s="1112" t="s">
        <v>87</v>
      </c>
      <c r="B68" s="1117" t="s">
        <v>525</v>
      </c>
      <c r="C68" s="1141">
        <v>0.1</v>
      </c>
      <c r="D68" s="1141">
        <v>8.7999999999999995E-2</v>
      </c>
      <c r="E68" s="1141">
        <v>9.7000000000000003E-2</v>
      </c>
      <c r="F68" s="1146"/>
    </row>
    <row r="69" spans="1:6">
      <c r="A69" s="1112" t="s">
        <v>87</v>
      </c>
      <c r="B69" s="1117" t="s">
        <v>526</v>
      </c>
      <c r="C69" s="1141">
        <v>6.4000000000000001E-2</v>
      </c>
      <c r="D69" s="1141">
        <v>0.1</v>
      </c>
      <c r="E69" s="1141">
        <v>0.1</v>
      </c>
      <c r="F69" s="1146"/>
    </row>
    <row r="70" spans="1:6">
      <c r="A70" s="1112" t="s">
        <v>87</v>
      </c>
      <c r="B70" s="1117" t="s">
        <v>527</v>
      </c>
      <c r="C70" s="1141">
        <v>9.0999999999999998E-2</v>
      </c>
      <c r="D70" s="1147"/>
      <c r="E70" s="1147"/>
      <c r="F70" s="1146"/>
    </row>
    <row r="71" spans="1:6">
      <c r="A71" s="1112" t="s">
        <v>87</v>
      </c>
      <c r="B71" s="1117" t="s">
        <v>528</v>
      </c>
      <c r="C71" s="1141">
        <v>0.1</v>
      </c>
      <c r="D71" s="1147"/>
      <c r="E71" s="1147"/>
      <c r="F71" s="1146"/>
    </row>
    <row r="72" spans="1:6">
      <c r="A72" s="1112" t="s">
        <v>87</v>
      </c>
      <c r="B72" s="1117" t="s">
        <v>529</v>
      </c>
      <c r="C72" s="1147"/>
      <c r="D72" s="1147"/>
      <c r="E72" s="1147"/>
      <c r="F72" s="1142">
        <v>0.05</v>
      </c>
    </row>
    <row r="73" spans="1:6">
      <c r="A73" s="1112" t="s">
        <v>87</v>
      </c>
      <c r="B73" s="1117" t="s">
        <v>530</v>
      </c>
      <c r="C73" s="1147"/>
      <c r="D73" s="1147"/>
      <c r="E73" s="1147"/>
      <c r="F73" s="1142">
        <v>0.05</v>
      </c>
    </row>
    <row r="74" spans="1:6">
      <c r="A74" s="1112" t="s">
        <v>87</v>
      </c>
      <c r="B74" s="1117" t="s">
        <v>531</v>
      </c>
      <c r="C74" s="1147"/>
      <c r="D74" s="1147"/>
      <c r="E74" s="1147"/>
      <c r="F74" s="1142">
        <v>0.05</v>
      </c>
    </row>
    <row r="75" spans="1:6">
      <c r="A75" s="1130" t="s">
        <v>87</v>
      </c>
      <c r="B75" s="1123" t="s">
        <v>532</v>
      </c>
      <c r="C75" s="1144"/>
      <c r="D75" s="1144"/>
      <c r="E75" s="1144"/>
      <c r="F75" s="1148">
        <v>0.05</v>
      </c>
    </row>
    <row r="76" spans="1:6">
      <c r="A76" s="1112" t="s">
        <v>96</v>
      </c>
      <c r="B76" s="1113" t="s">
        <v>533</v>
      </c>
      <c r="C76" s="1139">
        <v>0.1</v>
      </c>
      <c r="D76" s="1139">
        <v>0.1</v>
      </c>
      <c r="E76" s="1139">
        <v>0.1</v>
      </c>
      <c r="F76" s="1140">
        <v>0.1</v>
      </c>
    </row>
    <row r="77" spans="1:6">
      <c r="A77" s="1112" t="s">
        <v>96</v>
      </c>
      <c r="B77" s="1117" t="s">
        <v>534</v>
      </c>
      <c r="C77" s="1141">
        <v>8.7999999999999995E-2</v>
      </c>
      <c r="D77" s="1141">
        <v>8.6999999999999994E-2</v>
      </c>
      <c r="E77" s="1141">
        <v>7.9000000000000001E-2</v>
      </c>
      <c r="F77" s="1142">
        <v>0.1</v>
      </c>
    </row>
    <row r="78" spans="1:6">
      <c r="A78" s="1112" t="s">
        <v>96</v>
      </c>
      <c r="B78" s="1117" t="s">
        <v>535</v>
      </c>
      <c r="C78" s="1141">
        <v>8.6999999999999994E-2</v>
      </c>
      <c r="D78" s="1141">
        <v>8.4000000000000005E-2</v>
      </c>
      <c r="E78" s="1141">
        <v>9.6000000000000002E-2</v>
      </c>
      <c r="F78" s="1142">
        <v>0.1</v>
      </c>
    </row>
    <row r="79" spans="1:6">
      <c r="A79" s="1112" t="s">
        <v>96</v>
      </c>
      <c r="B79" s="1117" t="s">
        <v>536</v>
      </c>
      <c r="C79" s="1141">
        <v>9.8000000000000004E-2</v>
      </c>
      <c r="D79" s="1141">
        <v>9.8000000000000004E-2</v>
      </c>
      <c r="E79" s="1141">
        <v>9.0999999999999998E-2</v>
      </c>
      <c r="F79" s="1142">
        <v>0.1</v>
      </c>
    </row>
    <row r="80" spans="1:6">
      <c r="A80" s="1112" t="s">
        <v>96</v>
      </c>
      <c r="B80" s="1117" t="s">
        <v>537</v>
      </c>
      <c r="C80" s="1141">
        <v>9.6000000000000002E-2</v>
      </c>
      <c r="D80" s="1141">
        <v>9.6000000000000002E-2</v>
      </c>
      <c r="E80" s="1141">
        <v>0.1</v>
      </c>
      <c r="F80" s="1142">
        <v>0.1</v>
      </c>
    </row>
    <row r="81" spans="1:6">
      <c r="A81" s="1112" t="s">
        <v>96</v>
      </c>
      <c r="B81" s="1117" t="s">
        <v>538</v>
      </c>
      <c r="C81" s="1141">
        <v>9.9000000000000005E-2</v>
      </c>
      <c r="D81" s="1141">
        <v>9.9000000000000005E-2</v>
      </c>
      <c r="E81" s="1141">
        <v>9.8000000000000004E-2</v>
      </c>
      <c r="F81" s="1142">
        <v>0.1</v>
      </c>
    </row>
    <row r="82" spans="1:6">
      <c r="A82" s="1112" t="s">
        <v>96</v>
      </c>
      <c r="B82" s="1117" t="s">
        <v>539</v>
      </c>
      <c r="C82" s="1141">
        <v>9.9000000000000005E-2</v>
      </c>
      <c r="D82" s="1141">
        <v>9.9000000000000005E-2</v>
      </c>
      <c r="E82" s="1141">
        <v>9.7000000000000003E-2</v>
      </c>
      <c r="F82" s="1142">
        <v>0.1</v>
      </c>
    </row>
    <row r="83" spans="1:6">
      <c r="A83" s="1112" t="s">
        <v>96</v>
      </c>
      <c r="B83" s="1117" t="s">
        <v>540</v>
      </c>
      <c r="C83" s="1141">
        <v>9.8000000000000004E-2</v>
      </c>
      <c r="D83" s="1141">
        <v>9.8000000000000004E-2</v>
      </c>
      <c r="E83" s="1141">
        <v>9.8000000000000004E-2</v>
      </c>
      <c r="F83" s="1142">
        <v>0.1</v>
      </c>
    </row>
    <row r="84" spans="1:6">
      <c r="A84" s="1112" t="s">
        <v>96</v>
      </c>
      <c r="B84" s="1117" t="s">
        <v>541</v>
      </c>
      <c r="C84" s="1141">
        <v>9.9000000000000005E-2</v>
      </c>
      <c r="D84" s="1141">
        <v>9.9000000000000005E-2</v>
      </c>
      <c r="E84" s="1141">
        <v>9.9000000000000005E-2</v>
      </c>
      <c r="F84" s="1142">
        <v>0.1</v>
      </c>
    </row>
    <row r="85" spans="1:6">
      <c r="A85" s="1112" t="s">
        <v>96</v>
      </c>
      <c r="B85" s="1117" t="s">
        <v>542</v>
      </c>
      <c r="C85" s="1141">
        <v>9.9000000000000005E-2</v>
      </c>
      <c r="D85" s="1141">
        <v>9.9000000000000005E-2</v>
      </c>
      <c r="E85" s="1141">
        <v>9.9000000000000005E-2</v>
      </c>
      <c r="F85" s="1142">
        <v>0.1</v>
      </c>
    </row>
    <row r="86" spans="1:6">
      <c r="A86" s="1112" t="s">
        <v>96</v>
      </c>
      <c r="B86" s="1117" t="s">
        <v>543</v>
      </c>
      <c r="C86" s="1141">
        <v>0.1</v>
      </c>
      <c r="D86" s="1141">
        <v>0.1</v>
      </c>
      <c r="E86" s="1141">
        <v>7.6999999999999999E-2</v>
      </c>
      <c r="F86" s="1142">
        <v>0.1</v>
      </c>
    </row>
    <row r="87" spans="1:6">
      <c r="A87" s="1112" t="s">
        <v>96</v>
      </c>
      <c r="B87" s="1117" t="s">
        <v>544</v>
      </c>
      <c r="C87" s="1141">
        <v>0.1</v>
      </c>
      <c r="D87" s="1141">
        <v>0.1</v>
      </c>
      <c r="E87" s="1141">
        <v>9.8000000000000004E-2</v>
      </c>
      <c r="F87" s="1146"/>
    </row>
    <row r="88" spans="1:6">
      <c r="A88" s="1112" t="s">
        <v>96</v>
      </c>
      <c r="B88" s="1117" t="s">
        <v>545</v>
      </c>
      <c r="C88" s="1141">
        <v>9.1999999999999998E-2</v>
      </c>
      <c r="D88" s="1141">
        <v>8.5000000000000006E-2</v>
      </c>
      <c r="E88" s="1141">
        <v>9.6000000000000002E-2</v>
      </c>
      <c r="F88" s="1146"/>
    </row>
    <row r="89" spans="1:6">
      <c r="A89" s="1112" t="s">
        <v>96</v>
      </c>
      <c r="B89" s="1117" t="s">
        <v>546</v>
      </c>
      <c r="C89" s="1141">
        <v>0.1</v>
      </c>
      <c r="D89" s="1141">
        <v>0.1</v>
      </c>
      <c r="E89" s="1141">
        <v>9.7000000000000003E-2</v>
      </c>
      <c r="F89" s="1146"/>
    </row>
    <row r="90" spans="1:6">
      <c r="A90" s="1112" t="s">
        <v>96</v>
      </c>
      <c r="B90" s="1117" t="s">
        <v>547</v>
      </c>
      <c r="C90" s="1141">
        <v>9.8000000000000004E-2</v>
      </c>
      <c r="D90" s="1141">
        <v>9.8000000000000004E-2</v>
      </c>
      <c r="E90" s="1141">
        <v>8.7999999999999995E-2</v>
      </c>
      <c r="F90" s="1146"/>
    </row>
    <row r="91" spans="1:6">
      <c r="A91" s="1112" t="s">
        <v>96</v>
      </c>
      <c r="B91" s="1117" t="s">
        <v>548</v>
      </c>
      <c r="C91" s="1141">
        <v>9.9000000000000005E-2</v>
      </c>
      <c r="D91" s="1141">
        <v>9.9000000000000005E-2</v>
      </c>
      <c r="E91" s="1141">
        <v>9.0999999999999998E-2</v>
      </c>
      <c r="F91" s="1146"/>
    </row>
    <row r="92" spans="1:6">
      <c r="A92" s="1112" t="s">
        <v>96</v>
      </c>
      <c r="B92" s="1117" t="s">
        <v>549</v>
      </c>
      <c r="C92" s="1141">
        <v>9.6000000000000002E-2</v>
      </c>
      <c r="D92" s="1141">
        <v>9.6000000000000002E-2</v>
      </c>
      <c r="E92" s="1141">
        <v>7.2999999999999995E-2</v>
      </c>
      <c r="F92" s="1146"/>
    </row>
    <row r="93" spans="1:6">
      <c r="A93" s="1112" t="s">
        <v>96</v>
      </c>
      <c r="B93" s="1117" t="s">
        <v>550</v>
      </c>
      <c r="C93" s="1141">
        <v>9.6000000000000002E-2</v>
      </c>
      <c r="D93" s="1141">
        <v>9.6000000000000002E-2</v>
      </c>
      <c r="E93" s="1141">
        <v>9.9000000000000005E-2</v>
      </c>
      <c r="F93" s="1146"/>
    </row>
    <row r="94" spans="1:6">
      <c r="A94" s="1112" t="s">
        <v>96</v>
      </c>
      <c r="B94" s="1117" t="s">
        <v>551</v>
      </c>
      <c r="C94" s="1141">
        <v>7.5999999999999998E-2</v>
      </c>
      <c r="D94" s="1141">
        <v>7.3999999999999996E-2</v>
      </c>
      <c r="E94" s="1141">
        <v>9.7000000000000003E-2</v>
      </c>
      <c r="F94" s="1146"/>
    </row>
    <row r="95" spans="1:6">
      <c r="A95" s="1112" t="s">
        <v>96</v>
      </c>
      <c r="B95" s="1117" t="s">
        <v>552</v>
      </c>
      <c r="C95" s="1141">
        <v>9.9000000000000005E-2</v>
      </c>
      <c r="D95" s="1141">
        <v>9.4E-2</v>
      </c>
      <c r="E95" s="1141">
        <v>9.6000000000000002E-2</v>
      </c>
      <c r="F95" s="1146"/>
    </row>
    <row r="96" spans="1:6">
      <c r="A96" s="1112" t="s">
        <v>96</v>
      </c>
      <c r="B96" s="1117" t="s">
        <v>553</v>
      </c>
      <c r="C96" s="1141">
        <v>9.9000000000000005E-2</v>
      </c>
      <c r="D96" s="1141">
        <v>9.9000000000000005E-2</v>
      </c>
      <c r="E96" s="1141">
        <v>9.9000000000000005E-2</v>
      </c>
      <c r="F96" s="1146"/>
    </row>
    <row r="97" spans="1:6">
      <c r="A97" s="1112" t="s">
        <v>96</v>
      </c>
      <c r="B97" s="1117" t="s">
        <v>554</v>
      </c>
      <c r="C97" s="1141">
        <v>9.8000000000000004E-2</v>
      </c>
      <c r="D97" s="1141">
        <v>9.8000000000000004E-2</v>
      </c>
      <c r="E97" s="1141">
        <v>9.7000000000000003E-2</v>
      </c>
      <c r="F97" s="1146"/>
    </row>
    <row r="98" spans="1:6">
      <c r="A98" s="1112" t="s">
        <v>96</v>
      </c>
      <c r="B98" s="1117" t="s">
        <v>555</v>
      </c>
      <c r="C98" s="1141">
        <v>0.1</v>
      </c>
      <c r="D98" s="1141">
        <v>0.1</v>
      </c>
      <c r="E98" s="1141">
        <v>9.7000000000000003E-2</v>
      </c>
      <c r="F98" s="1146"/>
    </row>
    <row r="99" spans="1:6">
      <c r="A99" s="1112" t="s">
        <v>96</v>
      </c>
      <c r="B99" s="1117" t="s">
        <v>556</v>
      </c>
      <c r="C99" s="1141">
        <v>0.1</v>
      </c>
      <c r="D99" s="1141">
        <v>0.1</v>
      </c>
      <c r="E99" s="1147"/>
      <c r="F99" s="1146"/>
    </row>
    <row r="100" spans="1:6">
      <c r="A100" s="1112" t="s">
        <v>96</v>
      </c>
      <c r="B100" s="1117" t="s">
        <v>557</v>
      </c>
      <c r="C100" s="1141">
        <v>0.09</v>
      </c>
      <c r="D100" s="1141">
        <v>8.8999999999999996E-2</v>
      </c>
      <c r="E100" s="1147"/>
      <c r="F100" s="1146"/>
    </row>
    <row r="101" spans="1:6">
      <c r="A101" s="1112" t="s">
        <v>96</v>
      </c>
      <c r="B101" s="1117" t="s">
        <v>558</v>
      </c>
      <c r="C101" s="1141">
        <v>9.8000000000000004E-2</v>
      </c>
      <c r="D101" s="1141">
        <v>9.7000000000000003E-2</v>
      </c>
      <c r="E101" s="1147"/>
      <c r="F101" s="1146"/>
    </row>
    <row r="102" spans="1:6">
      <c r="A102" s="1112" t="s">
        <v>96</v>
      </c>
      <c r="B102" s="1117" t="s">
        <v>559</v>
      </c>
      <c r="C102" s="1147"/>
      <c r="D102" s="1147"/>
      <c r="E102" s="1147"/>
      <c r="F102" s="1142">
        <v>0.05</v>
      </c>
    </row>
    <row r="103" spans="1:6" ht="24">
      <c r="A103" s="1112" t="s">
        <v>96</v>
      </c>
      <c r="B103" s="1117" t="s">
        <v>560</v>
      </c>
      <c r="C103" s="1147"/>
      <c r="D103" s="1147"/>
      <c r="E103" s="1147"/>
      <c r="F103" s="1142">
        <v>0.05</v>
      </c>
    </row>
    <row r="104" spans="1:6">
      <c r="A104" s="1112" t="s">
        <v>96</v>
      </c>
      <c r="B104" s="1117" t="s">
        <v>561</v>
      </c>
      <c r="C104" s="1147"/>
      <c r="D104" s="1147"/>
      <c r="E104" s="1147"/>
      <c r="F104" s="1142">
        <v>0.05</v>
      </c>
    </row>
    <row r="105" spans="1:6">
      <c r="A105" s="1112" t="s">
        <v>96</v>
      </c>
      <c r="B105" s="1117" t="s">
        <v>562</v>
      </c>
      <c r="C105" s="1147"/>
      <c r="D105" s="1147"/>
      <c r="E105" s="1147"/>
      <c r="F105" s="1142">
        <v>0.05</v>
      </c>
    </row>
    <row r="106" spans="1:6">
      <c r="A106" s="1112" t="s">
        <v>96</v>
      </c>
      <c r="B106" s="1117" t="s">
        <v>563</v>
      </c>
      <c r="C106" s="1147"/>
      <c r="D106" s="1147"/>
      <c r="E106" s="1147"/>
      <c r="F106" s="1142">
        <v>0.05</v>
      </c>
    </row>
    <row r="107" spans="1:6" ht="24">
      <c r="A107" s="1112" t="s">
        <v>96</v>
      </c>
      <c r="B107" s="1117" t="s">
        <v>564</v>
      </c>
      <c r="C107" s="1147"/>
      <c r="D107" s="1147"/>
      <c r="E107" s="1147"/>
      <c r="F107" s="1142">
        <v>0.05</v>
      </c>
    </row>
    <row r="108" spans="1:6" ht="24">
      <c r="A108" s="1112" t="s">
        <v>96</v>
      </c>
      <c r="B108" s="1117" t="s">
        <v>565</v>
      </c>
      <c r="C108" s="1147"/>
      <c r="D108" s="1147"/>
      <c r="E108" s="1147"/>
      <c r="F108" s="1142">
        <v>0.05</v>
      </c>
    </row>
    <row r="109" spans="1:6" ht="24">
      <c r="A109" s="1130" t="s">
        <v>96</v>
      </c>
      <c r="B109" s="1123" t="s">
        <v>566</v>
      </c>
      <c r="C109" s="1144"/>
      <c r="D109" s="1144"/>
      <c r="E109" s="1144"/>
      <c r="F109" s="1148">
        <v>0.05</v>
      </c>
    </row>
    <row r="110" spans="1:6">
      <c r="A110" s="1112" t="s">
        <v>103</v>
      </c>
      <c r="B110" s="1113" t="s">
        <v>567</v>
      </c>
      <c r="C110" s="1139">
        <v>0.129</v>
      </c>
      <c r="D110" s="1139">
        <v>0.129</v>
      </c>
      <c r="E110" s="1139">
        <v>0.126</v>
      </c>
      <c r="F110" s="1140">
        <v>0.13</v>
      </c>
    </row>
    <row r="111" spans="1:6">
      <c r="A111" s="1112" t="s">
        <v>103</v>
      </c>
      <c r="B111" s="1117" t="s">
        <v>568</v>
      </c>
      <c r="C111" s="1141">
        <v>0.11</v>
      </c>
      <c r="D111" s="1141">
        <v>0.11</v>
      </c>
      <c r="E111" s="1141">
        <v>9.9000000000000005E-2</v>
      </c>
      <c r="F111" s="1142">
        <v>0.128</v>
      </c>
    </row>
    <row r="112" spans="1:6">
      <c r="A112" s="1112" t="s">
        <v>103</v>
      </c>
      <c r="B112" s="1117" t="s">
        <v>569</v>
      </c>
      <c r="C112" s="1141">
        <v>0.125</v>
      </c>
      <c r="D112" s="1141">
        <v>0.125</v>
      </c>
      <c r="E112" s="1141">
        <v>0.12</v>
      </c>
      <c r="F112" s="1142">
        <v>0.125</v>
      </c>
    </row>
    <row r="113" spans="1:6">
      <c r="A113" s="1112" t="s">
        <v>103</v>
      </c>
      <c r="B113" s="1117" t="s">
        <v>570</v>
      </c>
      <c r="C113" s="1141">
        <v>0.13</v>
      </c>
      <c r="D113" s="1141">
        <v>0.13</v>
      </c>
      <c r="E113" s="1141">
        <v>0.13</v>
      </c>
      <c r="F113" s="1142">
        <v>0.13</v>
      </c>
    </row>
    <row r="114" spans="1:6">
      <c r="A114" s="1112" t="s">
        <v>103</v>
      </c>
      <c r="B114" s="1117" t="s">
        <v>571</v>
      </c>
      <c r="C114" s="1141">
        <v>0.123</v>
      </c>
      <c r="D114" s="1141">
        <v>0.123</v>
      </c>
      <c r="E114" s="1141">
        <v>0.12</v>
      </c>
      <c r="F114" s="1142">
        <v>0.13</v>
      </c>
    </row>
    <row r="115" spans="1:6">
      <c r="A115" s="1112" t="s">
        <v>103</v>
      </c>
      <c r="B115" s="1117" t="s">
        <v>572</v>
      </c>
      <c r="C115" s="1141">
        <v>0.125</v>
      </c>
      <c r="D115" s="1141">
        <v>0.125</v>
      </c>
      <c r="E115" s="1141">
        <v>0.11700000000000001</v>
      </c>
      <c r="F115" s="1142">
        <v>0.13</v>
      </c>
    </row>
    <row r="116" spans="1:6">
      <c r="A116" s="1112" t="s">
        <v>103</v>
      </c>
      <c r="B116" s="1117" t="s">
        <v>573</v>
      </c>
      <c r="C116" s="1141">
        <v>0.11700000000000001</v>
      </c>
      <c r="D116" s="1141">
        <v>0.11700000000000001</v>
      </c>
      <c r="E116" s="1141">
        <v>8.7999999999999995E-2</v>
      </c>
      <c r="F116" s="1142">
        <v>0.13</v>
      </c>
    </row>
    <row r="117" spans="1:6">
      <c r="A117" s="1112" t="s">
        <v>103</v>
      </c>
      <c r="B117" s="1117" t="s">
        <v>574</v>
      </c>
      <c r="C117" s="1141">
        <v>0.13</v>
      </c>
      <c r="D117" s="1141">
        <v>0.13</v>
      </c>
      <c r="E117" s="1141">
        <v>0.129</v>
      </c>
      <c r="F117" s="1142">
        <v>0.13</v>
      </c>
    </row>
    <row r="118" spans="1:6">
      <c r="A118" s="1112" t="s">
        <v>103</v>
      </c>
      <c r="B118" s="1117" t="s">
        <v>575</v>
      </c>
      <c r="C118" s="1141">
        <v>0.123</v>
      </c>
      <c r="D118" s="1141">
        <v>0.123</v>
      </c>
      <c r="E118" s="1141">
        <v>0.11600000000000001</v>
      </c>
      <c r="F118" s="1142">
        <v>0.13</v>
      </c>
    </row>
    <row r="119" spans="1:6">
      <c r="A119" s="1112" t="s">
        <v>103</v>
      </c>
      <c r="B119" s="1117" t="s">
        <v>576</v>
      </c>
      <c r="C119" s="1141">
        <v>0.127</v>
      </c>
      <c r="D119" s="1141">
        <v>0.127</v>
      </c>
      <c r="E119" s="1141">
        <v>0.124</v>
      </c>
      <c r="F119" s="1142">
        <v>0.13</v>
      </c>
    </row>
    <row r="120" spans="1:6">
      <c r="A120" s="1112" t="s">
        <v>103</v>
      </c>
      <c r="B120" s="1117" t="s">
        <v>577</v>
      </c>
      <c r="C120" s="1141">
        <v>0.125</v>
      </c>
      <c r="D120" s="1141">
        <v>0.125</v>
      </c>
      <c r="E120" s="1141">
        <v>0.122</v>
      </c>
      <c r="F120" s="1142">
        <v>0.13</v>
      </c>
    </row>
    <row r="121" spans="1:6">
      <c r="A121" s="1112" t="s">
        <v>103</v>
      </c>
      <c r="B121" s="1117" t="s">
        <v>578</v>
      </c>
      <c r="C121" s="1141">
        <v>0.13</v>
      </c>
      <c r="D121" s="1141">
        <v>0.13</v>
      </c>
      <c r="E121" s="1141">
        <v>0.13</v>
      </c>
      <c r="F121" s="1142">
        <v>0.13</v>
      </c>
    </row>
    <row r="122" spans="1:6">
      <c r="A122" s="1112" t="s">
        <v>103</v>
      </c>
      <c r="B122" s="1117" t="s">
        <v>579</v>
      </c>
      <c r="C122" s="1141">
        <v>0.13</v>
      </c>
      <c r="D122" s="1141">
        <v>0.13</v>
      </c>
      <c r="E122" s="1141">
        <v>0.125</v>
      </c>
      <c r="F122" s="1142">
        <v>0.13</v>
      </c>
    </row>
    <row r="123" spans="1:6">
      <c r="A123" s="1112" t="s">
        <v>103</v>
      </c>
      <c r="B123" s="1117" t="s">
        <v>580</v>
      </c>
      <c r="C123" s="1141">
        <v>0.129</v>
      </c>
      <c r="D123" s="1141">
        <v>0.129</v>
      </c>
      <c r="E123" s="1141">
        <v>0.123</v>
      </c>
      <c r="F123" s="1142">
        <v>0.13</v>
      </c>
    </row>
    <row r="124" spans="1:6">
      <c r="A124" s="1112" t="s">
        <v>103</v>
      </c>
      <c r="B124" s="1117" t="s">
        <v>581</v>
      </c>
      <c r="C124" s="1141">
        <v>0.10199999999999999</v>
      </c>
      <c r="D124" s="1141">
        <v>0.10100000000000001</v>
      </c>
      <c r="E124" s="1141">
        <v>0.08</v>
      </c>
      <c r="F124" s="1146"/>
    </row>
    <row r="125" spans="1:6">
      <c r="A125" s="1112" t="s">
        <v>103</v>
      </c>
      <c r="B125" s="1117" t="s">
        <v>582</v>
      </c>
      <c r="C125" s="1141">
        <v>0.13</v>
      </c>
      <c r="D125" s="1141">
        <v>0.13</v>
      </c>
      <c r="E125" s="1141">
        <v>0.129</v>
      </c>
      <c r="F125" s="1146"/>
    </row>
    <row r="126" spans="1:6">
      <c r="A126" s="1112" t="s">
        <v>103</v>
      </c>
      <c r="B126" s="1117" t="s">
        <v>583</v>
      </c>
      <c r="C126" s="1141">
        <v>0.13</v>
      </c>
      <c r="D126" s="1141">
        <v>0.13</v>
      </c>
      <c r="E126" s="1141">
        <v>0.126</v>
      </c>
      <c r="F126" s="1146"/>
    </row>
    <row r="127" spans="1:6">
      <c r="A127" s="1112" t="s">
        <v>103</v>
      </c>
      <c r="B127" s="1117" t="s">
        <v>584</v>
      </c>
      <c r="C127" s="1141">
        <v>0.125</v>
      </c>
      <c r="D127" s="1141">
        <v>0.125</v>
      </c>
      <c r="E127" s="1141">
        <v>0.121</v>
      </c>
      <c r="F127" s="1146"/>
    </row>
    <row r="128" spans="1:6">
      <c r="A128" s="1112" t="s">
        <v>103</v>
      </c>
      <c r="B128" s="1117" t="s">
        <v>585</v>
      </c>
      <c r="C128" s="1141">
        <v>0.12</v>
      </c>
      <c r="D128" s="1141">
        <v>0.12</v>
      </c>
      <c r="E128" s="1141">
        <v>0.105</v>
      </c>
      <c r="F128" s="1146"/>
    </row>
    <row r="129" spans="1:6">
      <c r="A129" s="1112" t="s">
        <v>103</v>
      </c>
      <c r="B129" s="1117" t="s">
        <v>586</v>
      </c>
      <c r="C129" s="1141">
        <v>0.13</v>
      </c>
      <c r="D129" s="1141">
        <v>0.13</v>
      </c>
      <c r="E129" s="1141">
        <v>0.126</v>
      </c>
      <c r="F129" s="1146"/>
    </row>
    <row r="130" spans="1:6">
      <c r="A130" s="1112" t="s">
        <v>103</v>
      </c>
      <c r="B130" s="1117" t="s">
        <v>587</v>
      </c>
      <c r="C130" s="1141">
        <v>0.125</v>
      </c>
      <c r="D130" s="1141">
        <v>0.125</v>
      </c>
      <c r="E130" s="1141">
        <v>0.122</v>
      </c>
      <c r="F130" s="1146"/>
    </row>
    <row r="131" spans="1:6">
      <c r="A131" s="1112" t="s">
        <v>103</v>
      </c>
      <c r="B131" s="1117" t="s">
        <v>588</v>
      </c>
      <c r="C131" s="1141">
        <v>0.127</v>
      </c>
      <c r="D131" s="1141">
        <v>0.126</v>
      </c>
      <c r="E131" s="1141">
        <v>0.123</v>
      </c>
      <c r="F131" s="1146"/>
    </row>
    <row r="132" spans="1:6">
      <c r="A132" s="1112" t="s">
        <v>103</v>
      </c>
      <c r="B132" s="1117" t="s">
        <v>589</v>
      </c>
      <c r="C132" s="1141">
        <v>9.0999999999999998E-2</v>
      </c>
      <c r="D132" s="1141">
        <v>0.121</v>
      </c>
      <c r="E132" s="1141">
        <v>9.9000000000000005E-2</v>
      </c>
      <c r="F132" s="1146"/>
    </row>
    <row r="133" spans="1:6">
      <c r="A133" s="1112" t="s">
        <v>103</v>
      </c>
      <c r="B133" s="1117" t="s">
        <v>590</v>
      </c>
      <c r="C133" s="1141">
        <v>0.13</v>
      </c>
      <c r="D133" s="1141">
        <v>0.13</v>
      </c>
      <c r="E133" s="1141">
        <v>0.129</v>
      </c>
      <c r="F133" s="1146"/>
    </row>
    <row r="134" spans="1:6">
      <c r="A134" s="1112" t="s">
        <v>103</v>
      </c>
      <c r="B134" s="1117" t="s">
        <v>591</v>
      </c>
      <c r="C134" s="1141">
        <v>6.8000000000000005E-2</v>
      </c>
      <c r="D134" s="1141">
        <v>6.5000000000000002E-2</v>
      </c>
      <c r="E134" s="1141">
        <v>6.5000000000000002E-2</v>
      </c>
      <c r="F134" s="1142">
        <v>0.13</v>
      </c>
    </row>
    <row r="135" spans="1:6">
      <c r="A135" s="1112" t="s">
        <v>103</v>
      </c>
      <c r="B135" s="1117" t="s">
        <v>592</v>
      </c>
      <c r="C135" s="1141">
        <v>0.123</v>
      </c>
      <c r="D135" s="1141">
        <v>0.123</v>
      </c>
      <c r="E135" s="1141">
        <v>0.11</v>
      </c>
      <c r="F135" s="1146"/>
    </row>
    <row r="136" spans="1:6">
      <c r="A136" s="1112" t="s">
        <v>103</v>
      </c>
      <c r="B136" s="1117" t="s">
        <v>593</v>
      </c>
      <c r="C136" s="1141">
        <v>0.13</v>
      </c>
      <c r="D136" s="1141">
        <v>0.13</v>
      </c>
      <c r="E136" s="1141">
        <v>0.125</v>
      </c>
      <c r="F136" s="1146"/>
    </row>
    <row r="137" spans="1:6">
      <c r="A137" s="1112" t="s">
        <v>103</v>
      </c>
      <c r="B137" s="1117" t="s">
        <v>594</v>
      </c>
      <c r="C137" s="1141">
        <v>0.121</v>
      </c>
      <c r="D137" s="1141">
        <v>0.122</v>
      </c>
      <c r="E137" s="1141">
        <v>0.115</v>
      </c>
      <c r="F137" s="1146"/>
    </row>
    <row r="138" spans="1:6">
      <c r="A138" s="1112" t="s">
        <v>103</v>
      </c>
      <c r="B138" s="1117" t="s">
        <v>595</v>
      </c>
      <c r="C138" s="1141">
        <v>0.105</v>
      </c>
      <c r="D138" s="1141">
        <v>0.125</v>
      </c>
      <c r="E138" s="1141">
        <v>0.112</v>
      </c>
      <c r="F138" s="1146"/>
    </row>
    <row r="139" spans="1:6">
      <c r="A139" s="1112" t="s">
        <v>103</v>
      </c>
      <c r="B139" s="1117" t="s">
        <v>596</v>
      </c>
      <c r="C139" s="1141">
        <v>0.127</v>
      </c>
      <c r="D139" s="1141">
        <v>0.127</v>
      </c>
      <c r="E139" s="1141">
        <v>0.122</v>
      </c>
      <c r="F139" s="1142">
        <v>0.13</v>
      </c>
    </row>
    <row r="140" spans="1:6">
      <c r="A140" s="1112" t="s">
        <v>103</v>
      </c>
      <c r="B140" s="1117" t="s">
        <v>597</v>
      </c>
      <c r="C140" s="1141">
        <v>0.125</v>
      </c>
      <c r="D140" s="1141">
        <v>0.125</v>
      </c>
      <c r="E140" s="1141">
        <v>0.11899999999999999</v>
      </c>
      <c r="F140" s="1142">
        <v>0.13</v>
      </c>
    </row>
    <row r="141" spans="1:6">
      <c r="A141" s="1112" t="s">
        <v>103</v>
      </c>
      <c r="B141" s="1117" t="s">
        <v>598</v>
      </c>
      <c r="C141" s="1141">
        <v>0.125</v>
      </c>
      <c r="D141" s="1141">
        <v>0.125</v>
      </c>
      <c r="E141" s="1141">
        <v>0.11700000000000001</v>
      </c>
      <c r="F141" s="1146"/>
    </row>
    <row r="142" spans="1:6">
      <c r="A142" s="1112" t="s">
        <v>103</v>
      </c>
      <c r="B142" s="1117" t="s">
        <v>599</v>
      </c>
      <c r="C142" s="1141">
        <v>0.125</v>
      </c>
      <c r="D142" s="1141">
        <v>0.125</v>
      </c>
      <c r="E142" s="1141">
        <v>0.115</v>
      </c>
      <c r="F142" s="1146"/>
    </row>
    <row r="143" spans="1:6">
      <c r="A143" s="1112" t="s">
        <v>103</v>
      </c>
      <c r="B143" s="1117" t="s">
        <v>600</v>
      </c>
      <c r="C143" s="1141">
        <v>0.121</v>
      </c>
      <c r="D143" s="1141">
        <v>0.121</v>
      </c>
      <c r="E143" s="1141">
        <v>0.108</v>
      </c>
      <c r="F143" s="1146"/>
    </row>
    <row r="144" spans="1:6">
      <c r="A144" s="1112" t="s">
        <v>103</v>
      </c>
      <c r="B144" s="1149" t="s">
        <v>601</v>
      </c>
      <c r="C144" s="1150">
        <v>0.126</v>
      </c>
      <c r="D144" s="1150">
        <v>0.126</v>
      </c>
      <c r="E144" s="1150">
        <v>0.121</v>
      </c>
      <c r="F144" s="1146"/>
    </row>
    <row r="145" spans="1:6">
      <c r="A145" s="1130" t="s">
        <v>103</v>
      </c>
      <c r="B145" s="1151" t="s">
        <v>602</v>
      </c>
      <c r="C145" s="1152"/>
      <c r="D145" s="1152"/>
      <c r="E145" s="1152"/>
      <c r="F145" s="1153">
        <v>0.05</v>
      </c>
    </row>
    <row r="146" spans="1:6" ht="24">
      <c r="A146" s="1154" t="s">
        <v>103</v>
      </c>
      <c r="B146" s="1121" t="s">
        <v>603</v>
      </c>
      <c r="C146" s="1147"/>
      <c r="D146" s="1147"/>
      <c r="E146" s="1147"/>
      <c r="F146" s="1155">
        <v>0.05</v>
      </c>
    </row>
    <row r="147" spans="1:6" ht="24">
      <c r="A147" s="1112" t="s">
        <v>103</v>
      </c>
      <c r="B147" s="1117" t="s">
        <v>604</v>
      </c>
      <c r="C147" s="1147"/>
      <c r="D147" s="1147"/>
      <c r="E147" s="1147"/>
      <c r="F147" s="1142">
        <v>0.05</v>
      </c>
    </row>
    <row r="148" spans="1:6" ht="24">
      <c r="A148" s="1112" t="s">
        <v>103</v>
      </c>
      <c r="B148" s="1117" t="s">
        <v>605</v>
      </c>
      <c r="C148" s="1147"/>
      <c r="D148" s="1147"/>
      <c r="E148" s="1147"/>
      <c r="F148" s="1142">
        <v>0.05</v>
      </c>
    </row>
    <row r="149" spans="1:6" ht="24">
      <c r="A149" s="1112" t="s">
        <v>103</v>
      </c>
      <c r="B149" s="1117" t="s">
        <v>606</v>
      </c>
      <c r="C149" s="1147"/>
      <c r="D149" s="1147"/>
      <c r="E149" s="1147"/>
      <c r="F149" s="1142">
        <v>0.05</v>
      </c>
    </row>
    <row r="150" spans="1:6" ht="24">
      <c r="A150" s="1112" t="s">
        <v>103</v>
      </c>
      <c r="B150" s="1117" t="s">
        <v>607</v>
      </c>
      <c r="C150" s="1147"/>
      <c r="D150" s="1147"/>
      <c r="E150" s="1147"/>
      <c r="F150" s="1142">
        <v>0.05</v>
      </c>
    </row>
    <row r="151" spans="1:6" ht="24">
      <c r="A151" s="1112" t="s">
        <v>103</v>
      </c>
      <c r="B151" s="1117" t="s">
        <v>608</v>
      </c>
      <c r="C151" s="1147"/>
      <c r="D151" s="1147"/>
      <c r="E151" s="1147"/>
      <c r="F151" s="1142">
        <v>0.05</v>
      </c>
    </row>
    <row r="152" spans="1:6" ht="24">
      <c r="A152" s="1112" t="s">
        <v>103</v>
      </c>
      <c r="B152" s="1117" t="s">
        <v>609</v>
      </c>
      <c r="C152" s="1147"/>
      <c r="D152" s="1147"/>
      <c r="E152" s="1147"/>
      <c r="F152" s="1142">
        <v>0.05</v>
      </c>
    </row>
    <row r="153" spans="1:6">
      <c r="A153" s="1112" t="s">
        <v>103</v>
      </c>
      <c r="B153" s="1117" t="s">
        <v>610</v>
      </c>
      <c r="C153" s="1147"/>
      <c r="D153" s="1147"/>
      <c r="E153" s="1147"/>
      <c r="F153" s="1142">
        <v>0.05</v>
      </c>
    </row>
    <row r="154" spans="1:6">
      <c r="A154" s="1112" t="s">
        <v>103</v>
      </c>
      <c r="B154" s="1117" t="s">
        <v>611</v>
      </c>
      <c r="C154" s="1147"/>
      <c r="D154" s="1147"/>
      <c r="E154" s="1147"/>
      <c r="F154" s="1142">
        <v>0.05</v>
      </c>
    </row>
    <row r="155" spans="1:6" ht="24">
      <c r="A155" s="1112" t="s">
        <v>103</v>
      </c>
      <c r="B155" s="1117" t="s">
        <v>612</v>
      </c>
      <c r="C155" s="1147"/>
      <c r="D155" s="1147"/>
      <c r="E155" s="1147"/>
      <c r="F155" s="1142">
        <v>0.05</v>
      </c>
    </row>
    <row r="156" spans="1:6" ht="24">
      <c r="A156" s="1112" t="s">
        <v>103</v>
      </c>
      <c r="B156" s="1117" t="s">
        <v>613</v>
      </c>
      <c r="C156" s="1147"/>
      <c r="D156" s="1147"/>
      <c r="E156" s="1147"/>
      <c r="F156" s="1142">
        <v>0.05</v>
      </c>
    </row>
    <row r="157" spans="1:6">
      <c r="A157" s="1130" t="s">
        <v>103</v>
      </c>
      <c r="B157" s="1123" t="s">
        <v>614</v>
      </c>
      <c r="C157" s="1144"/>
      <c r="D157" s="1144"/>
      <c r="E157" s="1144"/>
      <c r="F157" s="1148">
        <v>0.05</v>
      </c>
    </row>
    <row r="158" spans="1:6">
      <c r="A158" s="1112" t="s">
        <v>108</v>
      </c>
      <c r="B158" s="1113" t="s">
        <v>615</v>
      </c>
      <c r="C158" s="1139">
        <v>0.13</v>
      </c>
      <c r="D158" s="1139">
        <v>0.13</v>
      </c>
      <c r="E158" s="1139">
        <v>0.13</v>
      </c>
      <c r="F158" s="1140">
        <v>0.13</v>
      </c>
    </row>
    <row r="159" spans="1:6">
      <c r="A159" s="1112" t="s">
        <v>108</v>
      </c>
      <c r="B159" s="1117" t="s">
        <v>616</v>
      </c>
      <c r="C159" s="1141">
        <v>0.13</v>
      </c>
      <c r="D159" s="1141">
        <v>0.13</v>
      </c>
      <c r="E159" s="1141">
        <v>0.13</v>
      </c>
      <c r="F159" s="1142">
        <v>0.13</v>
      </c>
    </row>
    <row r="160" spans="1:6">
      <c r="A160" s="1112" t="s">
        <v>108</v>
      </c>
      <c r="B160" s="1117" t="s">
        <v>617</v>
      </c>
      <c r="C160" s="1141">
        <v>0.13</v>
      </c>
      <c r="D160" s="1141">
        <v>0.13</v>
      </c>
      <c r="E160" s="1141">
        <v>0.129</v>
      </c>
      <c r="F160" s="1142">
        <v>0.13</v>
      </c>
    </row>
    <row r="161" spans="1:6">
      <c r="A161" s="1112" t="s">
        <v>108</v>
      </c>
      <c r="B161" s="1117" t="s">
        <v>618</v>
      </c>
      <c r="C161" s="1141">
        <v>0.128</v>
      </c>
      <c r="D161" s="1141">
        <v>0.128</v>
      </c>
      <c r="E161" s="1141">
        <v>0.125</v>
      </c>
      <c r="F161" s="1142">
        <v>0.13</v>
      </c>
    </row>
    <row r="162" spans="1:6">
      <c r="A162" s="1112" t="s">
        <v>108</v>
      </c>
      <c r="B162" s="1117" t="s">
        <v>619</v>
      </c>
      <c r="C162" s="1141">
        <v>0.122</v>
      </c>
      <c r="D162" s="1141">
        <v>0.122</v>
      </c>
      <c r="E162" s="1141">
        <v>0.126</v>
      </c>
      <c r="F162" s="1142">
        <v>0.122</v>
      </c>
    </row>
    <row r="163" spans="1:6">
      <c r="A163" s="1112" t="s">
        <v>108</v>
      </c>
      <c r="B163" s="1117" t="s">
        <v>620</v>
      </c>
      <c r="C163" s="1141">
        <v>0.13</v>
      </c>
      <c r="D163" s="1141">
        <v>0.13</v>
      </c>
      <c r="E163" s="1141">
        <v>0.125</v>
      </c>
      <c r="F163" s="1142">
        <v>0.13</v>
      </c>
    </row>
    <row r="164" spans="1:6">
      <c r="A164" s="1112" t="s">
        <v>108</v>
      </c>
      <c r="B164" s="1117" t="s">
        <v>621</v>
      </c>
      <c r="C164" s="1141">
        <v>0.13</v>
      </c>
      <c r="D164" s="1141">
        <v>0.13</v>
      </c>
      <c r="E164" s="1141">
        <v>0.13</v>
      </c>
      <c r="F164" s="1142">
        <v>0.13</v>
      </c>
    </row>
    <row r="165" spans="1:6">
      <c r="A165" s="1112" t="s">
        <v>108</v>
      </c>
      <c r="B165" s="1117" t="s">
        <v>622</v>
      </c>
      <c r="C165" s="1141">
        <v>0.13</v>
      </c>
      <c r="D165" s="1141">
        <v>0.13</v>
      </c>
      <c r="E165" s="1141">
        <v>0.124</v>
      </c>
      <c r="F165" s="1142">
        <v>0.13</v>
      </c>
    </row>
    <row r="166" spans="1:6">
      <c r="A166" s="1112" t="s">
        <v>108</v>
      </c>
      <c r="B166" s="1117" t="s">
        <v>623</v>
      </c>
      <c r="C166" s="1141">
        <v>0.13</v>
      </c>
      <c r="D166" s="1141">
        <v>0.13</v>
      </c>
      <c r="E166" s="1141">
        <v>0.13</v>
      </c>
      <c r="F166" s="1142">
        <v>0.13</v>
      </c>
    </row>
    <row r="167" spans="1:6">
      <c r="A167" s="1112" t="s">
        <v>108</v>
      </c>
      <c r="B167" s="1117" t="s">
        <v>624</v>
      </c>
      <c r="C167" s="1141">
        <v>0.125</v>
      </c>
      <c r="D167" s="1141">
        <v>0.125</v>
      </c>
      <c r="E167" s="1141">
        <v>0.121</v>
      </c>
      <c r="F167" s="1146"/>
    </row>
    <row r="168" spans="1:6">
      <c r="A168" s="1112" t="s">
        <v>108</v>
      </c>
      <c r="B168" s="1117" t="s">
        <v>625</v>
      </c>
      <c r="C168" s="1141">
        <v>0.13</v>
      </c>
      <c r="D168" s="1141">
        <v>0.13</v>
      </c>
      <c r="E168" s="1141">
        <v>0.126</v>
      </c>
      <c r="F168" s="1146"/>
    </row>
    <row r="169" spans="1:6">
      <c r="A169" s="1112" t="s">
        <v>108</v>
      </c>
      <c r="B169" s="1117" t="s">
        <v>626</v>
      </c>
      <c r="C169" s="1141">
        <v>0.128</v>
      </c>
      <c r="D169" s="1141">
        <v>0.129</v>
      </c>
      <c r="E169" s="1141">
        <v>0.13</v>
      </c>
      <c r="F169" s="1146"/>
    </row>
    <row r="170" spans="1:6">
      <c r="A170" s="1112" t="s">
        <v>108</v>
      </c>
      <c r="B170" s="1117" t="s">
        <v>627</v>
      </c>
      <c r="C170" s="1141">
        <v>0.14099999999999999</v>
      </c>
      <c r="D170" s="1141">
        <v>0.13</v>
      </c>
      <c r="E170" s="1141">
        <v>0.125</v>
      </c>
      <c r="F170" s="1146"/>
    </row>
    <row r="171" spans="1:6">
      <c r="A171" s="1112" t="s">
        <v>108</v>
      </c>
      <c r="B171" s="1117" t="s">
        <v>628</v>
      </c>
      <c r="C171" s="1141">
        <v>0.127</v>
      </c>
      <c r="D171" s="1141">
        <v>0.126</v>
      </c>
      <c r="E171" s="1141">
        <v>0.126</v>
      </c>
      <c r="F171" s="1142">
        <v>0.11799999999999999</v>
      </c>
    </row>
    <row r="172" spans="1:6">
      <c r="A172" s="1112" t="s">
        <v>108</v>
      </c>
      <c r="B172" s="1117" t="s">
        <v>629</v>
      </c>
      <c r="C172" s="1141">
        <v>0.13</v>
      </c>
      <c r="D172" s="1141">
        <v>0.13</v>
      </c>
      <c r="E172" s="1141">
        <v>0.13</v>
      </c>
      <c r="F172" s="1146"/>
    </row>
    <row r="173" spans="1:6">
      <c r="A173" s="1112" t="s">
        <v>108</v>
      </c>
      <c r="B173" s="1117" t="s">
        <v>630</v>
      </c>
      <c r="C173" s="1141">
        <v>0.13</v>
      </c>
      <c r="D173" s="1141">
        <v>0.13</v>
      </c>
      <c r="E173" s="1141">
        <v>0.13</v>
      </c>
      <c r="F173" s="1146"/>
    </row>
    <row r="174" spans="1:6">
      <c r="A174" s="1112" t="s">
        <v>108</v>
      </c>
      <c r="B174" s="1117" t="s">
        <v>631</v>
      </c>
      <c r="C174" s="1141">
        <v>0.13</v>
      </c>
      <c r="D174" s="1141">
        <v>0.13</v>
      </c>
      <c r="E174" s="1141">
        <v>0.13</v>
      </c>
      <c r="F174" s="1142">
        <v>0.13</v>
      </c>
    </row>
    <row r="175" spans="1:6">
      <c r="A175" s="1112" t="s">
        <v>108</v>
      </c>
      <c r="B175" s="1117" t="s">
        <v>632</v>
      </c>
      <c r="C175" s="1141">
        <v>0.13</v>
      </c>
      <c r="D175" s="1141">
        <v>0.13</v>
      </c>
      <c r="E175" s="1141">
        <v>0.13</v>
      </c>
      <c r="F175" s="1142">
        <v>0.13</v>
      </c>
    </row>
    <row r="176" spans="1:6">
      <c r="A176" s="1112" t="s">
        <v>108</v>
      </c>
      <c r="B176" s="1117" t="s">
        <v>633</v>
      </c>
      <c r="C176" s="1141">
        <v>0.13</v>
      </c>
      <c r="D176" s="1141">
        <v>0.13</v>
      </c>
      <c r="E176" s="1141">
        <v>0.13</v>
      </c>
      <c r="F176" s="1142">
        <v>0.13</v>
      </c>
    </row>
    <row r="177" spans="1:6">
      <c r="A177" s="1112" t="s">
        <v>108</v>
      </c>
      <c r="B177" s="1117" t="s">
        <v>634</v>
      </c>
      <c r="C177" s="1141">
        <v>0.13</v>
      </c>
      <c r="D177" s="1141">
        <v>0.13</v>
      </c>
      <c r="E177" s="1141">
        <v>0.13</v>
      </c>
      <c r="F177" s="1142">
        <v>0.13</v>
      </c>
    </row>
    <row r="178" spans="1:6">
      <c r="A178" s="1112" t="s">
        <v>108</v>
      </c>
      <c r="B178" s="1117" t="s">
        <v>635</v>
      </c>
      <c r="C178" s="1141">
        <v>0.13</v>
      </c>
      <c r="D178" s="1141">
        <v>0.13</v>
      </c>
      <c r="E178" s="1141">
        <v>0.13</v>
      </c>
      <c r="F178" s="1142">
        <v>0.127</v>
      </c>
    </row>
    <row r="179" spans="1:6">
      <c r="A179" s="1112" t="s">
        <v>108</v>
      </c>
      <c r="B179" s="1117" t="s">
        <v>636</v>
      </c>
      <c r="C179" s="1141">
        <v>0.13</v>
      </c>
      <c r="D179" s="1141">
        <v>0.13</v>
      </c>
      <c r="E179" s="1141">
        <v>0.13</v>
      </c>
      <c r="F179" s="1146"/>
    </row>
    <row r="180" spans="1:6">
      <c r="A180" s="1112" t="s">
        <v>108</v>
      </c>
      <c r="B180" s="1117" t="s">
        <v>637</v>
      </c>
      <c r="C180" s="1141">
        <v>0.13</v>
      </c>
      <c r="D180" s="1141">
        <v>0.13</v>
      </c>
      <c r="E180" s="1141">
        <v>0.125</v>
      </c>
      <c r="F180" s="1142">
        <v>0.13</v>
      </c>
    </row>
    <row r="181" spans="1:6">
      <c r="A181" s="1112" t="s">
        <v>108</v>
      </c>
      <c r="B181" s="1117" t="s">
        <v>638</v>
      </c>
      <c r="C181" s="1141">
        <v>0.122</v>
      </c>
      <c r="D181" s="1141">
        <v>0.123</v>
      </c>
      <c r="E181" s="1141">
        <v>0.126</v>
      </c>
      <c r="F181" s="1142">
        <v>0.121</v>
      </c>
    </row>
    <row r="182" spans="1:6">
      <c r="A182" s="1112" t="s">
        <v>108</v>
      </c>
      <c r="B182" s="1117" t="s">
        <v>639</v>
      </c>
      <c r="C182" s="1141">
        <v>0.125</v>
      </c>
      <c r="D182" s="1141">
        <v>0.125</v>
      </c>
      <c r="E182" s="1141">
        <v>0.11700000000000001</v>
      </c>
      <c r="F182" s="1142">
        <v>0.13</v>
      </c>
    </row>
    <row r="183" spans="1:6">
      <c r="A183" s="1112" t="s">
        <v>108</v>
      </c>
      <c r="B183" s="1117" t="s">
        <v>640</v>
      </c>
      <c r="C183" s="1141">
        <v>0.127</v>
      </c>
      <c r="D183" s="1141">
        <v>0.127</v>
      </c>
      <c r="E183" s="1141">
        <v>0.128</v>
      </c>
      <c r="F183" s="1146"/>
    </row>
    <row r="184" spans="1:6">
      <c r="A184" s="1112" t="s">
        <v>108</v>
      </c>
      <c r="B184" s="1117" t="s">
        <v>641</v>
      </c>
      <c r="C184" s="1141">
        <v>0.125</v>
      </c>
      <c r="D184" s="1141">
        <v>0.125</v>
      </c>
      <c r="E184" s="1141">
        <v>0.127</v>
      </c>
      <c r="F184" s="1146"/>
    </row>
    <row r="185" spans="1:6">
      <c r="A185" s="1112" t="s">
        <v>108</v>
      </c>
      <c r="B185" s="1117" t="s">
        <v>642</v>
      </c>
      <c r="C185" s="1141">
        <v>0.127</v>
      </c>
      <c r="D185" s="1141">
        <v>0.127</v>
      </c>
      <c r="E185" s="1141">
        <v>0.128</v>
      </c>
      <c r="F185" s="1142">
        <v>0.13</v>
      </c>
    </row>
    <row r="186" spans="1:6" ht="24">
      <c r="A186" s="1112" t="s">
        <v>108</v>
      </c>
      <c r="B186" s="1117" t="s">
        <v>643</v>
      </c>
      <c r="C186" s="1147"/>
      <c r="D186" s="1147"/>
      <c r="E186" s="1147"/>
      <c r="F186" s="1142">
        <v>0.05</v>
      </c>
    </row>
    <row r="187" spans="1:6">
      <c r="A187" s="1112" t="s">
        <v>108</v>
      </c>
      <c r="B187" s="1117" t="s">
        <v>644</v>
      </c>
      <c r="C187" s="1147"/>
      <c r="D187" s="1147"/>
      <c r="E187" s="1147"/>
      <c r="F187" s="1142">
        <v>0.05</v>
      </c>
    </row>
    <row r="188" spans="1:6">
      <c r="A188" s="1112" t="s">
        <v>108</v>
      </c>
      <c r="B188" s="1117" t="s">
        <v>645</v>
      </c>
      <c r="C188" s="1147"/>
      <c r="D188" s="1147"/>
      <c r="E188" s="1147"/>
      <c r="F188" s="1142">
        <v>0.05</v>
      </c>
    </row>
    <row r="189" spans="1:6" ht="24">
      <c r="A189" s="1112" t="s">
        <v>108</v>
      </c>
      <c r="B189" s="1117" t="s">
        <v>646</v>
      </c>
      <c r="C189" s="1147"/>
      <c r="D189" s="1147"/>
      <c r="E189" s="1147"/>
      <c r="F189" s="1142">
        <v>0.05</v>
      </c>
    </row>
    <row r="190" spans="1:6" ht="24">
      <c r="A190" s="1112" t="s">
        <v>108</v>
      </c>
      <c r="B190" s="1117" t="s">
        <v>647</v>
      </c>
      <c r="C190" s="1147"/>
      <c r="D190" s="1147"/>
      <c r="E190" s="1147"/>
      <c r="F190" s="1142">
        <v>0.05</v>
      </c>
    </row>
    <row r="191" spans="1:6" ht="24">
      <c r="A191" s="1112" t="s">
        <v>108</v>
      </c>
      <c r="B191" s="1117" t="s">
        <v>648</v>
      </c>
      <c r="C191" s="1147"/>
      <c r="D191" s="1147"/>
      <c r="E191" s="1147"/>
      <c r="F191" s="1142">
        <v>0.05</v>
      </c>
    </row>
    <row r="192" spans="1:6" ht="24">
      <c r="A192" s="1112" t="s">
        <v>108</v>
      </c>
      <c r="B192" s="1117" t="s">
        <v>649</v>
      </c>
      <c r="C192" s="1147"/>
      <c r="D192" s="1147"/>
      <c r="E192" s="1147"/>
      <c r="F192" s="1142">
        <v>0.05</v>
      </c>
    </row>
    <row r="193" spans="1:6" ht="24">
      <c r="A193" s="1112" t="s">
        <v>108</v>
      </c>
      <c r="B193" s="1117" t="s">
        <v>650</v>
      </c>
      <c r="C193" s="1147"/>
      <c r="D193" s="1147"/>
      <c r="E193" s="1147"/>
      <c r="F193" s="1142">
        <v>0.05</v>
      </c>
    </row>
    <row r="194" spans="1:6" ht="24">
      <c r="A194" s="1112" t="s">
        <v>108</v>
      </c>
      <c r="B194" s="1117" t="s">
        <v>651</v>
      </c>
      <c r="C194" s="1147"/>
      <c r="D194" s="1147"/>
      <c r="E194" s="1147"/>
      <c r="F194" s="1142">
        <v>0.05</v>
      </c>
    </row>
    <row r="195" spans="1:6">
      <c r="A195" s="1112" t="s">
        <v>108</v>
      </c>
      <c r="B195" s="1117" t="s">
        <v>652</v>
      </c>
      <c r="C195" s="1147"/>
      <c r="D195" s="1147"/>
      <c r="E195" s="1147"/>
      <c r="F195" s="1142">
        <v>0.05</v>
      </c>
    </row>
    <row r="196" spans="1:6" ht="24">
      <c r="A196" s="1112" t="s">
        <v>108</v>
      </c>
      <c r="B196" s="1117" t="s">
        <v>653</v>
      </c>
      <c r="C196" s="1147"/>
      <c r="D196" s="1147"/>
      <c r="E196" s="1147"/>
      <c r="F196" s="1142">
        <v>0.05</v>
      </c>
    </row>
    <row r="197" spans="1:6" ht="24">
      <c r="A197" s="1112" t="s">
        <v>108</v>
      </c>
      <c r="B197" s="1117" t="s">
        <v>654</v>
      </c>
      <c r="C197" s="1147"/>
      <c r="D197" s="1147"/>
      <c r="E197" s="1147"/>
      <c r="F197" s="1142">
        <v>0.05</v>
      </c>
    </row>
    <row r="198" spans="1:6" ht="24">
      <c r="A198" s="1112" t="s">
        <v>108</v>
      </c>
      <c r="B198" s="1117" t="s">
        <v>655</v>
      </c>
      <c r="C198" s="1147"/>
      <c r="D198" s="1147"/>
      <c r="E198" s="1147"/>
      <c r="F198" s="1142">
        <v>0.05</v>
      </c>
    </row>
    <row r="199" spans="1:6" ht="24">
      <c r="A199" s="1112" t="s">
        <v>108</v>
      </c>
      <c r="B199" s="1117" t="s">
        <v>656</v>
      </c>
      <c r="C199" s="1147"/>
      <c r="D199" s="1147"/>
      <c r="E199" s="1147"/>
      <c r="F199" s="1142">
        <v>0.05</v>
      </c>
    </row>
    <row r="200" spans="1:6" ht="24">
      <c r="A200" s="1112" t="s">
        <v>108</v>
      </c>
      <c r="B200" s="1117" t="s">
        <v>657</v>
      </c>
      <c r="C200" s="1147"/>
      <c r="D200" s="1147"/>
      <c r="E200" s="1147"/>
      <c r="F200" s="1142">
        <v>0.05</v>
      </c>
    </row>
    <row r="201" spans="1:6" ht="24">
      <c r="A201" s="1112" t="s">
        <v>108</v>
      </c>
      <c r="B201" s="1117" t="s">
        <v>658</v>
      </c>
      <c r="C201" s="1147"/>
      <c r="D201" s="1147"/>
      <c r="E201" s="1147"/>
      <c r="F201" s="1142">
        <v>0.05</v>
      </c>
    </row>
    <row r="202" spans="1:6" ht="24">
      <c r="A202" s="1112" t="s">
        <v>108</v>
      </c>
      <c r="B202" s="1117" t="s">
        <v>659</v>
      </c>
      <c r="C202" s="1147"/>
      <c r="D202" s="1147"/>
      <c r="E202" s="1147"/>
      <c r="F202" s="1142">
        <v>0.05</v>
      </c>
    </row>
    <row r="203" spans="1:6" ht="24">
      <c r="A203" s="1112" t="s">
        <v>108</v>
      </c>
      <c r="B203" s="1117" t="s">
        <v>660</v>
      </c>
      <c r="C203" s="1147"/>
      <c r="D203" s="1147"/>
      <c r="E203" s="1147"/>
      <c r="F203" s="1142">
        <v>0.05</v>
      </c>
    </row>
    <row r="204" spans="1:6">
      <c r="A204" s="1112" t="s">
        <v>108</v>
      </c>
      <c r="B204" s="1117" t="s">
        <v>661</v>
      </c>
      <c r="C204" s="1147"/>
      <c r="D204" s="1147"/>
      <c r="E204" s="1147"/>
      <c r="F204" s="1142">
        <v>0.05</v>
      </c>
    </row>
    <row r="205" spans="1:6">
      <c r="A205" s="1130" t="s">
        <v>108</v>
      </c>
      <c r="B205" s="1123" t="s">
        <v>662</v>
      </c>
      <c r="C205" s="1144"/>
      <c r="D205" s="1144"/>
      <c r="E205" s="1144"/>
      <c r="F205" s="1148">
        <v>0.05</v>
      </c>
    </row>
    <row r="206" spans="1:6">
      <c r="A206" s="1112" t="s">
        <v>113</v>
      </c>
      <c r="B206" s="1113" t="s">
        <v>663</v>
      </c>
      <c r="C206" s="1139">
        <v>0.15</v>
      </c>
      <c r="D206" s="1139">
        <v>0.15</v>
      </c>
      <c r="E206" s="1139">
        <v>0.15</v>
      </c>
      <c r="F206" s="1140">
        <v>0.15</v>
      </c>
    </row>
    <row r="207" spans="1:6">
      <c r="A207" s="1112" t="s">
        <v>113</v>
      </c>
      <c r="B207" s="1117" t="s">
        <v>664</v>
      </c>
      <c r="C207" s="1141">
        <v>0.15</v>
      </c>
      <c r="D207" s="1141">
        <v>0.15</v>
      </c>
      <c r="E207" s="1141">
        <v>0.15</v>
      </c>
      <c r="F207" s="1142">
        <v>0.14399999999999999</v>
      </c>
    </row>
    <row r="208" spans="1:6">
      <c r="A208" s="1112" t="s">
        <v>113</v>
      </c>
      <c r="B208" s="1117" t="s">
        <v>665</v>
      </c>
      <c r="C208" s="1141">
        <v>0.15</v>
      </c>
      <c r="D208" s="1141">
        <v>0.15</v>
      </c>
      <c r="E208" s="1141">
        <v>0.15</v>
      </c>
      <c r="F208" s="1142">
        <v>0.15</v>
      </c>
    </row>
    <row r="209" spans="1:6">
      <c r="A209" s="1112" t="s">
        <v>113</v>
      </c>
      <c r="B209" s="1117" t="s">
        <v>666</v>
      </c>
      <c r="C209" s="1141">
        <v>0.13700000000000001</v>
      </c>
      <c r="D209" s="1141">
        <v>0.13700000000000001</v>
      </c>
      <c r="E209" s="1141">
        <v>0.14000000000000001</v>
      </c>
      <c r="F209" s="1142">
        <v>0.11700000000000001</v>
      </c>
    </row>
    <row r="210" spans="1:6">
      <c r="A210" s="1112" t="s">
        <v>113</v>
      </c>
      <c r="B210" s="1117" t="s">
        <v>667</v>
      </c>
      <c r="C210" s="1141">
        <v>0.15</v>
      </c>
      <c r="D210" s="1141">
        <v>0.15</v>
      </c>
      <c r="E210" s="1141">
        <v>0.15</v>
      </c>
      <c r="F210" s="1142">
        <v>0.13800000000000001</v>
      </c>
    </row>
    <row r="211" spans="1:6">
      <c r="A211" s="1112" t="s">
        <v>113</v>
      </c>
      <c r="B211" s="1117" t="s">
        <v>668</v>
      </c>
      <c r="C211" s="1141">
        <v>0.13700000000000001</v>
      </c>
      <c r="D211" s="1141">
        <v>0.13500000000000001</v>
      </c>
      <c r="E211" s="1141">
        <v>0.13600000000000001</v>
      </c>
      <c r="F211" s="1142">
        <v>0.1</v>
      </c>
    </row>
    <row r="212" spans="1:6">
      <c r="A212" s="1112" t="s">
        <v>113</v>
      </c>
      <c r="B212" s="1117" t="s">
        <v>669</v>
      </c>
      <c r="C212" s="1141">
        <v>0.15</v>
      </c>
      <c r="D212" s="1141">
        <v>0.15</v>
      </c>
      <c r="E212" s="1141">
        <v>0.14799999999999999</v>
      </c>
      <c r="F212" s="1142">
        <v>0.13600000000000001</v>
      </c>
    </row>
    <row r="213" spans="1:6">
      <c r="A213" s="1112" t="s">
        <v>113</v>
      </c>
      <c r="B213" s="1117" t="s">
        <v>670</v>
      </c>
      <c r="C213" s="1141">
        <v>0.15</v>
      </c>
      <c r="D213" s="1141">
        <v>0.15</v>
      </c>
      <c r="E213" s="1141">
        <v>0.15</v>
      </c>
      <c r="F213" s="1142">
        <v>0.13800000000000001</v>
      </c>
    </row>
    <row r="214" spans="1:6">
      <c r="A214" s="1112" t="s">
        <v>113</v>
      </c>
      <c r="B214" s="1117" t="s">
        <v>671</v>
      </c>
      <c r="C214" s="1141">
        <v>9.0999999999999998E-2</v>
      </c>
      <c r="D214" s="1141">
        <v>0.09</v>
      </c>
      <c r="E214" s="1141">
        <v>9.1999999999999998E-2</v>
      </c>
      <c r="F214" s="1146"/>
    </row>
    <row r="215" spans="1:6">
      <c r="A215" s="1112" t="s">
        <v>113</v>
      </c>
      <c r="B215" s="1117" t="s">
        <v>672</v>
      </c>
      <c r="C215" s="1141">
        <v>0.15</v>
      </c>
      <c r="D215" s="1141">
        <v>0.15</v>
      </c>
      <c r="E215" s="1141">
        <v>0.15</v>
      </c>
      <c r="F215" s="1142">
        <v>0.15</v>
      </c>
    </row>
    <row r="216" spans="1:6">
      <c r="A216" s="1112" t="s">
        <v>113</v>
      </c>
      <c r="B216" s="1117" t="s">
        <v>673</v>
      </c>
      <c r="C216" s="1141">
        <v>0.14699999999999999</v>
      </c>
      <c r="D216" s="1141">
        <v>0.14699999999999999</v>
      </c>
      <c r="E216" s="1141">
        <v>0.15</v>
      </c>
      <c r="F216" s="1142">
        <v>0.14000000000000001</v>
      </c>
    </row>
    <row r="217" spans="1:6">
      <c r="A217" s="1112" t="s">
        <v>113</v>
      </c>
      <c r="B217" s="1117" t="s">
        <v>674</v>
      </c>
      <c r="C217" s="1141">
        <v>0.15</v>
      </c>
      <c r="D217" s="1141">
        <v>0.15</v>
      </c>
      <c r="E217" s="1141">
        <v>0.15</v>
      </c>
      <c r="F217" s="1142">
        <v>0.15</v>
      </c>
    </row>
    <row r="218" spans="1:6">
      <c r="A218" s="1112" t="s">
        <v>113</v>
      </c>
      <c r="B218" s="1117" t="s">
        <v>675</v>
      </c>
      <c r="C218" s="1141">
        <v>0.15</v>
      </c>
      <c r="D218" s="1141">
        <v>0.15</v>
      </c>
      <c r="E218" s="1141">
        <v>0.15</v>
      </c>
      <c r="F218" s="1142">
        <v>0.15</v>
      </c>
    </row>
    <row r="219" spans="1:6">
      <c r="A219" s="1112" t="s">
        <v>113</v>
      </c>
      <c r="B219" s="1117" t="s">
        <v>676</v>
      </c>
      <c r="C219" s="1141">
        <v>0.15</v>
      </c>
      <c r="D219" s="1141">
        <v>0.15</v>
      </c>
      <c r="E219" s="1141">
        <v>0.15</v>
      </c>
      <c r="F219" s="1142">
        <v>0.14799999999999999</v>
      </c>
    </row>
    <row r="220" spans="1:6">
      <c r="A220" s="1112" t="s">
        <v>113</v>
      </c>
      <c r="B220" s="1117" t="s">
        <v>677</v>
      </c>
      <c r="C220" s="1141">
        <v>0.15</v>
      </c>
      <c r="D220" s="1141">
        <v>0.15</v>
      </c>
      <c r="E220" s="1141">
        <v>0.15</v>
      </c>
      <c r="F220" s="1142">
        <v>0.15</v>
      </c>
    </row>
    <row r="221" spans="1:6">
      <c r="A221" s="1112" t="s">
        <v>113</v>
      </c>
      <c r="B221" s="1117" t="s">
        <v>678</v>
      </c>
      <c r="C221" s="1141"/>
      <c r="D221" s="1147"/>
      <c r="E221" s="1147"/>
      <c r="F221" s="1142">
        <v>0.14799999999999999</v>
      </c>
    </row>
    <row r="222" spans="1:6">
      <c r="A222" s="1112" t="s">
        <v>113</v>
      </c>
      <c r="B222" s="1117" t="s">
        <v>679</v>
      </c>
      <c r="C222" s="1141"/>
      <c r="D222" s="1147"/>
      <c r="E222" s="1147"/>
      <c r="F222" s="1142">
        <v>0.1</v>
      </c>
    </row>
    <row r="223" spans="1:6">
      <c r="A223" s="1112" t="s">
        <v>113</v>
      </c>
      <c r="B223" s="1117" t="s">
        <v>680</v>
      </c>
      <c r="C223" s="1141"/>
      <c r="D223" s="1147"/>
      <c r="E223" s="1147"/>
      <c r="F223" s="1142">
        <v>0.15</v>
      </c>
    </row>
    <row r="224" spans="1:6">
      <c r="A224" s="1112" t="s">
        <v>113</v>
      </c>
      <c r="B224" s="1117" t="s">
        <v>681</v>
      </c>
      <c r="C224" s="1141"/>
      <c r="D224" s="1147"/>
      <c r="E224" s="1147"/>
      <c r="F224" s="1142">
        <v>0.15</v>
      </c>
    </row>
    <row r="225" spans="1:6">
      <c r="A225" s="1112" t="s">
        <v>113</v>
      </c>
      <c r="B225" s="1117" t="s">
        <v>682</v>
      </c>
      <c r="C225" s="1141">
        <v>0.15</v>
      </c>
      <c r="D225" s="1141">
        <v>0.15</v>
      </c>
      <c r="E225" s="1141">
        <v>0.15</v>
      </c>
      <c r="F225" s="1142">
        <v>0.15</v>
      </c>
    </row>
    <row r="226" spans="1:6">
      <c r="A226" s="1112" t="s">
        <v>113</v>
      </c>
      <c r="B226" s="1117" t="s">
        <v>683</v>
      </c>
      <c r="C226" s="1141">
        <v>0.15</v>
      </c>
      <c r="D226" s="1141">
        <v>0.15</v>
      </c>
      <c r="E226" s="1141">
        <v>0.15</v>
      </c>
      <c r="F226" s="1142">
        <v>0.14799999999999999</v>
      </c>
    </row>
    <row r="227" spans="1:6">
      <c r="A227" s="1112" t="s">
        <v>113</v>
      </c>
      <c r="B227" s="1117" t="s">
        <v>684</v>
      </c>
      <c r="C227" s="1141">
        <v>0.15</v>
      </c>
      <c r="D227" s="1141">
        <v>0.15</v>
      </c>
      <c r="E227" s="1141">
        <v>0.15</v>
      </c>
      <c r="F227" s="1142">
        <v>0.15</v>
      </c>
    </row>
    <row r="228" spans="1:6">
      <c r="A228" s="1112" t="s">
        <v>113</v>
      </c>
      <c r="B228" s="1117" t="s">
        <v>685</v>
      </c>
      <c r="C228" s="1141">
        <v>0.15</v>
      </c>
      <c r="D228" s="1141">
        <v>0.15</v>
      </c>
      <c r="E228" s="1141">
        <v>0.15</v>
      </c>
      <c r="F228" s="1142">
        <v>0.15</v>
      </c>
    </row>
    <row r="229" spans="1:6">
      <c r="A229" s="1112" t="s">
        <v>113</v>
      </c>
      <c r="B229" s="1117" t="s">
        <v>686</v>
      </c>
      <c r="C229" s="1141">
        <v>0.15</v>
      </c>
      <c r="D229" s="1141">
        <v>0.15</v>
      </c>
      <c r="E229" s="1141">
        <v>0.15</v>
      </c>
      <c r="F229" s="1146"/>
    </row>
    <row r="230" spans="1:6">
      <c r="A230" s="1112" t="s">
        <v>113</v>
      </c>
      <c r="B230" s="1117" t="s">
        <v>687</v>
      </c>
      <c r="C230" s="1141">
        <v>0.14499999999999999</v>
      </c>
      <c r="D230" s="1141">
        <v>0.14499999999999999</v>
      </c>
      <c r="E230" s="1141">
        <v>0.14399999999999999</v>
      </c>
      <c r="F230" s="1146"/>
    </row>
    <row r="231" spans="1:6">
      <c r="A231" s="1112" t="s">
        <v>113</v>
      </c>
      <c r="B231" s="1117" t="s">
        <v>688</v>
      </c>
      <c r="C231" s="1141">
        <v>0.128</v>
      </c>
      <c r="D231" s="1141">
        <v>0.125</v>
      </c>
      <c r="E231" s="1141">
        <v>0.13200000000000001</v>
      </c>
      <c r="F231" s="1146"/>
    </row>
    <row r="232" spans="1:6">
      <c r="A232" s="1112" t="s">
        <v>113</v>
      </c>
      <c r="B232" s="1117" t="s">
        <v>689</v>
      </c>
      <c r="C232" s="1141">
        <v>0.14499999999999999</v>
      </c>
      <c r="D232" s="1141">
        <v>0.14399999999999999</v>
      </c>
      <c r="E232" s="1141">
        <v>0.14599999999999999</v>
      </c>
      <c r="F232" s="1142">
        <v>0.13800000000000001</v>
      </c>
    </row>
    <row r="233" spans="1:6">
      <c r="A233" s="1112" t="s">
        <v>113</v>
      </c>
      <c r="B233" s="1117" t="s">
        <v>690</v>
      </c>
      <c r="C233" s="1141">
        <v>0.14499999999999999</v>
      </c>
      <c r="D233" s="1141">
        <v>0.14299999999999999</v>
      </c>
      <c r="E233" s="1141">
        <v>0.14199999999999999</v>
      </c>
      <c r="F233" s="1146"/>
    </row>
    <row r="234" spans="1:6">
      <c r="A234" s="1112" t="s">
        <v>113</v>
      </c>
      <c r="B234" s="1117" t="s">
        <v>691</v>
      </c>
      <c r="C234" s="1141">
        <v>0.14000000000000001</v>
      </c>
      <c r="D234" s="1141">
        <v>0.14000000000000001</v>
      </c>
      <c r="E234" s="1141">
        <v>0.14399999999999999</v>
      </c>
      <c r="F234" s="1146"/>
    </row>
    <row r="235" spans="1:6">
      <c r="A235" s="1112" t="s">
        <v>113</v>
      </c>
      <c r="B235" s="1117" t="s">
        <v>692</v>
      </c>
      <c r="C235" s="1141">
        <v>0.14099999999999999</v>
      </c>
      <c r="D235" s="1141">
        <v>0.14199999999999999</v>
      </c>
      <c r="E235" s="1141">
        <v>0.14499999999999999</v>
      </c>
      <c r="F235" s="1142">
        <v>0.15</v>
      </c>
    </row>
    <row r="236" spans="1:6">
      <c r="A236" s="1112" t="s">
        <v>113</v>
      </c>
      <c r="B236" s="1117" t="s">
        <v>693</v>
      </c>
      <c r="C236" s="1147"/>
      <c r="D236" s="1147"/>
      <c r="E236" s="1147"/>
      <c r="F236" s="1142">
        <v>0.14299999999999999</v>
      </c>
    </row>
    <row r="237" spans="1:6" ht="24">
      <c r="A237" s="1112" t="s">
        <v>113</v>
      </c>
      <c r="B237" s="1117" t="s">
        <v>694</v>
      </c>
      <c r="C237" s="1147"/>
      <c r="D237" s="1147"/>
      <c r="E237" s="1147"/>
      <c r="F237" s="1142">
        <v>0.05</v>
      </c>
    </row>
    <row r="238" spans="1:6" ht="24">
      <c r="A238" s="1112" t="s">
        <v>113</v>
      </c>
      <c r="B238" s="1117" t="s">
        <v>695</v>
      </c>
      <c r="C238" s="1147"/>
      <c r="D238" s="1147"/>
      <c r="E238" s="1147"/>
      <c r="F238" s="1142">
        <v>0.05</v>
      </c>
    </row>
    <row r="239" spans="1:6" ht="24">
      <c r="A239" s="1112" t="s">
        <v>113</v>
      </c>
      <c r="B239" s="1117" t="s">
        <v>696</v>
      </c>
      <c r="C239" s="1147"/>
      <c r="D239" s="1147"/>
      <c r="E239" s="1147"/>
      <c r="F239" s="1142">
        <v>0.05</v>
      </c>
    </row>
    <row r="240" spans="1:6" ht="24">
      <c r="A240" s="1112" t="s">
        <v>113</v>
      </c>
      <c r="B240" s="1117" t="s">
        <v>697</v>
      </c>
      <c r="C240" s="1147"/>
      <c r="D240" s="1147"/>
      <c r="E240" s="1147"/>
      <c r="F240" s="1142">
        <v>0.05</v>
      </c>
    </row>
    <row r="241" spans="1:6" ht="24">
      <c r="A241" s="1112" t="s">
        <v>113</v>
      </c>
      <c r="B241" s="1117" t="s">
        <v>698</v>
      </c>
      <c r="C241" s="1147"/>
      <c r="D241" s="1147"/>
      <c r="E241" s="1147"/>
      <c r="F241" s="1142">
        <v>0.05</v>
      </c>
    </row>
    <row r="242" spans="1:6" ht="24">
      <c r="A242" s="1112" t="s">
        <v>113</v>
      </c>
      <c r="B242" s="1117" t="s">
        <v>699</v>
      </c>
      <c r="C242" s="1147"/>
      <c r="D242" s="1147"/>
      <c r="E242" s="1147"/>
      <c r="F242" s="1142">
        <v>0.05</v>
      </c>
    </row>
    <row r="243" spans="1:6" ht="24">
      <c r="A243" s="1112" t="s">
        <v>113</v>
      </c>
      <c r="B243" s="1117" t="s">
        <v>700</v>
      </c>
      <c r="C243" s="1147"/>
      <c r="D243" s="1147"/>
      <c r="E243" s="1147"/>
      <c r="F243" s="1142">
        <v>0.05</v>
      </c>
    </row>
    <row r="244" spans="1:6" ht="24">
      <c r="A244" s="1130" t="s">
        <v>113</v>
      </c>
      <c r="B244" s="1123" t="s">
        <v>701</v>
      </c>
      <c r="C244" s="1144"/>
      <c r="D244" s="1144"/>
      <c r="E244" s="1144"/>
      <c r="F244" s="1148">
        <v>0.05</v>
      </c>
    </row>
    <row r="245" spans="1:6">
      <c r="A245" s="1112" t="s">
        <v>116</v>
      </c>
      <c r="B245" s="1113" t="s">
        <v>702</v>
      </c>
      <c r="C245" s="1139">
        <v>0.15</v>
      </c>
      <c r="D245" s="1139">
        <v>0.15</v>
      </c>
      <c r="E245" s="1139">
        <v>0.15</v>
      </c>
      <c r="F245" s="1140">
        <v>0.14299999999999999</v>
      </c>
    </row>
    <row r="246" spans="1:6">
      <c r="A246" s="1112" t="s">
        <v>116</v>
      </c>
      <c r="B246" s="1117" t="s">
        <v>703</v>
      </c>
      <c r="C246" s="1141">
        <v>0.15</v>
      </c>
      <c r="D246" s="1141">
        <v>0.15</v>
      </c>
      <c r="E246" s="1141">
        <v>0.15</v>
      </c>
      <c r="F246" s="1142">
        <v>0.114</v>
      </c>
    </row>
    <row r="247" spans="1:6">
      <c r="A247" s="1112" t="s">
        <v>116</v>
      </c>
      <c r="B247" s="1117" t="s">
        <v>704</v>
      </c>
      <c r="C247" s="1141">
        <v>0.15</v>
      </c>
      <c r="D247" s="1141">
        <v>0.15</v>
      </c>
      <c r="E247" s="1141">
        <v>0.15</v>
      </c>
      <c r="F247" s="1142">
        <v>0.15</v>
      </c>
    </row>
    <row r="248" spans="1:6">
      <c r="A248" s="1112" t="s">
        <v>116</v>
      </c>
      <c r="B248" s="1117" t="s">
        <v>705</v>
      </c>
      <c r="C248" s="1141">
        <v>0.15</v>
      </c>
      <c r="D248" s="1141">
        <v>0.15</v>
      </c>
      <c r="E248" s="1141">
        <v>0.15</v>
      </c>
      <c r="F248" s="1142">
        <v>0.14000000000000001</v>
      </c>
    </row>
    <row r="249" spans="1:6">
      <c r="A249" s="1112" t="s">
        <v>116</v>
      </c>
      <c r="B249" s="1117" t="s">
        <v>706</v>
      </c>
      <c r="C249" s="1141">
        <v>0.15</v>
      </c>
      <c r="D249" s="1141">
        <v>0.14899999999999999</v>
      </c>
      <c r="E249" s="1141">
        <v>0.15</v>
      </c>
      <c r="F249" s="1142">
        <v>0.1</v>
      </c>
    </row>
    <row r="250" spans="1:6">
      <c r="A250" s="1112" t="s">
        <v>116</v>
      </c>
      <c r="B250" s="1117" t="s">
        <v>707</v>
      </c>
      <c r="C250" s="1141">
        <v>0.15</v>
      </c>
      <c r="D250" s="1141">
        <v>0.15</v>
      </c>
      <c r="E250" s="1141">
        <v>0.15</v>
      </c>
      <c r="F250" s="1142">
        <v>0.14399999999999999</v>
      </c>
    </row>
    <row r="251" spans="1:6">
      <c r="A251" s="1112" t="s">
        <v>116</v>
      </c>
      <c r="B251" s="1117" t="s">
        <v>708</v>
      </c>
      <c r="C251" s="1141">
        <v>0.15</v>
      </c>
      <c r="D251" s="1141">
        <v>0.15</v>
      </c>
      <c r="E251" s="1141">
        <v>0.15</v>
      </c>
      <c r="F251" s="1142">
        <v>0.14299999999999999</v>
      </c>
    </row>
    <row r="252" spans="1:6">
      <c r="A252" s="1112" t="s">
        <v>116</v>
      </c>
      <c r="B252" s="1117" t="s">
        <v>709</v>
      </c>
      <c r="C252" s="1141">
        <v>0.15</v>
      </c>
      <c r="D252" s="1141">
        <v>0.15</v>
      </c>
      <c r="E252" s="1141">
        <v>0.15</v>
      </c>
      <c r="F252" s="1142">
        <v>0.1</v>
      </c>
    </row>
    <row r="253" spans="1:6">
      <c r="A253" s="1112" t="s">
        <v>116</v>
      </c>
      <c r="B253" s="1117" t="s">
        <v>710</v>
      </c>
      <c r="C253" s="1141">
        <v>0.15</v>
      </c>
      <c r="D253" s="1141">
        <v>0.15</v>
      </c>
      <c r="E253" s="1141">
        <v>0.15</v>
      </c>
      <c r="F253" s="1142">
        <v>0.1</v>
      </c>
    </row>
    <row r="254" spans="1:6">
      <c r="A254" s="1112" t="s">
        <v>116</v>
      </c>
      <c r="B254" s="1117" t="s">
        <v>711</v>
      </c>
      <c r="C254" s="1147"/>
      <c r="D254" s="1147"/>
      <c r="E254" s="1147"/>
      <c r="F254" s="1142">
        <v>0.15</v>
      </c>
    </row>
    <row r="255" spans="1:6">
      <c r="A255" s="1112" t="s">
        <v>116</v>
      </c>
      <c r="B255" s="1117" t="s">
        <v>712</v>
      </c>
      <c r="C255" s="1147"/>
      <c r="D255" s="1147"/>
      <c r="E255" s="1147"/>
      <c r="F255" s="1142">
        <v>0.14299999999999999</v>
      </c>
    </row>
    <row r="256" spans="1:6">
      <c r="A256" s="1112" t="s">
        <v>116</v>
      </c>
      <c r="B256" s="1117" t="s">
        <v>713</v>
      </c>
      <c r="C256" s="1141">
        <v>0.14599999999999999</v>
      </c>
      <c r="D256" s="1141">
        <v>0.14699999999999999</v>
      </c>
      <c r="E256" s="1141">
        <v>0.15</v>
      </c>
      <c r="F256" s="1142">
        <v>0.13200000000000001</v>
      </c>
    </row>
    <row r="257" spans="1:6">
      <c r="A257" s="1112" t="s">
        <v>116</v>
      </c>
      <c r="B257" s="1117" t="s">
        <v>714</v>
      </c>
      <c r="C257" s="1141">
        <v>0.15</v>
      </c>
      <c r="D257" s="1141">
        <v>0.15</v>
      </c>
      <c r="E257" s="1141">
        <v>0.15</v>
      </c>
      <c r="F257" s="1142">
        <v>0.13900000000000001</v>
      </c>
    </row>
    <row r="258" spans="1:6">
      <c r="A258" s="1112" t="s">
        <v>116</v>
      </c>
      <c r="B258" s="1117" t="s">
        <v>715</v>
      </c>
      <c r="C258" s="1141">
        <v>0.15</v>
      </c>
      <c r="D258" s="1141">
        <v>0.15</v>
      </c>
      <c r="E258" s="1141">
        <v>0.15</v>
      </c>
      <c r="F258" s="1142">
        <v>0.13</v>
      </c>
    </row>
    <row r="259" spans="1:6">
      <c r="A259" s="1112" t="s">
        <v>116</v>
      </c>
      <c r="B259" s="1117" t="s">
        <v>716</v>
      </c>
      <c r="C259" s="1141">
        <v>0.14799999999999999</v>
      </c>
      <c r="D259" s="1141">
        <v>0.14899999999999999</v>
      </c>
      <c r="E259" s="1141">
        <v>0.15</v>
      </c>
      <c r="F259" s="1142">
        <v>0.13700000000000001</v>
      </c>
    </row>
    <row r="260" spans="1:6">
      <c r="A260" s="1112" t="s">
        <v>116</v>
      </c>
      <c r="B260" s="1117" t="s">
        <v>717</v>
      </c>
      <c r="C260" s="1141">
        <v>0.15</v>
      </c>
      <c r="D260" s="1141">
        <v>0.15</v>
      </c>
      <c r="E260" s="1141">
        <v>0.15</v>
      </c>
      <c r="F260" s="1142">
        <v>0.14199999999999999</v>
      </c>
    </row>
    <row r="261" spans="1:6">
      <c r="A261" s="1112" t="s">
        <v>116</v>
      </c>
      <c r="B261" s="1117" t="s">
        <v>718</v>
      </c>
      <c r="C261" s="1141">
        <v>0.15</v>
      </c>
      <c r="D261" s="1141">
        <v>0.15</v>
      </c>
      <c r="E261" s="1141">
        <v>0.14899999999999999</v>
      </c>
      <c r="F261" s="1142">
        <v>0.14799999999999999</v>
      </c>
    </row>
    <row r="262" spans="1:6">
      <c r="A262" s="1112" t="s">
        <v>116</v>
      </c>
      <c r="B262" s="1117" t="s">
        <v>719</v>
      </c>
      <c r="C262" s="1141">
        <v>0.15</v>
      </c>
      <c r="D262" s="1141">
        <v>0.15</v>
      </c>
      <c r="E262" s="1141">
        <v>0.15</v>
      </c>
      <c r="F262" s="1146"/>
    </row>
    <row r="263" spans="1:6">
      <c r="A263" s="1112" t="s">
        <v>116</v>
      </c>
      <c r="B263" s="1117" t="s">
        <v>720</v>
      </c>
      <c r="C263" s="1141">
        <v>0.14899999999999999</v>
      </c>
      <c r="D263" s="1141">
        <v>0.14899999999999999</v>
      </c>
      <c r="E263" s="1141">
        <v>0.15</v>
      </c>
      <c r="F263" s="1142">
        <v>0.13</v>
      </c>
    </row>
    <row r="264" spans="1:6">
      <c r="A264" s="1112" t="s">
        <v>116</v>
      </c>
      <c r="B264" s="1117" t="s">
        <v>721</v>
      </c>
      <c r="C264" s="1141">
        <v>0.14799999999999999</v>
      </c>
      <c r="D264" s="1141">
        <v>0.14699999999999999</v>
      </c>
      <c r="E264" s="1141">
        <v>0.15</v>
      </c>
      <c r="F264" s="1142">
        <v>7.8E-2</v>
      </c>
    </row>
    <row r="265" spans="1:6">
      <c r="A265" s="1112" t="s">
        <v>116</v>
      </c>
      <c r="B265" s="1117" t="s">
        <v>722</v>
      </c>
      <c r="C265" s="1141">
        <v>0.15</v>
      </c>
      <c r="D265" s="1141">
        <v>0.15</v>
      </c>
      <c r="E265" s="1141">
        <v>0.15</v>
      </c>
      <c r="F265" s="1142">
        <v>7.3999999999999996E-2</v>
      </c>
    </row>
    <row r="266" spans="1:6">
      <c r="A266" s="1112" t="s">
        <v>116</v>
      </c>
      <c r="B266" s="1117" t="s">
        <v>723</v>
      </c>
      <c r="C266" s="1141">
        <v>0.14699999999999999</v>
      </c>
      <c r="D266" s="1141">
        <v>0.14699999999999999</v>
      </c>
      <c r="E266" s="1141">
        <v>0.15</v>
      </c>
      <c r="F266" s="1142">
        <v>0.14299999999999999</v>
      </c>
    </row>
    <row r="267" spans="1:6">
      <c r="A267" s="1112" t="s">
        <v>116</v>
      </c>
      <c r="B267" s="1117" t="s">
        <v>724</v>
      </c>
      <c r="C267" s="1141">
        <v>0.14199999999999999</v>
      </c>
      <c r="D267" s="1141">
        <v>0.14299999999999999</v>
      </c>
      <c r="E267" s="1141">
        <v>0.15</v>
      </c>
      <c r="F267" s="1146"/>
    </row>
    <row r="268" spans="1:6">
      <c r="A268" s="1112" t="s">
        <v>116</v>
      </c>
      <c r="B268" s="1117" t="s">
        <v>725</v>
      </c>
      <c r="C268" s="1141">
        <v>0.15</v>
      </c>
      <c r="D268" s="1141">
        <v>0.15</v>
      </c>
      <c r="E268" s="1141">
        <v>0.15</v>
      </c>
      <c r="F268" s="1142">
        <v>0.13</v>
      </c>
    </row>
    <row r="269" spans="1:6">
      <c r="A269" s="1112" t="s">
        <v>116</v>
      </c>
      <c r="B269" s="1117" t="s">
        <v>726</v>
      </c>
      <c r="C269" s="1141">
        <v>0.15</v>
      </c>
      <c r="D269" s="1141">
        <v>0.15</v>
      </c>
      <c r="E269" s="1141">
        <v>0.15</v>
      </c>
      <c r="F269" s="1142">
        <v>0.14299999999999999</v>
      </c>
    </row>
    <row r="270" spans="1:6">
      <c r="A270" s="1112" t="s">
        <v>116</v>
      </c>
      <c r="B270" s="1117" t="s">
        <v>727</v>
      </c>
      <c r="C270" s="1141">
        <v>0.14499999999999999</v>
      </c>
      <c r="D270" s="1141">
        <v>0.14499999999999999</v>
      </c>
      <c r="E270" s="1141">
        <v>0.15</v>
      </c>
      <c r="F270" s="1142">
        <v>0.14699999999999999</v>
      </c>
    </row>
    <row r="271" spans="1:6">
      <c r="A271" s="1112" t="s">
        <v>116</v>
      </c>
      <c r="B271" s="1117" t="s">
        <v>728</v>
      </c>
      <c r="C271" s="1141">
        <v>0.15</v>
      </c>
      <c r="D271" s="1141">
        <v>0.15</v>
      </c>
      <c r="E271" s="1141">
        <v>0.15</v>
      </c>
      <c r="F271" s="1142">
        <v>0.13800000000000001</v>
      </c>
    </row>
    <row r="272" spans="1:6">
      <c r="A272" s="1112" t="s">
        <v>116</v>
      </c>
      <c r="B272" s="1117" t="s">
        <v>729</v>
      </c>
      <c r="C272" s="1147"/>
      <c r="D272" s="1147"/>
      <c r="E272" s="1147"/>
      <c r="F272" s="1142">
        <v>0.14000000000000001</v>
      </c>
    </row>
    <row r="273" spans="1:6">
      <c r="A273" s="1112" t="s">
        <v>116</v>
      </c>
      <c r="B273" s="1117" t="s">
        <v>730</v>
      </c>
      <c r="C273" s="1141">
        <v>0.14199999999999999</v>
      </c>
      <c r="D273" s="1141">
        <v>0.14299999999999999</v>
      </c>
      <c r="E273" s="1141">
        <v>0.15</v>
      </c>
      <c r="F273" s="1142">
        <v>0.1</v>
      </c>
    </row>
    <row r="274" spans="1:6">
      <c r="A274" s="1112" t="s">
        <v>116</v>
      </c>
      <c r="B274" s="1117" t="s">
        <v>731</v>
      </c>
      <c r="C274" s="1141">
        <v>0.14799999999999999</v>
      </c>
      <c r="D274" s="1141">
        <v>0.14799999999999999</v>
      </c>
      <c r="E274" s="1141">
        <v>0.15</v>
      </c>
      <c r="F274" s="1142">
        <v>6.7000000000000004E-2</v>
      </c>
    </row>
    <row r="275" spans="1:6">
      <c r="A275" s="1112" t="s">
        <v>116</v>
      </c>
      <c r="B275" s="1117" t="s">
        <v>732</v>
      </c>
      <c r="C275" s="1141">
        <v>0.15</v>
      </c>
      <c r="D275" s="1141">
        <v>0.15</v>
      </c>
      <c r="E275" s="1141">
        <v>0.15</v>
      </c>
      <c r="F275" s="1142">
        <v>0.15</v>
      </c>
    </row>
    <row r="276" spans="1:6">
      <c r="A276" s="1112" t="s">
        <v>116</v>
      </c>
      <c r="B276" s="1117" t="s">
        <v>733</v>
      </c>
      <c r="C276" s="1141">
        <v>0.14499999999999999</v>
      </c>
      <c r="D276" s="1141">
        <v>0.14299999999999999</v>
      </c>
      <c r="E276" s="1141">
        <v>0.15</v>
      </c>
      <c r="F276" s="1142">
        <v>5.8999999999999997E-2</v>
      </c>
    </row>
    <row r="277" spans="1:6">
      <c r="A277" s="1112" t="s">
        <v>116</v>
      </c>
      <c r="B277" s="1117" t="s">
        <v>734</v>
      </c>
      <c r="C277" s="1141">
        <v>0.15</v>
      </c>
      <c r="D277" s="1141">
        <v>0.15</v>
      </c>
      <c r="E277" s="1141">
        <v>0.15</v>
      </c>
      <c r="F277" s="1142">
        <v>0.121</v>
      </c>
    </row>
    <row r="278" spans="1:6">
      <c r="A278" s="1112" t="s">
        <v>116</v>
      </c>
      <c r="B278" s="1117" t="s">
        <v>735</v>
      </c>
      <c r="C278" s="1141">
        <v>0.15</v>
      </c>
      <c r="D278" s="1141">
        <v>0.15</v>
      </c>
      <c r="E278" s="1141">
        <v>0.15</v>
      </c>
      <c r="F278" s="1142">
        <v>0.13800000000000001</v>
      </c>
    </row>
    <row r="279" spans="1:6" ht="24">
      <c r="A279" s="1112" t="s">
        <v>116</v>
      </c>
      <c r="B279" s="1117" t="s">
        <v>736</v>
      </c>
      <c r="C279" s="1147"/>
      <c r="D279" s="1147"/>
      <c r="E279" s="1147"/>
      <c r="F279" s="1142">
        <v>0.05</v>
      </c>
    </row>
    <row r="280" spans="1:6" ht="24">
      <c r="A280" s="1112" t="s">
        <v>116</v>
      </c>
      <c r="B280" s="1117" t="s">
        <v>737</v>
      </c>
      <c r="C280" s="1147"/>
      <c r="D280" s="1147"/>
      <c r="E280" s="1147"/>
      <c r="F280" s="1142">
        <v>0.05</v>
      </c>
    </row>
    <row r="281" spans="1:6" ht="24">
      <c r="A281" s="1112" t="s">
        <v>116</v>
      </c>
      <c r="B281" s="1117" t="s">
        <v>738</v>
      </c>
      <c r="C281" s="1147"/>
      <c r="D281" s="1147"/>
      <c r="E281" s="1147"/>
      <c r="F281" s="1142">
        <v>0.05</v>
      </c>
    </row>
    <row r="282" spans="1:6" ht="24">
      <c r="A282" s="1112" t="s">
        <v>116</v>
      </c>
      <c r="B282" s="1117" t="s">
        <v>739</v>
      </c>
      <c r="C282" s="1147"/>
      <c r="D282" s="1147"/>
      <c r="E282" s="1147"/>
      <c r="F282" s="1142">
        <v>0.05</v>
      </c>
    </row>
    <row r="283" spans="1:6" ht="24">
      <c r="A283" s="1112" t="s">
        <v>116</v>
      </c>
      <c r="B283" s="1117" t="s">
        <v>740</v>
      </c>
      <c r="C283" s="1147"/>
      <c r="D283" s="1147"/>
      <c r="E283" s="1147"/>
      <c r="F283" s="1142">
        <v>0.05</v>
      </c>
    </row>
    <row r="284" spans="1:6" ht="24">
      <c r="A284" s="1112" t="s">
        <v>116</v>
      </c>
      <c r="B284" s="1117" t="s">
        <v>741</v>
      </c>
      <c r="C284" s="1147"/>
      <c r="D284" s="1147"/>
      <c r="E284" s="1147"/>
      <c r="F284" s="1142">
        <v>0.05</v>
      </c>
    </row>
    <row r="285" spans="1:6" ht="24">
      <c r="A285" s="1112" t="s">
        <v>116</v>
      </c>
      <c r="B285" s="1117" t="s">
        <v>742</v>
      </c>
      <c r="C285" s="1147"/>
      <c r="D285" s="1147"/>
      <c r="E285" s="1147"/>
      <c r="F285" s="1142">
        <v>0.05</v>
      </c>
    </row>
    <row r="286" spans="1:6" ht="24">
      <c r="A286" s="1112" t="s">
        <v>116</v>
      </c>
      <c r="B286" s="1117" t="s">
        <v>743</v>
      </c>
      <c r="C286" s="1147"/>
      <c r="D286" s="1147"/>
      <c r="E286" s="1147"/>
      <c r="F286" s="1142">
        <v>0.05</v>
      </c>
    </row>
    <row r="287" spans="1:6" ht="24">
      <c r="A287" s="1112" t="s">
        <v>116</v>
      </c>
      <c r="B287" s="1117" t="s">
        <v>744</v>
      </c>
      <c r="C287" s="1147"/>
      <c r="D287" s="1147"/>
      <c r="E287" s="1147"/>
      <c r="F287" s="1142">
        <v>0.05</v>
      </c>
    </row>
    <row r="288" spans="1:6" ht="24">
      <c r="A288" s="1112" t="s">
        <v>116</v>
      </c>
      <c r="B288" s="1117" t="s">
        <v>745</v>
      </c>
      <c r="C288" s="1147"/>
      <c r="D288" s="1147"/>
      <c r="E288" s="1147"/>
      <c r="F288" s="1142">
        <v>0.05</v>
      </c>
    </row>
    <row r="289" spans="1:6" ht="24">
      <c r="A289" s="1130" t="s">
        <v>116</v>
      </c>
      <c r="B289" s="1123" t="s">
        <v>746</v>
      </c>
      <c r="C289" s="1144"/>
      <c r="D289" s="1144"/>
      <c r="E289" s="1144"/>
      <c r="F289" s="1148">
        <v>0.05</v>
      </c>
    </row>
    <row r="290" spans="1:6">
      <c r="A290" s="1112" t="s">
        <v>118</v>
      </c>
      <c r="B290" s="1113" t="s">
        <v>747</v>
      </c>
      <c r="C290" s="1139">
        <v>0.15</v>
      </c>
      <c r="D290" s="1139">
        <v>0.15</v>
      </c>
      <c r="E290" s="1139">
        <v>0.15</v>
      </c>
      <c r="F290" s="1156"/>
    </row>
    <row r="291" spans="1:6">
      <c r="A291" s="1112" t="s">
        <v>118</v>
      </c>
      <c r="B291" s="1117" t="s">
        <v>748</v>
      </c>
      <c r="C291" s="1141">
        <v>0.15</v>
      </c>
      <c r="D291" s="1141">
        <v>0.15</v>
      </c>
      <c r="E291" s="1141">
        <v>0.15</v>
      </c>
      <c r="F291" s="1146"/>
    </row>
    <row r="292" spans="1:6">
      <c r="A292" s="1112" t="s">
        <v>118</v>
      </c>
      <c r="B292" s="1117" t="s">
        <v>749</v>
      </c>
      <c r="C292" s="1141">
        <v>0.15</v>
      </c>
      <c r="D292" s="1141">
        <v>0.15</v>
      </c>
      <c r="E292" s="1141">
        <v>0.15</v>
      </c>
      <c r="F292" s="1142">
        <v>0.14699999999999999</v>
      </c>
    </row>
    <row r="293" spans="1:6">
      <c r="A293" s="1112" t="s">
        <v>118</v>
      </c>
      <c r="B293" s="1117" t="s">
        <v>750</v>
      </c>
      <c r="C293" s="1147"/>
      <c r="D293" s="1147"/>
      <c r="E293" s="1147"/>
      <c r="F293" s="1142">
        <v>0.1</v>
      </c>
    </row>
    <row r="294" spans="1:6">
      <c r="A294" s="1112" t="s">
        <v>118</v>
      </c>
      <c r="B294" s="1117" t="s">
        <v>751</v>
      </c>
      <c r="C294" s="1141">
        <v>0.15</v>
      </c>
      <c r="D294" s="1141">
        <v>0.15</v>
      </c>
      <c r="E294" s="1141">
        <v>0.15</v>
      </c>
      <c r="F294" s="1142">
        <v>0.15</v>
      </c>
    </row>
    <row r="295" spans="1:6">
      <c r="A295" s="1112" t="s">
        <v>118</v>
      </c>
      <c r="B295" s="1117" t="s">
        <v>752</v>
      </c>
      <c r="C295" s="1141">
        <v>0.15</v>
      </c>
      <c r="D295" s="1141">
        <v>0.15</v>
      </c>
      <c r="E295" s="1141">
        <v>0.15</v>
      </c>
      <c r="F295" s="1142">
        <v>0.15</v>
      </c>
    </row>
    <row r="296" spans="1:6">
      <c r="A296" s="1112" t="s">
        <v>118</v>
      </c>
      <c r="B296" s="1117" t="s">
        <v>753</v>
      </c>
      <c r="C296" s="1141">
        <v>0.15</v>
      </c>
      <c r="D296" s="1141">
        <v>0.15</v>
      </c>
      <c r="E296" s="1141">
        <v>0.15</v>
      </c>
      <c r="F296" s="1142">
        <v>0.15</v>
      </c>
    </row>
    <row r="297" spans="1:6">
      <c r="A297" s="1112" t="s">
        <v>118</v>
      </c>
      <c r="B297" s="1117" t="s">
        <v>754</v>
      </c>
      <c r="C297" s="1141">
        <v>0.14799999999999999</v>
      </c>
      <c r="D297" s="1141">
        <v>0.14899999999999999</v>
      </c>
      <c r="E297" s="1141">
        <v>0.15</v>
      </c>
      <c r="F297" s="1142">
        <v>0.13700000000000001</v>
      </c>
    </row>
    <row r="298" spans="1:6">
      <c r="A298" s="1112" t="s">
        <v>118</v>
      </c>
      <c r="B298" s="1117" t="s">
        <v>755</v>
      </c>
      <c r="C298" s="1141">
        <v>0.13400000000000001</v>
      </c>
      <c r="D298" s="1141">
        <v>0.13400000000000001</v>
      </c>
      <c r="E298" s="1141">
        <v>0.14499999999999999</v>
      </c>
      <c r="F298" s="1142">
        <v>0.14799999999999999</v>
      </c>
    </row>
    <row r="299" spans="1:6">
      <c r="A299" s="1112" t="s">
        <v>118</v>
      </c>
      <c r="B299" s="1117" t="s">
        <v>756</v>
      </c>
      <c r="C299" s="1141">
        <v>0.15</v>
      </c>
      <c r="D299" s="1141">
        <v>0.15</v>
      </c>
      <c r="E299" s="1141">
        <v>0.15</v>
      </c>
      <c r="F299" s="1146"/>
    </row>
    <row r="300" spans="1:6">
      <c r="A300" s="1112" t="s">
        <v>118</v>
      </c>
      <c r="B300" s="1117" t="s">
        <v>757</v>
      </c>
      <c r="C300" s="1141">
        <v>0.15</v>
      </c>
      <c r="D300" s="1141">
        <v>0.15</v>
      </c>
      <c r="E300" s="1141">
        <v>0.15</v>
      </c>
      <c r="F300" s="1142">
        <v>0.15</v>
      </c>
    </row>
    <row r="301" spans="1:6">
      <c r="A301" s="1112" t="s">
        <v>118</v>
      </c>
      <c r="B301" s="1117" t="s">
        <v>758</v>
      </c>
      <c r="C301" s="1141">
        <v>0.15</v>
      </c>
      <c r="D301" s="1141">
        <v>0.15</v>
      </c>
      <c r="E301" s="1141">
        <v>0.15</v>
      </c>
      <c r="F301" s="1146"/>
    </row>
    <row r="302" spans="1:6">
      <c r="A302" s="1112" t="s">
        <v>118</v>
      </c>
      <c r="B302" s="1117" t="s">
        <v>759</v>
      </c>
      <c r="C302" s="1141">
        <v>0.15</v>
      </c>
      <c r="D302" s="1141">
        <v>0.15</v>
      </c>
      <c r="E302" s="1141">
        <v>0.15</v>
      </c>
      <c r="F302" s="1142">
        <v>0.15</v>
      </c>
    </row>
    <row r="303" spans="1:6">
      <c r="A303" s="1112" t="s">
        <v>118</v>
      </c>
      <c r="B303" s="1117" t="s">
        <v>760</v>
      </c>
      <c r="C303" s="1141">
        <v>0.15</v>
      </c>
      <c r="D303" s="1141">
        <v>0.15</v>
      </c>
      <c r="E303" s="1141">
        <v>0.15</v>
      </c>
      <c r="F303" s="1142">
        <v>0.15</v>
      </c>
    </row>
    <row r="304" spans="1:6">
      <c r="A304" s="1112" t="s">
        <v>118</v>
      </c>
      <c r="B304" s="1117" t="s">
        <v>761</v>
      </c>
      <c r="C304" s="1141">
        <v>0.15</v>
      </c>
      <c r="D304" s="1141">
        <v>0.15</v>
      </c>
      <c r="E304" s="1141">
        <v>0.15</v>
      </c>
      <c r="F304" s="1146"/>
    </row>
    <row r="305" spans="1:6">
      <c r="A305" s="1112" t="s">
        <v>118</v>
      </c>
      <c r="B305" s="1117" t="s">
        <v>762</v>
      </c>
      <c r="C305" s="1141">
        <v>0.15</v>
      </c>
      <c r="D305" s="1141">
        <v>0.15</v>
      </c>
      <c r="E305" s="1141">
        <v>0.15</v>
      </c>
      <c r="F305" s="1142">
        <v>0.14000000000000001</v>
      </c>
    </row>
    <row r="306" spans="1:6">
      <c r="A306" s="1112" t="s">
        <v>118</v>
      </c>
      <c r="B306" s="1117" t="s">
        <v>763</v>
      </c>
      <c r="C306" s="1141">
        <v>0.15</v>
      </c>
      <c r="D306" s="1141">
        <v>0.15</v>
      </c>
      <c r="E306" s="1141">
        <v>0.15</v>
      </c>
      <c r="F306" s="1146"/>
    </row>
    <row r="307" spans="1:6">
      <c r="A307" s="1112" t="s">
        <v>118</v>
      </c>
      <c r="B307" s="1117" t="s">
        <v>764</v>
      </c>
      <c r="C307" s="1141">
        <v>0.15</v>
      </c>
      <c r="D307" s="1141">
        <v>0.15</v>
      </c>
      <c r="E307" s="1141">
        <v>0.15</v>
      </c>
      <c r="F307" s="1142">
        <v>0.14299999999999999</v>
      </c>
    </row>
    <row r="308" spans="1:6">
      <c r="A308" s="1112" t="s">
        <v>118</v>
      </c>
      <c r="B308" s="1117" t="s">
        <v>765</v>
      </c>
      <c r="C308" s="1141">
        <v>0.15</v>
      </c>
      <c r="D308" s="1141">
        <v>0.15</v>
      </c>
      <c r="E308" s="1141">
        <v>0.15</v>
      </c>
      <c r="F308" s="1142">
        <v>0.15</v>
      </c>
    </row>
    <row r="309" spans="1:6">
      <c r="A309" s="1112" t="s">
        <v>118</v>
      </c>
      <c r="B309" s="1117" t="s">
        <v>766</v>
      </c>
      <c r="C309" s="1141">
        <v>0.15</v>
      </c>
      <c r="D309" s="1141">
        <v>0.15</v>
      </c>
      <c r="E309" s="1141">
        <v>0.15</v>
      </c>
      <c r="F309" s="1146"/>
    </row>
    <row r="310" spans="1:6">
      <c r="A310" s="1112" t="s">
        <v>118</v>
      </c>
      <c r="B310" s="1117" t="s">
        <v>767</v>
      </c>
      <c r="C310" s="1141">
        <v>0.15</v>
      </c>
      <c r="D310" s="1141">
        <v>0.15</v>
      </c>
      <c r="E310" s="1141">
        <v>0.15</v>
      </c>
      <c r="F310" s="1142">
        <v>0.13700000000000001</v>
      </c>
    </row>
    <row r="311" spans="1:6">
      <c r="A311" s="1112" t="s">
        <v>118</v>
      </c>
      <c r="B311" s="1117" t="s">
        <v>768</v>
      </c>
      <c r="C311" s="1141">
        <v>0.15</v>
      </c>
      <c r="D311" s="1141">
        <v>0.15</v>
      </c>
      <c r="E311" s="1141">
        <v>0.15</v>
      </c>
      <c r="F311" s="1142">
        <v>0.15</v>
      </c>
    </row>
    <row r="312" spans="1:6">
      <c r="A312" s="1112" t="s">
        <v>118</v>
      </c>
      <c r="B312" s="1117" t="s">
        <v>769</v>
      </c>
      <c r="C312" s="1141">
        <v>0.15</v>
      </c>
      <c r="D312" s="1141">
        <v>0.15</v>
      </c>
      <c r="E312" s="1141">
        <v>0.15</v>
      </c>
      <c r="F312" s="1142">
        <v>0.1</v>
      </c>
    </row>
    <row r="313" spans="1:6">
      <c r="A313" s="1112" t="s">
        <v>118</v>
      </c>
      <c r="B313" s="1117" t="s">
        <v>770</v>
      </c>
      <c r="C313" s="1141">
        <v>0.15</v>
      </c>
      <c r="D313" s="1141">
        <v>0.15</v>
      </c>
      <c r="E313" s="1141">
        <v>0.15</v>
      </c>
      <c r="F313" s="1142">
        <v>0.15</v>
      </c>
    </row>
    <row r="314" spans="1:6" ht="24">
      <c r="A314" s="1112" t="s">
        <v>118</v>
      </c>
      <c r="B314" s="1117" t="s">
        <v>771</v>
      </c>
      <c r="C314" s="1147"/>
      <c r="D314" s="1147"/>
      <c r="E314" s="1147"/>
      <c r="F314" s="1142">
        <v>0.05</v>
      </c>
    </row>
    <row r="315" spans="1:6" ht="24">
      <c r="A315" s="1112" t="s">
        <v>118</v>
      </c>
      <c r="B315" s="1117" t="s">
        <v>772</v>
      </c>
      <c r="C315" s="1147"/>
      <c r="D315" s="1147"/>
      <c r="E315" s="1147"/>
      <c r="F315" s="1142">
        <v>0.05</v>
      </c>
    </row>
    <row r="316" spans="1:6" ht="24">
      <c r="A316" s="1130" t="s">
        <v>118</v>
      </c>
      <c r="B316" s="1123" t="s">
        <v>773</v>
      </c>
      <c r="C316" s="1144"/>
      <c r="D316" s="1144"/>
      <c r="E316" s="1144"/>
      <c r="F316" s="1148">
        <v>0.05</v>
      </c>
    </row>
    <row r="317" spans="1:6">
      <c r="A317" s="1112" t="s">
        <v>120</v>
      </c>
      <c r="B317" s="1113" t="s">
        <v>774</v>
      </c>
      <c r="C317" s="1139">
        <v>0.15</v>
      </c>
      <c r="D317" s="1139">
        <v>0.15</v>
      </c>
      <c r="E317" s="1139">
        <v>0.15</v>
      </c>
      <c r="F317" s="1140">
        <v>0.15</v>
      </c>
    </row>
    <row r="318" spans="1:6">
      <c r="A318" s="1112" t="s">
        <v>120</v>
      </c>
      <c r="B318" s="1117" t="s">
        <v>775</v>
      </c>
      <c r="C318" s="1141">
        <v>0.107</v>
      </c>
      <c r="D318" s="1141">
        <v>0.11</v>
      </c>
      <c r="E318" s="1141">
        <v>0.112</v>
      </c>
      <c r="F318" s="1146"/>
    </row>
    <row r="319" spans="1:6">
      <c r="A319" s="1112" t="s">
        <v>120</v>
      </c>
      <c r="B319" s="1117" t="s">
        <v>776</v>
      </c>
      <c r="C319" s="1141">
        <v>0.15</v>
      </c>
      <c r="D319" s="1141">
        <v>0.15</v>
      </c>
      <c r="E319" s="1141">
        <v>0.15</v>
      </c>
      <c r="F319" s="1142">
        <v>0.15</v>
      </c>
    </row>
    <row r="320" spans="1:6">
      <c r="A320" s="1112" t="s">
        <v>120</v>
      </c>
      <c r="B320" s="1117" t="s">
        <v>777</v>
      </c>
      <c r="C320" s="1141">
        <v>0.15</v>
      </c>
      <c r="D320" s="1141">
        <v>0.15</v>
      </c>
      <c r="E320" s="1141">
        <v>0.15</v>
      </c>
      <c r="F320" s="1146"/>
    </row>
    <row r="321" spans="1:6">
      <c r="A321" s="1112" t="s">
        <v>120</v>
      </c>
      <c r="B321" s="1117" t="s">
        <v>778</v>
      </c>
      <c r="C321" s="1141">
        <v>0.15</v>
      </c>
      <c r="D321" s="1141">
        <v>0.15</v>
      </c>
      <c r="E321" s="1141">
        <v>0.15</v>
      </c>
      <c r="F321" s="1146"/>
    </row>
    <row r="322" spans="1:6">
      <c r="A322" s="1112" t="s">
        <v>120</v>
      </c>
      <c r="B322" s="1117" t="s">
        <v>779</v>
      </c>
      <c r="C322" s="1141">
        <v>0.15</v>
      </c>
      <c r="D322" s="1141">
        <v>0.15</v>
      </c>
      <c r="E322" s="1141">
        <v>0.15</v>
      </c>
      <c r="F322" s="1142">
        <v>0.15</v>
      </c>
    </row>
    <row r="323" spans="1:6">
      <c r="A323" s="1112" t="s">
        <v>120</v>
      </c>
      <c r="B323" s="1117" t="s">
        <v>780</v>
      </c>
      <c r="C323" s="1141">
        <v>0.15</v>
      </c>
      <c r="D323" s="1141">
        <v>0.15</v>
      </c>
      <c r="E323" s="1141">
        <v>0.15</v>
      </c>
      <c r="F323" s="1146"/>
    </row>
    <row r="324" spans="1:6">
      <c r="A324" s="1112" t="s">
        <v>120</v>
      </c>
      <c r="B324" s="1117" t="s">
        <v>781</v>
      </c>
      <c r="C324" s="1141">
        <v>0.15</v>
      </c>
      <c r="D324" s="1141">
        <v>0.15</v>
      </c>
      <c r="E324" s="1141">
        <v>0.15</v>
      </c>
      <c r="F324" s="1146"/>
    </row>
    <row r="325" spans="1:6">
      <c r="A325" s="1112" t="s">
        <v>120</v>
      </c>
      <c r="B325" s="1117" t="s">
        <v>782</v>
      </c>
      <c r="C325" s="1141">
        <v>0.15</v>
      </c>
      <c r="D325" s="1141">
        <v>0.15</v>
      </c>
      <c r="E325" s="1141">
        <v>0.15</v>
      </c>
      <c r="F325" s="1142">
        <v>0.14699999999999999</v>
      </c>
    </row>
    <row r="326" spans="1:6">
      <c r="A326" s="1112" t="s">
        <v>120</v>
      </c>
      <c r="B326" s="1117" t="s">
        <v>783</v>
      </c>
      <c r="C326" s="1141">
        <v>0.15</v>
      </c>
      <c r="D326" s="1141">
        <v>0.15</v>
      </c>
      <c r="E326" s="1141">
        <v>0.15</v>
      </c>
      <c r="F326" s="1146"/>
    </row>
    <row r="327" spans="1:6">
      <c r="A327" s="1112" t="s">
        <v>120</v>
      </c>
      <c r="B327" s="1117" t="s">
        <v>784</v>
      </c>
      <c r="C327" s="1141">
        <v>0.15</v>
      </c>
      <c r="D327" s="1141">
        <v>0.15</v>
      </c>
      <c r="E327" s="1141">
        <v>0.15</v>
      </c>
      <c r="F327" s="1142">
        <v>0.15</v>
      </c>
    </row>
    <row r="328" spans="1:6">
      <c r="A328" s="1112" t="s">
        <v>120</v>
      </c>
      <c r="B328" s="1117" t="s">
        <v>785</v>
      </c>
      <c r="C328" s="1141">
        <v>0.15</v>
      </c>
      <c r="D328" s="1141">
        <v>0.15</v>
      </c>
      <c r="E328" s="1141">
        <v>0.15</v>
      </c>
      <c r="F328" s="1142">
        <v>0.14099999999999999</v>
      </c>
    </row>
    <row r="329" spans="1:6">
      <c r="A329" s="1112" t="s">
        <v>120</v>
      </c>
      <c r="B329" s="1117" t="s">
        <v>786</v>
      </c>
      <c r="C329" s="1141">
        <v>0.15</v>
      </c>
      <c r="D329" s="1141">
        <v>0.15</v>
      </c>
      <c r="E329" s="1141">
        <v>0.15</v>
      </c>
      <c r="F329" s="1142">
        <v>0.15</v>
      </c>
    </row>
    <row r="330" spans="1:6">
      <c r="A330" s="1112" t="s">
        <v>120</v>
      </c>
      <c r="B330" s="1117" t="s">
        <v>787</v>
      </c>
      <c r="C330" s="1141">
        <v>0.15</v>
      </c>
      <c r="D330" s="1141">
        <v>0.15</v>
      </c>
      <c r="E330" s="1141">
        <v>0.15</v>
      </c>
      <c r="F330" s="1146"/>
    </row>
    <row r="331" spans="1:6">
      <c r="A331" s="1112" t="s">
        <v>120</v>
      </c>
      <c r="B331" s="1117" t="s">
        <v>788</v>
      </c>
      <c r="C331" s="1141">
        <v>0.15</v>
      </c>
      <c r="D331" s="1141">
        <v>0.15</v>
      </c>
      <c r="E331" s="1141">
        <v>0.15</v>
      </c>
      <c r="F331" s="1142">
        <v>0.15</v>
      </c>
    </row>
    <row r="332" spans="1:6">
      <c r="A332" s="1112" t="s">
        <v>120</v>
      </c>
      <c r="B332" s="1117" t="s">
        <v>789</v>
      </c>
      <c r="C332" s="1141">
        <v>0.15</v>
      </c>
      <c r="D332" s="1141">
        <v>0.15</v>
      </c>
      <c r="E332" s="1141">
        <v>0.15</v>
      </c>
      <c r="F332" s="1142">
        <v>0.15</v>
      </c>
    </row>
    <row r="333" spans="1:6">
      <c r="A333" s="1112" t="s">
        <v>120</v>
      </c>
      <c r="B333" s="1117" t="s">
        <v>790</v>
      </c>
      <c r="C333" s="1141">
        <v>0.15</v>
      </c>
      <c r="D333" s="1141">
        <v>0.15</v>
      </c>
      <c r="E333" s="1141">
        <v>0.15</v>
      </c>
      <c r="F333" s="1142">
        <v>0.14099999999999999</v>
      </c>
    </row>
    <row r="334" spans="1:6">
      <c r="A334" s="1112" t="s">
        <v>120</v>
      </c>
      <c r="B334" s="1117" t="s">
        <v>791</v>
      </c>
      <c r="C334" s="1141">
        <v>0.15</v>
      </c>
      <c r="D334" s="1141">
        <v>0.15</v>
      </c>
      <c r="E334" s="1141">
        <v>0.15</v>
      </c>
      <c r="F334" s="1142">
        <v>0.15</v>
      </c>
    </row>
    <row r="335" spans="1:6">
      <c r="A335" s="1112" t="s">
        <v>120</v>
      </c>
      <c r="B335" s="1117" t="s">
        <v>792</v>
      </c>
      <c r="C335" s="1141">
        <v>0.15</v>
      </c>
      <c r="D335" s="1141">
        <v>0.15</v>
      </c>
      <c r="E335" s="1141">
        <v>0.15</v>
      </c>
      <c r="F335" s="1146"/>
    </row>
    <row r="336" spans="1:6">
      <c r="A336" s="1112" t="s">
        <v>120</v>
      </c>
      <c r="B336" s="1117" t="s">
        <v>793</v>
      </c>
      <c r="C336" s="1141">
        <v>0.15</v>
      </c>
      <c r="D336" s="1141">
        <v>0.15</v>
      </c>
      <c r="E336" s="1141">
        <v>0.15</v>
      </c>
      <c r="F336" s="1142">
        <v>0.11799999999999999</v>
      </c>
    </row>
    <row r="337" spans="1:6">
      <c r="A337" s="1130" t="s">
        <v>120</v>
      </c>
      <c r="B337" s="1123" t="s">
        <v>794</v>
      </c>
      <c r="C337" s="1144"/>
      <c r="D337" s="1144"/>
      <c r="E337" s="1144"/>
      <c r="F337" s="1148">
        <v>0.14299999999999999</v>
      </c>
    </row>
    <row r="338" spans="1:6">
      <c r="A338" s="1112" t="s">
        <v>122</v>
      </c>
      <c r="B338" s="1113" t="s">
        <v>795</v>
      </c>
      <c r="C338" s="1139">
        <v>0.15</v>
      </c>
      <c r="D338" s="1139">
        <v>0.15</v>
      </c>
      <c r="E338" s="1139">
        <v>0.15</v>
      </c>
      <c r="F338" s="1156"/>
    </row>
    <row r="339" spans="1:6">
      <c r="A339" s="1112" t="s">
        <v>122</v>
      </c>
      <c r="B339" s="1117" t="s">
        <v>796</v>
      </c>
      <c r="C339" s="1141">
        <v>0.15</v>
      </c>
      <c r="D339" s="1141">
        <v>0.15</v>
      </c>
      <c r="E339" s="1141">
        <v>0.15</v>
      </c>
      <c r="F339" s="1146"/>
    </row>
    <row r="340" spans="1:6">
      <c r="A340" s="1112" t="s">
        <v>122</v>
      </c>
      <c r="B340" s="1117" t="s">
        <v>797</v>
      </c>
      <c r="C340" s="1141">
        <v>0.15</v>
      </c>
      <c r="D340" s="1141">
        <v>0.15</v>
      </c>
      <c r="E340" s="1141">
        <v>0.15</v>
      </c>
      <c r="F340" s="1146"/>
    </row>
    <row r="341" spans="1:6">
      <c r="A341" s="1112" t="s">
        <v>122</v>
      </c>
      <c r="B341" s="1117" t="s">
        <v>798</v>
      </c>
      <c r="C341" s="1141">
        <v>0.15</v>
      </c>
      <c r="D341" s="1141">
        <v>0.15</v>
      </c>
      <c r="E341" s="1141">
        <v>0.15</v>
      </c>
      <c r="F341" s="1142">
        <v>0.15</v>
      </c>
    </row>
    <row r="342" spans="1:6">
      <c r="A342" s="1112" t="s">
        <v>122</v>
      </c>
      <c r="B342" s="1117" t="s">
        <v>799</v>
      </c>
      <c r="C342" s="1141">
        <v>0.15</v>
      </c>
      <c r="D342" s="1141">
        <v>0.15</v>
      </c>
      <c r="E342" s="1141">
        <v>0.15</v>
      </c>
      <c r="F342" s="1142">
        <v>0.15</v>
      </c>
    </row>
    <row r="343" spans="1:6">
      <c r="A343" s="1112" t="s">
        <v>122</v>
      </c>
      <c r="B343" s="1117" t="s">
        <v>800</v>
      </c>
      <c r="C343" s="1141">
        <v>0.15</v>
      </c>
      <c r="D343" s="1141">
        <v>0.15</v>
      </c>
      <c r="E343" s="1141">
        <v>0.15</v>
      </c>
      <c r="F343" s="1142">
        <v>0.15</v>
      </c>
    </row>
    <row r="344" spans="1:6">
      <c r="A344" s="1130" t="s">
        <v>122</v>
      </c>
      <c r="B344" s="1123" t="s">
        <v>801</v>
      </c>
      <c r="C344" s="1143">
        <v>0.15</v>
      </c>
      <c r="D344" s="1143">
        <v>0.15</v>
      </c>
      <c r="E344" s="1143">
        <v>0.15</v>
      </c>
      <c r="F344" s="1148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860" customWidth="1"/>
    <col min="2" max="5" width="10.25" style="839" customWidth="1"/>
    <col min="6" max="6" width="9" style="839"/>
    <col min="7" max="7" width="9" style="1107"/>
    <col min="8" max="8" width="9" style="839"/>
    <col min="9" max="9" width="9" style="1107"/>
    <col min="10" max="16384" width="9" style="839"/>
  </cols>
  <sheetData>
    <row r="1" spans="1:20">
      <c r="A1" s="1703" t="s">
        <v>802</v>
      </c>
      <c r="B1" s="1703"/>
      <c r="C1" s="1703"/>
      <c r="D1" s="1703"/>
      <c r="E1" s="1703"/>
      <c r="F1" s="1703"/>
      <c r="H1" s="1106"/>
      <c r="I1" s="1133" t="s">
        <v>49</v>
      </c>
      <c r="J1" s="1060" t="s">
        <v>63</v>
      </c>
      <c r="K1" s="1060" t="s">
        <v>75</v>
      </c>
      <c r="L1" s="1060" t="s">
        <v>87</v>
      </c>
      <c r="M1" s="1060" t="s">
        <v>96</v>
      </c>
      <c r="N1" s="1060" t="s">
        <v>103</v>
      </c>
      <c r="O1" s="1060" t="s">
        <v>108</v>
      </c>
      <c r="P1" s="1060" t="s">
        <v>113</v>
      </c>
      <c r="Q1" s="1060" t="s">
        <v>116</v>
      </c>
      <c r="R1" s="1060" t="s">
        <v>118</v>
      </c>
      <c r="S1" s="1060" t="s">
        <v>120</v>
      </c>
      <c r="T1" s="1099" t="s">
        <v>122</v>
      </c>
    </row>
    <row r="2" spans="1:20">
      <c r="A2" s="1704" t="s">
        <v>803</v>
      </c>
      <c r="B2" s="1704"/>
      <c r="C2" s="1704"/>
      <c r="D2" s="1704"/>
      <c r="E2" s="1704"/>
      <c r="F2" s="1704"/>
      <c r="I2" s="1134" t="s">
        <v>462</v>
      </c>
      <c r="J2" s="1117" t="s">
        <v>467</v>
      </c>
      <c r="K2" s="1117" t="s">
        <v>486</v>
      </c>
      <c r="L2" s="1117" t="s">
        <v>506</v>
      </c>
      <c r="M2" s="1117" t="s">
        <v>533</v>
      </c>
      <c r="N2" s="1117" t="s">
        <v>567</v>
      </c>
      <c r="O2" s="1117" t="s">
        <v>615</v>
      </c>
      <c r="P2" s="1117" t="s">
        <v>663</v>
      </c>
      <c r="Q2" s="1117" t="s">
        <v>702</v>
      </c>
      <c r="R2" s="1117" t="s">
        <v>747</v>
      </c>
      <c r="S2" s="1117" t="s">
        <v>774</v>
      </c>
      <c r="T2" s="1117" t="s">
        <v>795</v>
      </c>
    </row>
    <row r="3" spans="1:20" s="1106" customFormat="1" ht="19.5" customHeight="1">
      <c r="A3" s="1705" t="s">
        <v>461</v>
      </c>
      <c r="B3" s="873"/>
      <c r="C3" s="874" t="s">
        <v>377</v>
      </c>
      <c r="D3" s="874" t="s">
        <v>78</v>
      </c>
      <c r="E3" s="874" t="s">
        <v>53</v>
      </c>
      <c r="F3" s="874" t="s">
        <v>137</v>
      </c>
      <c r="G3" s="1109"/>
      <c r="I3" s="1134" t="s">
        <v>463</v>
      </c>
      <c r="J3" s="1117" t="s">
        <v>468</v>
      </c>
      <c r="K3" s="1117" t="s">
        <v>487</v>
      </c>
      <c r="L3" s="1117" t="s">
        <v>507</v>
      </c>
      <c r="M3" s="1117" t="s">
        <v>534</v>
      </c>
      <c r="N3" s="1117" t="s">
        <v>568</v>
      </c>
      <c r="O3" s="1117" t="s">
        <v>616</v>
      </c>
      <c r="P3" s="1117" t="s">
        <v>664</v>
      </c>
      <c r="Q3" s="1117" t="s">
        <v>703</v>
      </c>
      <c r="R3" s="1117" t="s">
        <v>748</v>
      </c>
      <c r="S3" s="1117" t="s">
        <v>775</v>
      </c>
      <c r="T3" s="1117" t="s">
        <v>796</v>
      </c>
    </row>
    <row r="4" spans="1:20" s="1106" customFormat="1" ht="19.5" customHeight="1">
      <c r="A4" s="1706"/>
      <c r="B4" s="1110" t="s">
        <v>262</v>
      </c>
      <c r="C4" s="1110" t="s">
        <v>804</v>
      </c>
      <c r="D4" s="1110" t="s">
        <v>804</v>
      </c>
      <c r="E4" s="1110" t="s">
        <v>804</v>
      </c>
      <c r="F4" s="1111" t="s">
        <v>804</v>
      </c>
      <c r="G4" s="1109"/>
      <c r="I4" s="1134" t="s">
        <v>464</v>
      </c>
      <c r="J4" s="1117" t="s">
        <v>469</v>
      </c>
      <c r="K4" s="1117" t="s">
        <v>488</v>
      </c>
      <c r="L4" s="1117" t="s">
        <v>508</v>
      </c>
      <c r="M4" s="1117" t="s">
        <v>535</v>
      </c>
      <c r="N4" s="1117" t="s">
        <v>569</v>
      </c>
      <c r="O4" s="1117" t="s">
        <v>617</v>
      </c>
      <c r="P4" s="1117" t="s">
        <v>665</v>
      </c>
      <c r="Q4" s="1117" t="s">
        <v>704</v>
      </c>
      <c r="R4" s="1117" t="s">
        <v>749</v>
      </c>
      <c r="S4" s="1117" t="s">
        <v>776</v>
      </c>
      <c r="T4" s="1117" t="s">
        <v>797</v>
      </c>
    </row>
    <row r="5" spans="1:20" ht="14.25" customHeight="1">
      <c r="A5" s="1112" t="s">
        <v>49</v>
      </c>
      <c r="B5" s="1113" t="s">
        <v>462</v>
      </c>
      <c r="C5" s="1113">
        <v>29530</v>
      </c>
      <c r="D5" s="1113">
        <v>28130</v>
      </c>
      <c r="E5" s="1113">
        <v>27930</v>
      </c>
      <c r="F5" s="1114">
        <v>11300</v>
      </c>
      <c r="G5" s="1115" t="s">
        <v>49</v>
      </c>
      <c r="H5" s="1116">
        <f>SUMPRODUCT((B5:B9='2014基准地价'!I2)*(C3:F3='2014基准地价'!E2)*(C5:F9))</f>
        <v>0</v>
      </c>
      <c r="I5" s="1134" t="s">
        <v>465</v>
      </c>
      <c r="J5" s="1117" t="s">
        <v>470</v>
      </c>
      <c r="K5" s="1117" t="s">
        <v>489</v>
      </c>
      <c r="L5" s="1117" t="s">
        <v>509</v>
      </c>
      <c r="M5" s="1117" t="s">
        <v>536</v>
      </c>
      <c r="N5" s="1117" t="s">
        <v>570</v>
      </c>
      <c r="O5" s="1117" t="s">
        <v>618</v>
      </c>
      <c r="P5" s="1117" t="s">
        <v>666</v>
      </c>
      <c r="Q5" s="1117" t="s">
        <v>705</v>
      </c>
      <c r="R5" s="1117" t="s">
        <v>751</v>
      </c>
      <c r="S5" s="1117" t="s">
        <v>777</v>
      </c>
      <c r="T5" s="1117" t="s">
        <v>798</v>
      </c>
    </row>
    <row r="6" spans="1:20" ht="14.25" customHeight="1">
      <c r="A6" s="1112" t="s">
        <v>49</v>
      </c>
      <c r="B6" s="1117" t="s">
        <v>463</v>
      </c>
      <c r="C6" s="1117">
        <v>30290</v>
      </c>
      <c r="D6" s="1117">
        <v>29210</v>
      </c>
      <c r="E6" s="1117">
        <v>28860</v>
      </c>
      <c r="F6" s="1118">
        <v>12600</v>
      </c>
      <c r="G6" s="1119" t="s">
        <v>63</v>
      </c>
      <c r="H6" s="1120">
        <f>SUMPRODUCT((B10:B28='2014基准地价'!I2)*(C3:F3='2014基准地价'!E2)*(C10:F28))</f>
        <v>0</v>
      </c>
      <c r="I6" s="1134" t="s">
        <v>466</v>
      </c>
      <c r="J6" s="1117" t="s">
        <v>471</v>
      </c>
      <c r="K6" s="1117" t="s">
        <v>490</v>
      </c>
      <c r="L6" s="1117" t="s">
        <v>510</v>
      </c>
      <c r="M6" s="1117" t="s">
        <v>537</v>
      </c>
      <c r="N6" s="1117" t="s">
        <v>571</v>
      </c>
      <c r="O6" s="1117" t="s">
        <v>619</v>
      </c>
      <c r="P6" s="1117" t="s">
        <v>667</v>
      </c>
      <c r="Q6" s="1117" t="s">
        <v>706</v>
      </c>
      <c r="R6" s="1117" t="s">
        <v>752</v>
      </c>
      <c r="S6" s="1117" t="s">
        <v>778</v>
      </c>
      <c r="T6" s="1117" t="s">
        <v>799</v>
      </c>
    </row>
    <row r="7" spans="1:20" ht="14.25" customHeight="1">
      <c r="A7" s="1112" t="s">
        <v>49</v>
      </c>
      <c r="B7" s="1121" t="s">
        <v>464</v>
      </c>
      <c r="C7" s="1117">
        <v>29350</v>
      </c>
      <c r="D7" s="1117">
        <v>28410</v>
      </c>
      <c r="E7" s="1117">
        <v>27990</v>
      </c>
      <c r="F7" s="1118">
        <v>12300</v>
      </c>
      <c r="G7" s="1119" t="s">
        <v>75</v>
      </c>
      <c r="H7" s="1120">
        <f>SUMPRODUCT((B29:B48='2014基准地价'!I2)*(C3:F3='2014基准地价'!E2)*(C29:F48))</f>
        <v>0</v>
      </c>
      <c r="J7" s="1117" t="s">
        <v>472</v>
      </c>
      <c r="K7" s="1117" t="s">
        <v>491</v>
      </c>
      <c r="L7" s="1117" t="s">
        <v>511</v>
      </c>
      <c r="M7" s="1117" t="s">
        <v>538</v>
      </c>
      <c r="N7" s="1117" t="s">
        <v>572</v>
      </c>
      <c r="O7" s="1117" t="s">
        <v>620</v>
      </c>
      <c r="P7" s="1117" t="s">
        <v>668</v>
      </c>
      <c r="Q7" s="1117" t="s">
        <v>707</v>
      </c>
      <c r="R7" s="1117" t="s">
        <v>753</v>
      </c>
      <c r="S7" s="1117" t="s">
        <v>779</v>
      </c>
      <c r="T7" s="1121" t="s">
        <v>800</v>
      </c>
    </row>
    <row r="8" spans="1:20" ht="14.25" customHeight="1">
      <c r="A8" s="1112" t="s">
        <v>49</v>
      </c>
      <c r="B8" s="1117" t="s">
        <v>465</v>
      </c>
      <c r="C8" s="1117">
        <v>30890</v>
      </c>
      <c r="D8" s="1117">
        <v>29780</v>
      </c>
      <c r="E8" s="1117">
        <v>29270</v>
      </c>
      <c r="F8" s="1118">
        <v>11600</v>
      </c>
      <c r="G8" s="1119" t="s">
        <v>87</v>
      </c>
      <c r="H8" s="1120">
        <f>SUMPRODUCT((B49:B75='2014基准地价'!I2)*(C3:F3='2014基准地价'!E2)*(C49:F75))</f>
        <v>0</v>
      </c>
      <c r="J8" s="1117" t="s">
        <v>473</v>
      </c>
      <c r="K8" s="1117" t="s">
        <v>492</v>
      </c>
      <c r="L8" s="1117" t="s">
        <v>512</v>
      </c>
      <c r="M8" s="1117" t="s">
        <v>539</v>
      </c>
      <c r="N8" s="1117" t="s">
        <v>573</v>
      </c>
      <c r="O8" s="1117" t="s">
        <v>621</v>
      </c>
      <c r="P8" s="1117" t="s">
        <v>669</v>
      </c>
      <c r="Q8" s="1117" t="s">
        <v>708</v>
      </c>
      <c r="R8" s="1117" t="s">
        <v>754</v>
      </c>
      <c r="S8" s="1117" t="s">
        <v>780</v>
      </c>
      <c r="T8" s="1117" t="s">
        <v>801</v>
      </c>
    </row>
    <row r="9" spans="1:20" ht="14.25" customHeight="1">
      <c r="A9" s="1112" t="s">
        <v>49</v>
      </c>
      <c r="B9" s="1122" t="s">
        <v>466</v>
      </c>
      <c r="C9" s="1123">
        <v>28140</v>
      </c>
      <c r="D9" s="1123"/>
      <c r="E9" s="1123"/>
      <c r="F9" s="1124"/>
      <c r="G9" s="1119" t="s">
        <v>96</v>
      </c>
      <c r="H9" s="1120">
        <f>SUMPRODUCT((B76:B109='2014基准地价'!I2)*(C3:F3='2014基准地价'!E2)*(C76:F109))</f>
        <v>0</v>
      </c>
      <c r="J9" s="1117" t="s">
        <v>474</v>
      </c>
      <c r="K9" s="1117" t="s">
        <v>493</v>
      </c>
      <c r="L9" s="1117" t="s">
        <v>513</v>
      </c>
      <c r="M9" s="1117" t="s">
        <v>540</v>
      </c>
      <c r="N9" s="1117" t="s">
        <v>574</v>
      </c>
      <c r="O9" s="1117" t="s">
        <v>622</v>
      </c>
      <c r="P9" s="1117" t="s">
        <v>670</v>
      </c>
      <c r="Q9" s="1117" t="s">
        <v>709</v>
      </c>
      <c r="R9" s="1117" t="s">
        <v>755</v>
      </c>
      <c r="S9" s="1117" t="s">
        <v>781</v>
      </c>
    </row>
    <row r="10" spans="1:20" ht="14.25" customHeight="1">
      <c r="A10" s="1112" t="s">
        <v>63</v>
      </c>
      <c r="B10" s="1113" t="s">
        <v>467</v>
      </c>
      <c r="C10" s="1113">
        <v>27450</v>
      </c>
      <c r="D10" s="1113">
        <v>26180</v>
      </c>
      <c r="E10" s="1113">
        <v>25980</v>
      </c>
      <c r="F10" s="1114">
        <v>8910</v>
      </c>
      <c r="G10" s="1119" t="s">
        <v>103</v>
      </c>
      <c r="H10" s="1120">
        <f>SUMPRODUCT((B110:B157='2014基准地价'!I2)*(C3:F3='2014基准地价'!E2)*(C110:F157))</f>
        <v>0</v>
      </c>
      <c r="J10" s="1117" t="s">
        <v>475</v>
      </c>
      <c r="K10" s="1117" t="s">
        <v>494</v>
      </c>
      <c r="L10" s="1117" t="s">
        <v>514</v>
      </c>
      <c r="M10" s="1117" t="s">
        <v>541</v>
      </c>
      <c r="N10" s="1117" t="s">
        <v>575</v>
      </c>
      <c r="O10" s="1117" t="s">
        <v>623</v>
      </c>
      <c r="P10" s="1117" t="s">
        <v>671</v>
      </c>
      <c r="Q10" s="1117" t="s">
        <v>710</v>
      </c>
      <c r="R10" s="1117" t="s">
        <v>756</v>
      </c>
      <c r="S10" s="1117" t="s">
        <v>782</v>
      </c>
    </row>
    <row r="11" spans="1:20" ht="14.25" customHeight="1">
      <c r="A11" s="1112" t="s">
        <v>63</v>
      </c>
      <c r="B11" s="1121" t="s">
        <v>468</v>
      </c>
      <c r="C11" s="1117">
        <v>22950</v>
      </c>
      <c r="D11" s="1117">
        <v>22630</v>
      </c>
      <c r="E11" s="1117">
        <v>22030</v>
      </c>
      <c r="F11" s="1125">
        <v>8330</v>
      </c>
      <c r="G11" s="1119" t="s">
        <v>108</v>
      </c>
      <c r="H11" s="1120">
        <f>SUMPRODUCT((B158:B205='2014基准地价'!I2)*(C3:F3='2014基准地价'!E2)*(C158:F205))</f>
        <v>0</v>
      </c>
      <c r="J11" s="1117" t="s">
        <v>476</v>
      </c>
      <c r="K11" s="1117" t="s">
        <v>495</v>
      </c>
      <c r="L11" s="1117" t="s">
        <v>515</v>
      </c>
      <c r="M11" s="1117" t="s">
        <v>542</v>
      </c>
      <c r="N11" s="1117" t="s">
        <v>576</v>
      </c>
      <c r="O11" s="1117" t="s">
        <v>624</v>
      </c>
      <c r="P11" s="1117" t="s">
        <v>672</v>
      </c>
      <c r="Q11" s="1117" t="s">
        <v>711</v>
      </c>
      <c r="R11" s="1117" t="s">
        <v>757</v>
      </c>
      <c r="S11" s="1117" t="s">
        <v>783</v>
      </c>
    </row>
    <row r="12" spans="1:20" ht="14.25" customHeight="1">
      <c r="A12" s="1112" t="s">
        <v>63</v>
      </c>
      <c r="B12" s="1121" t="s">
        <v>469</v>
      </c>
      <c r="C12" s="1117">
        <v>24940</v>
      </c>
      <c r="D12" s="1117">
        <v>23180</v>
      </c>
      <c r="E12" s="1117">
        <v>22910</v>
      </c>
      <c r="F12" s="1125">
        <v>7180</v>
      </c>
      <c r="G12" s="1119" t="s">
        <v>113</v>
      </c>
      <c r="H12" s="1120">
        <f>SUMPRODUCT((B206:B244='2014基准地价'!I2)*(C3:F3='2014基准地价'!E2)*(C206:F244))</f>
        <v>0</v>
      </c>
      <c r="J12" s="1117" t="s">
        <v>477</v>
      </c>
      <c r="K12" s="1117" t="s">
        <v>496</v>
      </c>
      <c r="L12" s="1117" t="s">
        <v>516</v>
      </c>
      <c r="M12" s="1117" t="s">
        <v>543</v>
      </c>
      <c r="N12" s="1117" t="s">
        <v>577</v>
      </c>
      <c r="O12" s="1117" t="s">
        <v>625</v>
      </c>
      <c r="P12" s="1117" t="s">
        <v>673</v>
      </c>
      <c r="Q12" s="1117" t="s">
        <v>712</v>
      </c>
      <c r="R12" s="1117" t="s">
        <v>758</v>
      </c>
      <c r="S12" s="1117" t="s">
        <v>784</v>
      </c>
    </row>
    <row r="13" spans="1:20" ht="14.25" customHeight="1">
      <c r="A13" s="1112" t="s">
        <v>63</v>
      </c>
      <c r="B13" s="1121" t="s">
        <v>470</v>
      </c>
      <c r="C13" s="1117">
        <v>24140</v>
      </c>
      <c r="D13" s="1117">
        <v>22270</v>
      </c>
      <c r="E13" s="1117">
        <v>21950</v>
      </c>
      <c r="F13" s="1125">
        <v>7600</v>
      </c>
      <c r="G13" s="1119" t="s">
        <v>116</v>
      </c>
      <c r="H13" s="1120">
        <f>SUMPRODUCT((B245:B289='2014基准地价'!I2)*(C3:F3='2014基准地价'!E2)*(C245:F289))</f>
        <v>0</v>
      </c>
      <c r="J13" s="1117" t="s">
        <v>478</v>
      </c>
      <c r="K13" s="1117" t="s">
        <v>497</v>
      </c>
      <c r="L13" s="1117" t="s">
        <v>517</v>
      </c>
      <c r="M13" s="1117" t="s">
        <v>544</v>
      </c>
      <c r="N13" s="1117" t="s">
        <v>578</v>
      </c>
      <c r="O13" s="1117" t="s">
        <v>626</v>
      </c>
      <c r="P13" s="1117" t="s">
        <v>674</v>
      </c>
      <c r="Q13" s="1117" t="s">
        <v>713</v>
      </c>
      <c r="R13" s="1117" t="s">
        <v>759</v>
      </c>
      <c r="S13" s="1117" t="s">
        <v>785</v>
      </c>
    </row>
    <row r="14" spans="1:20" ht="14.25" customHeight="1">
      <c r="A14" s="1112" t="s">
        <v>63</v>
      </c>
      <c r="B14" s="1121" t="s">
        <v>471</v>
      </c>
      <c r="C14" s="1117">
        <v>25600</v>
      </c>
      <c r="D14" s="1117">
        <v>22260</v>
      </c>
      <c r="E14" s="1117">
        <v>22110</v>
      </c>
      <c r="F14" s="1125">
        <v>7630</v>
      </c>
      <c r="G14" s="1119" t="s">
        <v>118</v>
      </c>
      <c r="H14" s="1120">
        <f>SUMPRODUCT((B290:B316='2014基准地价'!I2)*(C3:F3='2014基准地价'!E2)*(C290:F316))</f>
        <v>0</v>
      </c>
      <c r="J14" s="1117" t="s">
        <v>479</v>
      </c>
      <c r="K14" s="1117" t="s">
        <v>498</v>
      </c>
      <c r="L14" s="1117" t="s">
        <v>518</v>
      </c>
      <c r="M14" s="1117" t="s">
        <v>545</v>
      </c>
      <c r="N14" s="1117" t="s">
        <v>579</v>
      </c>
      <c r="O14" s="1117" t="s">
        <v>627</v>
      </c>
      <c r="P14" s="1117" t="s">
        <v>675</v>
      </c>
      <c r="Q14" s="1117" t="s">
        <v>714</v>
      </c>
      <c r="R14" s="1117" t="s">
        <v>760</v>
      </c>
      <c r="S14" s="1117" t="s">
        <v>786</v>
      </c>
    </row>
    <row r="15" spans="1:20" ht="14.25" customHeight="1">
      <c r="A15" s="1112" t="s">
        <v>63</v>
      </c>
      <c r="B15" s="1121" t="s">
        <v>472</v>
      </c>
      <c r="C15" s="1117">
        <v>24760</v>
      </c>
      <c r="D15" s="1117">
        <v>24440</v>
      </c>
      <c r="E15" s="1117">
        <v>24130</v>
      </c>
      <c r="F15" s="1125">
        <v>9480</v>
      </c>
      <c r="G15" s="1119" t="s">
        <v>120</v>
      </c>
      <c r="H15" s="1120">
        <f>SUMPRODUCT((B317:B337='2014基准地价'!I2)*(C3:F3='2014基准地价'!E2)*(C317:F337))</f>
        <v>0</v>
      </c>
      <c r="J15" s="1117" t="s">
        <v>480</v>
      </c>
      <c r="K15" s="1117" t="s">
        <v>499</v>
      </c>
      <c r="L15" s="1117" t="s">
        <v>519</v>
      </c>
      <c r="M15" s="1117" t="s">
        <v>546</v>
      </c>
      <c r="N15" s="1117" t="s">
        <v>580</v>
      </c>
      <c r="O15" s="1117" t="s">
        <v>628</v>
      </c>
      <c r="P15" s="1117" t="s">
        <v>676</v>
      </c>
      <c r="Q15" s="1117" t="s">
        <v>715</v>
      </c>
      <c r="R15" s="1117" t="s">
        <v>761</v>
      </c>
      <c r="S15" s="1117" t="s">
        <v>787</v>
      </c>
    </row>
    <row r="16" spans="1:20" ht="14.25" customHeight="1">
      <c r="A16" s="1112" t="s">
        <v>63</v>
      </c>
      <c r="B16" s="1121" t="s">
        <v>473</v>
      </c>
      <c r="C16" s="1117">
        <v>22220</v>
      </c>
      <c r="D16" s="1117">
        <v>22310</v>
      </c>
      <c r="E16" s="1117">
        <v>22000</v>
      </c>
      <c r="F16" s="1125">
        <v>8900</v>
      </c>
      <c r="G16" s="1126" t="s">
        <v>122</v>
      </c>
      <c r="H16" s="1127">
        <f>SUMPRODUCT((B338:B344='2014基准地价'!I2)*(C3:F3='2014基准地价'!E2)*(C338:F344))</f>
        <v>0</v>
      </c>
      <c r="J16" s="1117" t="s">
        <v>481</v>
      </c>
      <c r="K16" s="1117" t="s">
        <v>500</v>
      </c>
      <c r="L16" s="1117" t="s">
        <v>520</v>
      </c>
      <c r="M16" s="1117" t="s">
        <v>547</v>
      </c>
      <c r="N16" s="1117" t="s">
        <v>581</v>
      </c>
      <c r="O16" s="1117" t="s">
        <v>629</v>
      </c>
      <c r="P16" s="1117" t="s">
        <v>677</v>
      </c>
      <c r="Q16" s="1117" t="s">
        <v>716</v>
      </c>
      <c r="R16" s="1117" t="s">
        <v>762</v>
      </c>
      <c r="S16" s="1117" t="s">
        <v>788</v>
      </c>
    </row>
    <row r="17" spans="1:19" ht="14.25" customHeight="1">
      <c r="A17" s="1112" t="s">
        <v>63</v>
      </c>
      <c r="B17" s="1121" t="s">
        <v>474</v>
      </c>
      <c r="C17" s="1117">
        <v>24700</v>
      </c>
      <c r="D17" s="1117">
        <v>25150</v>
      </c>
      <c r="E17" s="1117">
        <v>24700</v>
      </c>
      <c r="F17" s="1128"/>
      <c r="H17" s="1129"/>
      <c r="J17" s="1117" t="s">
        <v>482</v>
      </c>
      <c r="K17" s="1117" t="s">
        <v>501</v>
      </c>
      <c r="L17" s="1117" t="s">
        <v>521</v>
      </c>
      <c r="M17" s="1117" t="s">
        <v>548</v>
      </c>
      <c r="N17" s="1117" t="s">
        <v>582</v>
      </c>
      <c r="O17" s="1117" t="s">
        <v>630</v>
      </c>
      <c r="P17" s="1117" t="s">
        <v>678</v>
      </c>
      <c r="Q17" s="1117" t="s">
        <v>717</v>
      </c>
      <c r="R17" s="1117" t="s">
        <v>763</v>
      </c>
      <c r="S17" s="1117" t="s">
        <v>789</v>
      </c>
    </row>
    <row r="18" spans="1:19" ht="14.25" customHeight="1">
      <c r="A18" s="1112" t="s">
        <v>63</v>
      </c>
      <c r="B18" s="1121" t="s">
        <v>475</v>
      </c>
      <c r="C18" s="1117">
        <v>22350</v>
      </c>
      <c r="D18" s="1117">
        <v>24340</v>
      </c>
      <c r="E18" s="1117">
        <v>24100</v>
      </c>
      <c r="F18" s="1128"/>
      <c r="H18" s="1129"/>
      <c r="J18" s="1117" t="s">
        <v>483</v>
      </c>
      <c r="K18" s="1117" t="s">
        <v>502</v>
      </c>
      <c r="L18" s="1117" t="s">
        <v>522</v>
      </c>
      <c r="M18" s="1117" t="s">
        <v>549</v>
      </c>
      <c r="N18" s="1117" t="s">
        <v>583</v>
      </c>
      <c r="O18" s="1117" t="s">
        <v>631</v>
      </c>
      <c r="P18" s="1117" t="s">
        <v>679</v>
      </c>
      <c r="Q18" s="1117" t="s">
        <v>718</v>
      </c>
      <c r="R18" s="1117" t="s">
        <v>764</v>
      </c>
      <c r="S18" s="1117" t="s">
        <v>790</v>
      </c>
    </row>
    <row r="19" spans="1:19" ht="14.25" customHeight="1">
      <c r="A19" s="1112" t="s">
        <v>63</v>
      </c>
      <c r="B19" s="1121" t="s">
        <v>476</v>
      </c>
      <c r="C19" s="1117">
        <v>23430</v>
      </c>
      <c r="D19" s="1117">
        <v>21580</v>
      </c>
      <c r="E19" s="1117">
        <v>21350</v>
      </c>
      <c r="F19" s="1128"/>
      <c r="H19" s="1129"/>
      <c r="J19" s="1117" t="s">
        <v>484</v>
      </c>
      <c r="K19" s="1117" t="s">
        <v>503</v>
      </c>
      <c r="L19" s="1117" t="s">
        <v>523</v>
      </c>
      <c r="M19" s="1117" t="s">
        <v>550</v>
      </c>
      <c r="N19" s="1117" t="s">
        <v>584</v>
      </c>
      <c r="O19" s="1117" t="s">
        <v>632</v>
      </c>
      <c r="P19" s="1117" t="s">
        <v>680</v>
      </c>
      <c r="Q19" s="1117" t="s">
        <v>719</v>
      </c>
      <c r="R19" s="1117" t="s">
        <v>765</v>
      </c>
      <c r="S19" s="1117" t="s">
        <v>791</v>
      </c>
    </row>
    <row r="20" spans="1:19" ht="14.25" customHeight="1">
      <c r="A20" s="1112" t="s">
        <v>63</v>
      </c>
      <c r="B20" s="1121" t="s">
        <v>477</v>
      </c>
      <c r="C20" s="1117">
        <v>27660</v>
      </c>
      <c r="D20" s="1117">
        <v>24240</v>
      </c>
      <c r="E20" s="1117">
        <v>24020</v>
      </c>
      <c r="F20" s="1128"/>
      <c r="J20" s="1117" t="s">
        <v>485</v>
      </c>
      <c r="K20" s="1117" t="s">
        <v>504</v>
      </c>
      <c r="L20" s="1117" t="s">
        <v>524</v>
      </c>
      <c r="M20" s="1117" t="s">
        <v>551</v>
      </c>
      <c r="N20" s="1117" t="s">
        <v>585</v>
      </c>
      <c r="O20" s="1117" t="s">
        <v>633</v>
      </c>
      <c r="P20" s="1117" t="s">
        <v>681</v>
      </c>
      <c r="Q20" s="1117" t="s">
        <v>720</v>
      </c>
      <c r="R20" s="1117" t="s">
        <v>766</v>
      </c>
      <c r="S20" s="1117" t="s">
        <v>792</v>
      </c>
    </row>
    <row r="21" spans="1:19" ht="14.25" customHeight="1">
      <c r="A21" s="1112" t="s">
        <v>63</v>
      </c>
      <c r="B21" s="1121" t="s">
        <v>478</v>
      </c>
      <c r="C21" s="1117">
        <v>24720</v>
      </c>
      <c r="D21" s="1117">
        <v>21670</v>
      </c>
      <c r="E21" s="1117">
        <v>21510</v>
      </c>
      <c r="F21" s="1128"/>
      <c r="K21" s="1117" t="s">
        <v>505</v>
      </c>
      <c r="L21" s="1117" t="s">
        <v>525</v>
      </c>
      <c r="M21" s="1117" t="s">
        <v>552</v>
      </c>
      <c r="N21" s="1117" t="s">
        <v>586</v>
      </c>
      <c r="O21" s="1117" t="s">
        <v>634</v>
      </c>
      <c r="P21" s="1117" t="s">
        <v>682</v>
      </c>
      <c r="Q21" s="1117" t="s">
        <v>721</v>
      </c>
      <c r="R21" s="1117" t="s">
        <v>767</v>
      </c>
      <c r="S21" s="1117" t="s">
        <v>793</v>
      </c>
    </row>
    <row r="22" spans="1:19" ht="14.25" customHeight="1">
      <c r="A22" s="1112" t="s">
        <v>63</v>
      </c>
      <c r="B22" s="1121" t="s">
        <v>479</v>
      </c>
      <c r="C22" s="1117">
        <v>26530</v>
      </c>
      <c r="D22" s="1117">
        <v>22980</v>
      </c>
      <c r="E22" s="1117">
        <v>22650</v>
      </c>
      <c r="F22" s="1128"/>
      <c r="L22" s="1117" t="s">
        <v>526</v>
      </c>
      <c r="M22" s="1117" t="s">
        <v>553</v>
      </c>
      <c r="N22" s="1117" t="s">
        <v>587</v>
      </c>
      <c r="O22" s="1117" t="s">
        <v>635</v>
      </c>
      <c r="P22" s="1117" t="s">
        <v>683</v>
      </c>
      <c r="Q22" s="1117" t="s">
        <v>722</v>
      </c>
      <c r="R22" s="1117" t="s">
        <v>768</v>
      </c>
      <c r="S22" s="1121" t="s">
        <v>794</v>
      </c>
    </row>
    <row r="23" spans="1:19" ht="14.25" customHeight="1">
      <c r="A23" s="1112" t="s">
        <v>63</v>
      </c>
      <c r="B23" s="1121" t="s">
        <v>480</v>
      </c>
      <c r="C23" s="1117">
        <v>24700</v>
      </c>
      <c r="D23" s="1117">
        <v>27290</v>
      </c>
      <c r="E23" s="1117">
        <v>26710</v>
      </c>
      <c r="F23" s="1128"/>
      <c r="L23" s="1117" t="s">
        <v>527</v>
      </c>
      <c r="M23" s="1117" t="s">
        <v>554</v>
      </c>
      <c r="N23" s="1117" t="s">
        <v>588</v>
      </c>
      <c r="O23" s="1117" t="s">
        <v>636</v>
      </c>
      <c r="P23" s="1117" t="s">
        <v>684</v>
      </c>
      <c r="Q23" s="1117" t="s">
        <v>723</v>
      </c>
      <c r="R23" s="1117" t="s">
        <v>769</v>
      </c>
    </row>
    <row r="24" spans="1:19" ht="14.25" customHeight="1">
      <c r="A24" s="1112" t="s">
        <v>63</v>
      </c>
      <c r="B24" s="1121" t="s">
        <v>481</v>
      </c>
      <c r="C24" s="1117">
        <v>23070</v>
      </c>
      <c r="D24" s="1117">
        <v>24130</v>
      </c>
      <c r="E24" s="1117">
        <v>23860</v>
      </c>
      <c r="F24" s="1128"/>
      <c r="L24" s="1117" t="s">
        <v>528</v>
      </c>
      <c r="M24" s="1117" t="s">
        <v>555</v>
      </c>
      <c r="N24" s="1117" t="s">
        <v>589</v>
      </c>
      <c r="O24" s="1117" t="s">
        <v>637</v>
      </c>
      <c r="P24" s="1117" t="s">
        <v>685</v>
      </c>
      <c r="Q24" s="1117" t="s">
        <v>724</v>
      </c>
      <c r="R24" s="1117" t="s">
        <v>770</v>
      </c>
    </row>
    <row r="25" spans="1:19" ht="14.25" customHeight="1">
      <c r="A25" s="1112" t="s">
        <v>63</v>
      </c>
      <c r="B25" s="1121" t="s">
        <v>482</v>
      </c>
      <c r="C25" s="1117">
        <v>27550</v>
      </c>
      <c r="D25" s="1117">
        <v>25850</v>
      </c>
      <c r="E25" s="1117">
        <v>25340</v>
      </c>
      <c r="F25" s="1128"/>
      <c r="L25" s="1117" t="s">
        <v>529</v>
      </c>
      <c r="M25" s="1117" t="s">
        <v>556</v>
      </c>
      <c r="N25" s="1117" t="s">
        <v>590</v>
      </c>
      <c r="O25" s="1117" t="s">
        <v>638</v>
      </c>
      <c r="P25" s="1117" t="s">
        <v>686</v>
      </c>
      <c r="Q25" s="1117" t="s">
        <v>725</v>
      </c>
      <c r="R25" s="1117" t="s">
        <v>771</v>
      </c>
    </row>
    <row r="26" spans="1:19" ht="14.25" customHeight="1">
      <c r="A26" s="1112" t="s">
        <v>63</v>
      </c>
      <c r="B26" s="1121" t="s">
        <v>483</v>
      </c>
      <c r="C26" s="1117"/>
      <c r="D26" s="1117">
        <v>23900</v>
      </c>
      <c r="E26" s="1117">
        <v>23590</v>
      </c>
      <c r="F26" s="1128"/>
      <c r="L26" s="1117" t="s">
        <v>530</v>
      </c>
      <c r="M26" s="1117" t="s">
        <v>557</v>
      </c>
      <c r="N26" s="1117" t="s">
        <v>591</v>
      </c>
      <c r="O26" s="1117" t="s">
        <v>639</v>
      </c>
      <c r="P26" s="1117" t="s">
        <v>687</v>
      </c>
      <c r="Q26" s="1117" t="s">
        <v>726</v>
      </c>
      <c r="R26" s="1117" t="s">
        <v>772</v>
      </c>
    </row>
    <row r="27" spans="1:19" ht="14.25" customHeight="1">
      <c r="A27" s="1112" t="s">
        <v>63</v>
      </c>
      <c r="B27" s="1121" t="s">
        <v>484</v>
      </c>
      <c r="C27" s="1117"/>
      <c r="D27" s="1117">
        <v>22850</v>
      </c>
      <c r="E27" s="1117">
        <v>21920</v>
      </c>
      <c r="F27" s="1128"/>
      <c r="L27" s="1117" t="s">
        <v>531</v>
      </c>
      <c r="M27" s="1117" t="s">
        <v>558</v>
      </c>
      <c r="N27" s="1117" t="s">
        <v>592</v>
      </c>
      <c r="O27" s="1117" t="s">
        <v>640</v>
      </c>
      <c r="P27" s="1117" t="s">
        <v>688</v>
      </c>
      <c r="Q27" s="1117" t="s">
        <v>727</v>
      </c>
      <c r="R27" s="1117" t="s">
        <v>773</v>
      </c>
    </row>
    <row r="28" spans="1:19" ht="14.25" customHeight="1">
      <c r="A28" s="1130" t="s">
        <v>63</v>
      </c>
      <c r="B28" s="1122" t="s">
        <v>485</v>
      </c>
      <c r="C28" s="1123"/>
      <c r="D28" s="1123">
        <v>26610</v>
      </c>
      <c r="E28" s="1123">
        <v>26370</v>
      </c>
      <c r="F28" s="1124"/>
      <c r="L28" s="1117" t="s">
        <v>532</v>
      </c>
      <c r="M28" s="1117" t="s">
        <v>559</v>
      </c>
      <c r="N28" s="1117" t="s">
        <v>593</v>
      </c>
      <c r="O28" s="1117" t="s">
        <v>641</v>
      </c>
      <c r="P28" s="1117" t="s">
        <v>689</v>
      </c>
      <c r="Q28" s="1117" t="s">
        <v>728</v>
      </c>
    </row>
    <row r="29" spans="1:19" ht="14.25" customHeight="1">
      <c r="A29" s="1112" t="s">
        <v>75</v>
      </c>
      <c r="B29" s="1113" t="s">
        <v>486</v>
      </c>
      <c r="C29" s="1113">
        <v>22090</v>
      </c>
      <c r="D29" s="1113">
        <v>21860</v>
      </c>
      <c r="E29" s="1113">
        <v>19380</v>
      </c>
      <c r="F29" s="1114">
        <v>6610</v>
      </c>
      <c r="M29" s="1117" t="s">
        <v>560</v>
      </c>
      <c r="N29" s="1117" t="s">
        <v>594</v>
      </c>
      <c r="O29" s="1117" t="s">
        <v>642</v>
      </c>
      <c r="P29" s="1117" t="s">
        <v>690</v>
      </c>
      <c r="Q29" s="1117" t="s">
        <v>729</v>
      </c>
    </row>
    <row r="30" spans="1:19" ht="14.25" customHeight="1">
      <c r="A30" s="1112" t="s">
        <v>75</v>
      </c>
      <c r="B30" s="1121" t="s">
        <v>487</v>
      </c>
      <c r="C30" s="1117">
        <v>21380</v>
      </c>
      <c r="D30" s="1117">
        <v>19930</v>
      </c>
      <c r="E30" s="1117">
        <v>19860</v>
      </c>
      <c r="F30" s="1125">
        <v>6010</v>
      </c>
      <c r="H30" s="1129"/>
      <c r="M30" s="1117" t="s">
        <v>561</v>
      </c>
      <c r="N30" s="1117" t="s">
        <v>595</v>
      </c>
      <c r="O30" s="1117" t="s">
        <v>643</v>
      </c>
      <c r="P30" s="1117" t="s">
        <v>691</v>
      </c>
      <c r="Q30" s="1117" t="s">
        <v>730</v>
      </c>
    </row>
    <row r="31" spans="1:19" ht="14.25" customHeight="1">
      <c r="A31" s="1112" t="s">
        <v>75</v>
      </c>
      <c r="B31" s="1121" t="s">
        <v>488</v>
      </c>
      <c r="C31" s="1117">
        <v>21670</v>
      </c>
      <c r="D31" s="1117">
        <v>20660</v>
      </c>
      <c r="E31" s="1117">
        <v>20290</v>
      </c>
      <c r="F31" s="1125">
        <v>5840</v>
      </c>
      <c r="H31" s="1129"/>
      <c r="M31" s="1117" t="s">
        <v>562</v>
      </c>
      <c r="N31" s="1117" t="s">
        <v>596</v>
      </c>
      <c r="O31" s="1117" t="s">
        <v>644</v>
      </c>
      <c r="P31" s="1117" t="s">
        <v>692</v>
      </c>
      <c r="Q31" s="1117" t="s">
        <v>731</v>
      </c>
    </row>
    <row r="32" spans="1:19" ht="14.25" customHeight="1">
      <c r="A32" s="1112" t="s">
        <v>75</v>
      </c>
      <c r="B32" s="1121" t="s">
        <v>489</v>
      </c>
      <c r="C32" s="1117">
        <v>22280</v>
      </c>
      <c r="D32" s="1117">
        <v>21800</v>
      </c>
      <c r="E32" s="1117">
        <v>17650</v>
      </c>
      <c r="F32" s="1125">
        <v>4690</v>
      </c>
      <c r="H32" s="1129"/>
      <c r="M32" s="1117" t="s">
        <v>563</v>
      </c>
      <c r="N32" s="1117" t="s">
        <v>597</v>
      </c>
      <c r="O32" s="1117" t="s">
        <v>645</v>
      </c>
      <c r="P32" s="1117" t="s">
        <v>693</v>
      </c>
      <c r="Q32" s="1117" t="s">
        <v>732</v>
      </c>
    </row>
    <row r="33" spans="1:17" ht="14.25" customHeight="1">
      <c r="A33" s="1112" t="s">
        <v>75</v>
      </c>
      <c r="B33" s="1121" t="s">
        <v>490</v>
      </c>
      <c r="C33" s="1117">
        <v>22130</v>
      </c>
      <c r="D33" s="1117">
        <v>20460</v>
      </c>
      <c r="E33" s="1117">
        <v>18500</v>
      </c>
      <c r="F33" s="1125">
        <v>5340</v>
      </c>
      <c r="H33" s="1129"/>
      <c r="M33" s="1117" t="s">
        <v>564</v>
      </c>
      <c r="N33" s="1117" t="s">
        <v>598</v>
      </c>
      <c r="O33" s="1117" t="s">
        <v>646</v>
      </c>
      <c r="P33" s="1117" t="s">
        <v>694</v>
      </c>
      <c r="Q33" s="1117" t="s">
        <v>733</v>
      </c>
    </row>
    <row r="34" spans="1:17" ht="14.25" customHeight="1">
      <c r="A34" s="1112" t="s">
        <v>75</v>
      </c>
      <c r="B34" s="1121" t="s">
        <v>491</v>
      </c>
      <c r="C34" s="1117">
        <v>22070</v>
      </c>
      <c r="D34" s="1117">
        <v>20110</v>
      </c>
      <c r="E34" s="1117">
        <v>18830</v>
      </c>
      <c r="F34" s="1125">
        <v>5190</v>
      </c>
      <c r="H34" s="1129"/>
      <c r="M34" s="1117" t="s">
        <v>565</v>
      </c>
      <c r="N34" s="1117" t="s">
        <v>599</v>
      </c>
      <c r="O34" s="1117" t="s">
        <v>647</v>
      </c>
      <c r="P34" s="1117" t="s">
        <v>695</v>
      </c>
      <c r="Q34" s="1117" t="s">
        <v>734</v>
      </c>
    </row>
    <row r="35" spans="1:17" ht="14.25" customHeight="1">
      <c r="A35" s="1112" t="s">
        <v>75</v>
      </c>
      <c r="B35" s="1121" t="s">
        <v>492</v>
      </c>
      <c r="C35" s="1117">
        <v>22240</v>
      </c>
      <c r="D35" s="1117">
        <v>19550</v>
      </c>
      <c r="E35" s="1117">
        <v>19220</v>
      </c>
      <c r="F35" s="1125">
        <v>5800</v>
      </c>
      <c r="H35" s="1129"/>
      <c r="M35" s="1117" t="s">
        <v>566</v>
      </c>
      <c r="N35" s="1117" t="s">
        <v>600</v>
      </c>
      <c r="O35" s="1117" t="s">
        <v>648</v>
      </c>
      <c r="P35" s="1117" t="s">
        <v>696</v>
      </c>
      <c r="Q35" s="1117" t="s">
        <v>735</v>
      </c>
    </row>
    <row r="36" spans="1:17" ht="14.25" customHeight="1">
      <c r="A36" s="1112" t="s">
        <v>75</v>
      </c>
      <c r="B36" s="1121" t="s">
        <v>493</v>
      </c>
      <c r="C36" s="1117">
        <v>19750</v>
      </c>
      <c r="D36" s="1117">
        <v>19790</v>
      </c>
      <c r="E36" s="1117">
        <v>18510</v>
      </c>
      <c r="F36" s="1125">
        <v>6520</v>
      </c>
      <c r="H36" s="1129"/>
      <c r="N36" s="1117" t="s">
        <v>601</v>
      </c>
      <c r="O36" s="1117" t="s">
        <v>649</v>
      </c>
      <c r="P36" s="1117" t="s">
        <v>697</v>
      </c>
      <c r="Q36" s="1117" t="s">
        <v>736</v>
      </c>
    </row>
    <row r="37" spans="1:17" ht="14.25" customHeight="1">
      <c r="A37" s="1112" t="s">
        <v>75</v>
      </c>
      <c r="B37" s="1121" t="s">
        <v>494</v>
      </c>
      <c r="C37" s="1117">
        <v>22380</v>
      </c>
      <c r="D37" s="1117">
        <v>18530</v>
      </c>
      <c r="E37" s="1117">
        <v>17930</v>
      </c>
      <c r="F37" s="1125">
        <v>6270</v>
      </c>
      <c r="H37" s="1131"/>
      <c r="N37" s="1117" t="s">
        <v>602</v>
      </c>
      <c r="O37" s="1117" t="s">
        <v>650</v>
      </c>
      <c r="P37" s="1117" t="s">
        <v>698</v>
      </c>
      <c r="Q37" s="1117" t="s">
        <v>737</v>
      </c>
    </row>
    <row r="38" spans="1:17" ht="14.25" customHeight="1">
      <c r="A38" s="1112" t="s">
        <v>75</v>
      </c>
      <c r="B38" s="1121" t="s">
        <v>495</v>
      </c>
      <c r="C38" s="1117">
        <v>20200</v>
      </c>
      <c r="D38" s="1117">
        <v>20070</v>
      </c>
      <c r="E38" s="1117">
        <v>19950</v>
      </c>
      <c r="F38" s="1125"/>
      <c r="H38" s="1129"/>
      <c r="N38" s="1117" t="s">
        <v>603</v>
      </c>
      <c r="O38" s="1117" t="s">
        <v>651</v>
      </c>
      <c r="P38" s="1117" t="s">
        <v>699</v>
      </c>
      <c r="Q38" s="1117" t="s">
        <v>738</v>
      </c>
    </row>
    <row r="39" spans="1:17" ht="14.25" customHeight="1">
      <c r="A39" s="1112" t="s">
        <v>75</v>
      </c>
      <c r="B39" s="1121" t="s">
        <v>496</v>
      </c>
      <c r="C39" s="1117">
        <v>19300</v>
      </c>
      <c r="D39" s="1117">
        <v>20360</v>
      </c>
      <c r="E39" s="1117">
        <v>20230</v>
      </c>
      <c r="F39" s="1125"/>
      <c r="H39" s="1129"/>
      <c r="N39" s="1117" t="s">
        <v>604</v>
      </c>
      <c r="O39" s="1117" t="s">
        <v>652</v>
      </c>
      <c r="P39" s="1117" t="s">
        <v>700</v>
      </c>
      <c r="Q39" s="1117" t="s">
        <v>739</v>
      </c>
    </row>
    <row r="40" spans="1:17" ht="14.25" customHeight="1">
      <c r="A40" s="1112" t="s">
        <v>75</v>
      </c>
      <c r="B40" s="1121" t="s">
        <v>497</v>
      </c>
      <c r="C40" s="1117">
        <v>20210</v>
      </c>
      <c r="D40" s="1117">
        <v>19060</v>
      </c>
      <c r="E40" s="1117">
        <v>18890</v>
      </c>
      <c r="F40" s="1125"/>
      <c r="H40" s="1129"/>
      <c r="N40" s="1117" t="s">
        <v>605</v>
      </c>
      <c r="O40" s="1117" t="s">
        <v>653</v>
      </c>
      <c r="P40" s="1117" t="s">
        <v>701</v>
      </c>
      <c r="Q40" s="1117" t="s">
        <v>740</v>
      </c>
    </row>
    <row r="41" spans="1:17" ht="14.25" customHeight="1">
      <c r="A41" s="1112" t="s">
        <v>75</v>
      </c>
      <c r="B41" s="1121" t="s">
        <v>498</v>
      </c>
      <c r="C41" s="1117">
        <v>20560</v>
      </c>
      <c r="D41" s="1117">
        <v>21040</v>
      </c>
      <c r="E41" s="1117">
        <v>20740</v>
      </c>
      <c r="F41" s="1125"/>
      <c r="H41" s="1129"/>
      <c r="N41" s="1121" t="s">
        <v>606</v>
      </c>
      <c r="O41" s="1121" t="s">
        <v>654</v>
      </c>
      <c r="Q41" s="1121" t="s">
        <v>741</v>
      </c>
    </row>
    <row r="42" spans="1:17" ht="14.25" customHeight="1">
      <c r="A42" s="1112" t="s">
        <v>75</v>
      </c>
      <c r="B42" s="1121" t="s">
        <v>499</v>
      </c>
      <c r="C42" s="1117">
        <v>19280</v>
      </c>
      <c r="D42" s="1117">
        <v>22940</v>
      </c>
      <c r="E42" s="1117">
        <v>22500</v>
      </c>
      <c r="F42" s="1125"/>
      <c r="H42" s="1129"/>
      <c r="N42" s="1117" t="s">
        <v>607</v>
      </c>
      <c r="O42" s="1117" t="s">
        <v>655</v>
      </c>
      <c r="Q42" s="1117" t="s">
        <v>742</v>
      </c>
    </row>
    <row r="43" spans="1:17" ht="14.25" customHeight="1">
      <c r="A43" s="1112" t="s">
        <v>75</v>
      </c>
      <c r="B43" s="1121" t="s">
        <v>500</v>
      </c>
      <c r="C43" s="1117">
        <v>21520</v>
      </c>
      <c r="D43" s="1117">
        <v>19230</v>
      </c>
      <c r="E43" s="1117">
        <v>18540</v>
      </c>
      <c r="F43" s="1125"/>
      <c r="H43" s="1129"/>
      <c r="N43" s="1117" t="s">
        <v>608</v>
      </c>
      <c r="O43" s="1117" t="s">
        <v>656</v>
      </c>
      <c r="Q43" s="1117" t="s">
        <v>743</v>
      </c>
    </row>
    <row r="44" spans="1:17" ht="14.25" customHeight="1">
      <c r="A44" s="1112" t="s">
        <v>75</v>
      </c>
      <c r="B44" s="1121" t="s">
        <v>501</v>
      </c>
      <c r="C44" s="1117">
        <v>23260</v>
      </c>
      <c r="D44" s="1117">
        <v>21180</v>
      </c>
      <c r="E44" s="1117">
        <v>20730</v>
      </c>
      <c r="F44" s="1125"/>
      <c r="H44" s="1129"/>
      <c r="N44" s="1117" t="s">
        <v>609</v>
      </c>
      <c r="O44" s="1117" t="s">
        <v>657</v>
      </c>
      <c r="Q44" s="1117" t="s">
        <v>744</v>
      </c>
    </row>
    <row r="45" spans="1:17" ht="14.25" customHeight="1">
      <c r="A45" s="1112" t="s">
        <v>75</v>
      </c>
      <c r="B45" s="1121" t="s">
        <v>502</v>
      </c>
      <c r="C45" s="1117">
        <v>19610</v>
      </c>
      <c r="D45" s="1117">
        <v>18090</v>
      </c>
      <c r="E45" s="1117">
        <v>17970</v>
      </c>
      <c r="F45" s="1125"/>
      <c r="H45" s="1129"/>
      <c r="N45" s="1117" t="s">
        <v>610</v>
      </c>
      <c r="O45" s="1117" t="s">
        <v>658</v>
      </c>
      <c r="Q45" s="1117" t="s">
        <v>745</v>
      </c>
    </row>
    <row r="46" spans="1:17" ht="14.25" customHeight="1">
      <c r="A46" s="1112" t="s">
        <v>75</v>
      </c>
      <c r="B46" s="1121" t="s">
        <v>503</v>
      </c>
      <c r="C46" s="1117">
        <v>21660</v>
      </c>
      <c r="D46" s="1117">
        <v>19190</v>
      </c>
      <c r="E46" s="1117">
        <v>19790</v>
      </c>
      <c r="F46" s="1125"/>
      <c r="H46" s="1129"/>
      <c r="N46" s="1117" t="s">
        <v>611</v>
      </c>
      <c r="O46" s="1117" t="s">
        <v>659</v>
      </c>
      <c r="Q46" s="1117" t="s">
        <v>746</v>
      </c>
    </row>
    <row r="47" spans="1:17" ht="14.25" customHeight="1">
      <c r="A47" s="1112" t="s">
        <v>75</v>
      </c>
      <c r="B47" s="1121" t="s">
        <v>504</v>
      </c>
      <c r="C47" s="1117">
        <v>18220</v>
      </c>
      <c r="D47" s="1117"/>
      <c r="E47" s="1117">
        <v>17220</v>
      </c>
      <c r="F47" s="1125"/>
      <c r="H47" s="1129"/>
      <c r="N47" s="1117" t="s">
        <v>612</v>
      </c>
      <c r="O47" s="1117" t="s">
        <v>660</v>
      </c>
    </row>
    <row r="48" spans="1:17" ht="14.25" customHeight="1">
      <c r="A48" s="1112" t="s">
        <v>75</v>
      </c>
      <c r="B48" s="1122" t="s">
        <v>505</v>
      </c>
      <c r="C48" s="1123">
        <v>19430</v>
      </c>
      <c r="D48" s="1123"/>
      <c r="E48" s="1123">
        <v>17830</v>
      </c>
      <c r="F48" s="1132"/>
      <c r="H48" s="1129"/>
      <c r="N48" s="1117" t="s">
        <v>613</v>
      </c>
      <c r="O48" s="1117" t="s">
        <v>661</v>
      </c>
    </row>
    <row r="49" spans="1:15" ht="14.25" customHeight="1">
      <c r="A49" s="1112" t="s">
        <v>87</v>
      </c>
      <c r="B49" s="1113" t="s">
        <v>506</v>
      </c>
      <c r="C49" s="1113">
        <v>17090</v>
      </c>
      <c r="D49" s="1113">
        <v>16950</v>
      </c>
      <c r="E49" s="1113">
        <v>16310</v>
      </c>
      <c r="F49" s="1114">
        <v>4540</v>
      </c>
      <c r="H49" s="1129"/>
      <c r="N49" s="1117" t="s">
        <v>614</v>
      </c>
      <c r="O49" s="1117" t="s">
        <v>662</v>
      </c>
    </row>
    <row r="50" spans="1:15" ht="14.25" customHeight="1">
      <c r="A50" s="1112" t="s">
        <v>87</v>
      </c>
      <c r="B50" s="1117" t="s">
        <v>507</v>
      </c>
      <c r="C50" s="1117">
        <v>19040</v>
      </c>
      <c r="D50" s="1117">
        <v>16960</v>
      </c>
      <c r="E50" s="1117">
        <v>14800</v>
      </c>
      <c r="F50" s="1125">
        <v>3940</v>
      </c>
      <c r="H50" s="1129"/>
    </row>
    <row r="51" spans="1:15" ht="14.25" customHeight="1">
      <c r="A51" s="1112" t="s">
        <v>87</v>
      </c>
      <c r="B51" s="1117" t="s">
        <v>508</v>
      </c>
      <c r="C51" s="1117">
        <v>17040</v>
      </c>
      <c r="D51" s="1117">
        <v>16930</v>
      </c>
      <c r="E51" s="1117">
        <v>15030</v>
      </c>
      <c r="F51" s="1125">
        <v>4120</v>
      </c>
      <c r="H51" s="1129"/>
    </row>
    <row r="52" spans="1:15" ht="14.25" customHeight="1">
      <c r="A52" s="1112" t="s">
        <v>87</v>
      </c>
      <c r="B52" s="1117" t="s">
        <v>509</v>
      </c>
      <c r="C52" s="1117">
        <v>17110</v>
      </c>
      <c r="D52" s="1117">
        <v>17750</v>
      </c>
      <c r="E52" s="1117">
        <v>17310</v>
      </c>
      <c r="F52" s="1125">
        <v>3220</v>
      </c>
      <c r="H52" s="1129"/>
    </row>
    <row r="53" spans="1:15" ht="14.25" customHeight="1">
      <c r="A53" s="1112" t="s">
        <v>87</v>
      </c>
      <c r="B53" s="1117" t="s">
        <v>510</v>
      </c>
      <c r="C53" s="1117">
        <v>17810</v>
      </c>
      <c r="D53" s="1117">
        <v>17260</v>
      </c>
      <c r="E53" s="1117">
        <v>17090</v>
      </c>
      <c r="F53" s="1125">
        <v>3520</v>
      </c>
      <c r="H53" s="1129"/>
    </row>
    <row r="54" spans="1:15" ht="14.25" customHeight="1">
      <c r="A54" s="1112" t="s">
        <v>87</v>
      </c>
      <c r="B54" s="1117" t="s">
        <v>511</v>
      </c>
      <c r="C54" s="1117">
        <v>17410</v>
      </c>
      <c r="D54" s="1117">
        <v>16780</v>
      </c>
      <c r="E54" s="1117">
        <v>16370</v>
      </c>
      <c r="F54" s="1125">
        <v>3410</v>
      </c>
      <c r="H54" s="1129"/>
    </row>
    <row r="55" spans="1:15" ht="14.25" customHeight="1">
      <c r="A55" s="1112" t="s">
        <v>87</v>
      </c>
      <c r="B55" s="1117" t="s">
        <v>512</v>
      </c>
      <c r="C55" s="1117">
        <v>16930</v>
      </c>
      <c r="D55" s="1117">
        <v>14720</v>
      </c>
      <c r="E55" s="1117">
        <v>15000</v>
      </c>
      <c r="F55" s="1125">
        <v>3710</v>
      </c>
      <c r="H55" s="1129"/>
    </row>
    <row r="56" spans="1:15" ht="14.25" customHeight="1">
      <c r="A56" s="1112" t="s">
        <v>87</v>
      </c>
      <c r="B56" s="1117" t="s">
        <v>513</v>
      </c>
      <c r="C56" s="1117">
        <v>14930</v>
      </c>
      <c r="D56" s="1117">
        <v>15850</v>
      </c>
      <c r="E56" s="1117">
        <v>14320</v>
      </c>
      <c r="F56" s="1125">
        <v>3960</v>
      </c>
      <c r="H56" s="1129"/>
    </row>
    <row r="57" spans="1:15" ht="14.25" customHeight="1">
      <c r="A57" s="1112" t="s">
        <v>87</v>
      </c>
      <c r="B57" s="1117" t="s">
        <v>514</v>
      </c>
      <c r="C57" s="1117">
        <v>16160</v>
      </c>
      <c r="D57" s="1117">
        <v>16190</v>
      </c>
      <c r="E57" s="1117">
        <v>15650</v>
      </c>
      <c r="F57" s="1125">
        <v>4200</v>
      </c>
      <c r="H57" s="1129"/>
    </row>
    <row r="58" spans="1:15" ht="14.25" customHeight="1">
      <c r="A58" s="1112" t="s">
        <v>87</v>
      </c>
      <c r="B58" s="1117" t="s">
        <v>515</v>
      </c>
      <c r="C58" s="1117">
        <v>16360</v>
      </c>
      <c r="D58" s="1117">
        <v>14050</v>
      </c>
      <c r="E58" s="1117">
        <v>16070</v>
      </c>
      <c r="F58" s="1125">
        <v>3990</v>
      </c>
      <c r="H58" s="1129"/>
    </row>
    <row r="59" spans="1:15" ht="14.25" customHeight="1">
      <c r="A59" s="1112" t="s">
        <v>87</v>
      </c>
      <c r="B59" s="1117" t="s">
        <v>516</v>
      </c>
      <c r="C59" s="1117">
        <v>14160</v>
      </c>
      <c r="D59" s="1117">
        <v>16620</v>
      </c>
      <c r="E59" s="1117">
        <v>13940</v>
      </c>
      <c r="F59" s="1125">
        <v>4260</v>
      </c>
      <c r="H59" s="1129"/>
    </row>
    <row r="60" spans="1:15" ht="14.25" customHeight="1">
      <c r="A60" s="1112" t="s">
        <v>87</v>
      </c>
      <c r="B60" s="1117" t="s">
        <v>517</v>
      </c>
      <c r="C60" s="1117">
        <v>16750</v>
      </c>
      <c r="D60" s="1117">
        <v>13910</v>
      </c>
      <c r="E60" s="1117">
        <v>16550</v>
      </c>
      <c r="F60" s="1125">
        <v>4550</v>
      </c>
      <c r="H60" s="1129"/>
    </row>
    <row r="61" spans="1:15" ht="14.25" customHeight="1">
      <c r="A61" s="1112" t="s">
        <v>87</v>
      </c>
      <c r="B61" s="1117" t="s">
        <v>518</v>
      </c>
      <c r="C61" s="1117">
        <v>14000</v>
      </c>
      <c r="D61" s="1117">
        <v>14550</v>
      </c>
      <c r="E61" s="1117">
        <v>13860</v>
      </c>
      <c r="F61" s="21"/>
      <c r="H61" s="1129"/>
    </row>
    <row r="62" spans="1:15" ht="14.25" customHeight="1">
      <c r="A62" s="1112" t="s">
        <v>87</v>
      </c>
      <c r="B62" s="1117" t="s">
        <v>519</v>
      </c>
      <c r="C62" s="1117">
        <v>14660</v>
      </c>
      <c r="D62" s="1117">
        <v>17450</v>
      </c>
      <c r="E62" s="1117">
        <v>14470</v>
      </c>
      <c r="F62" s="21"/>
      <c r="H62" s="1129"/>
    </row>
    <row r="63" spans="1:15" ht="14.25" customHeight="1">
      <c r="A63" s="1112" t="s">
        <v>87</v>
      </c>
      <c r="B63" s="1117" t="s">
        <v>520</v>
      </c>
      <c r="C63" s="1117">
        <v>17610</v>
      </c>
      <c r="D63" s="1117">
        <v>16500</v>
      </c>
      <c r="E63" s="1117">
        <v>17330</v>
      </c>
      <c r="F63" s="21"/>
      <c r="H63" s="1129"/>
    </row>
    <row r="64" spans="1:15" ht="14.25" customHeight="1">
      <c r="A64" s="1112" t="s">
        <v>87</v>
      </c>
      <c r="B64" s="1117" t="s">
        <v>521</v>
      </c>
      <c r="C64" s="1117">
        <v>16590</v>
      </c>
      <c r="D64" s="1117">
        <v>15130</v>
      </c>
      <c r="E64" s="1117">
        <v>16420</v>
      </c>
      <c r="F64" s="21"/>
      <c r="H64" s="1129"/>
    </row>
    <row r="65" spans="1:8" s="1107" customFormat="1" ht="14.25" customHeight="1">
      <c r="A65" s="1112" t="s">
        <v>87</v>
      </c>
      <c r="B65" s="1117" t="s">
        <v>522</v>
      </c>
      <c r="C65" s="1117">
        <v>15220</v>
      </c>
      <c r="D65" s="1117">
        <v>14660</v>
      </c>
      <c r="E65" s="1117">
        <v>15060</v>
      </c>
      <c r="F65" s="1125"/>
      <c r="H65" s="1129"/>
    </row>
    <row r="66" spans="1:8" s="1107" customFormat="1" ht="14.25" customHeight="1">
      <c r="A66" s="1112" t="s">
        <v>87</v>
      </c>
      <c r="B66" s="1117" t="s">
        <v>523</v>
      </c>
      <c r="C66" s="1117">
        <v>14720</v>
      </c>
      <c r="D66" s="1117">
        <v>15970</v>
      </c>
      <c r="E66" s="1117">
        <v>14610</v>
      </c>
      <c r="F66" s="1125"/>
      <c r="H66" s="1129"/>
    </row>
    <row r="67" spans="1:8" s="1107" customFormat="1" ht="14.25" customHeight="1">
      <c r="A67" s="1112" t="s">
        <v>87</v>
      </c>
      <c r="B67" s="1117" t="s">
        <v>524</v>
      </c>
      <c r="C67" s="1117">
        <v>16080</v>
      </c>
      <c r="D67" s="1117">
        <v>14840</v>
      </c>
      <c r="E67" s="1117">
        <v>15630</v>
      </c>
      <c r="F67" s="1125"/>
      <c r="H67" s="1129"/>
    </row>
    <row r="68" spans="1:8" s="1107" customFormat="1" ht="14.25" customHeight="1">
      <c r="A68" s="1112" t="s">
        <v>87</v>
      </c>
      <c r="B68" s="1117" t="s">
        <v>525</v>
      </c>
      <c r="C68" s="1117">
        <v>14940</v>
      </c>
      <c r="D68" s="1117">
        <v>18000</v>
      </c>
      <c r="E68" s="1117">
        <v>14040</v>
      </c>
      <c r="F68" s="1125"/>
      <c r="H68" s="1129"/>
    </row>
    <row r="69" spans="1:8" s="1107" customFormat="1" ht="14.25" customHeight="1">
      <c r="A69" s="1112" t="s">
        <v>87</v>
      </c>
      <c r="B69" s="1117" t="s">
        <v>526</v>
      </c>
      <c r="C69" s="1117">
        <v>18810</v>
      </c>
      <c r="D69" s="1117">
        <v>15100</v>
      </c>
      <c r="E69" s="1117">
        <v>14710</v>
      </c>
      <c r="F69" s="1125"/>
      <c r="H69" s="1129"/>
    </row>
    <row r="70" spans="1:8" s="1107" customFormat="1" ht="14.25" customHeight="1">
      <c r="A70" s="1112" t="s">
        <v>87</v>
      </c>
      <c r="B70" s="1117" t="s">
        <v>527</v>
      </c>
      <c r="C70" s="1117">
        <v>18270</v>
      </c>
      <c r="D70" s="1117"/>
      <c r="E70" s="1117"/>
      <c r="F70" s="1125"/>
      <c r="H70" s="1129"/>
    </row>
    <row r="71" spans="1:8" s="1107" customFormat="1" ht="14.25" customHeight="1">
      <c r="A71" s="1112" t="s">
        <v>87</v>
      </c>
      <c r="B71" s="1117" t="s">
        <v>528</v>
      </c>
      <c r="C71" s="1117">
        <v>15230</v>
      </c>
      <c r="D71" s="1117"/>
      <c r="E71" s="1117"/>
      <c r="F71" s="1125"/>
      <c r="H71" s="1129"/>
    </row>
    <row r="72" spans="1:8" s="1107" customFormat="1" ht="14.25" customHeight="1">
      <c r="A72" s="1112" t="s">
        <v>87</v>
      </c>
      <c r="B72" s="1117" t="s">
        <v>529</v>
      </c>
      <c r="C72" s="1117"/>
      <c r="D72" s="1117"/>
      <c r="E72" s="1117"/>
      <c r="F72" s="1125">
        <v>4120</v>
      </c>
      <c r="H72" s="1129"/>
    </row>
    <row r="73" spans="1:8" s="1107" customFormat="1" ht="14.25" customHeight="1">
      <c r="A73" s="1112" t="s">
        <v>87</v>
      </c>
      <c r="B73" s="1117" t="s">
        <v>530</v>
      </c>
      <c r="C73" s="1117"/>
      <c r="D73" s="1117"/>
      <c r="E73" s="1117"/>
      <c r="F73" s="1125">
        <v>3930</v>
      </c>
      <c r="H73" s="1129"/>
    </row>
    <row r="74" spans="1:8" s="1107" customFormat="1" ht="14.25" customHeight="1">
      <c r="A74" s="1112" t="s">
        <v>87</v>
      </c>
      <c r="B74" s="1117" t="s">
        <v>531</v>
      </c>
      <c r="C74" s="1117"/>
      <c r="D74" s="1117"/>
      <c r="E74" s="1117"/>
      <c r="F74" s="1125">
        <v>4060</v>
      </c>
      <c r="H74" s="1129"/>
    </row>
    <row r="75" spans="1:8" s="1107" customFormat="1" ht="14.25" customHeight="1">
      <c r="A75" s="1112" t="s">
        <v>87</v>
      </c>
      <c r="B75" s="1123" t="s">
        <v>532</v>
      </c>
      <c r="C75" s="1123"/>
      <c r="D75" s="1123"/>
      <c r="E75" s="1123"/>
      <c r="F75" s="1132">
        <v>3750</v>
      </c>
      <c r="H75" s="1129"/>
    </row>
    <row r="76" spans="1:8" s="1107" customFormat="1" ht="14.25" customHeight="1">
      <c r="A76" s="1112" t="s">
        <v>96</v>
      </c>
      <c r="B76" s="1113" t="s">
        <v>533</v>
      </c>
      <c r="C76" s="1113">
        <v>14690</v>
      </c>
      <c r="D76" s="1113">
        <v>14640</v>
      </c>
      <c r="E76" s="1113">
        <v>14590</v>
      </c>
      <c r="F76" s="1114">
        <v>3060</v>
      </c>
      <c r="H76" s="1129"/>
    </row>
    <row r="77" spans="1:8" s="1107" customFormat="1" ht="14.25" customHeight="1">
      <c r="A77" s="1112" t="s">
        <v>96</v>
      </c>
      <c r="B77" s="1117" t="s">
        <v>534</v>
      </c>
      <c r="C77" s="1117">
        <v>12550</v>
      </c>
      <c r="D77" s="1117">
        <v>12480</v>
      </c>
      <c r="E77" s="1117">
        <v>12450</v>
      </c>
      <c r="F77" s="1125">
        <v>2590</v>
      </c>
      <c r="H77" s="1129"/>
    </row>
    <row r="78" spans="1:8" s="1107" customFormat="1" ht="14.25" customHeight="1">
      <c r="A78" s="1112" t="s">
        <v>96</v>
      </c>
      <c r="B78" s="1117" t="s">
        <v>535</v>
      </c>
      <c r="C78" s="1117">
        <v>14360</v>
      </c>
      <c r="D78" s="1117">
        <v>14320</v>
      </c>
      <c r="E78" s="1117">
        <v>12510</v>
      </c>
      <c r="F78" s="1125">
        <v>2700</v>
      </c>
      <c r="H78" s="1129"/>
    </row>
    <row r="79" spans="1:8" s="1107" customFormat="1" ht="14.25" customHeight="1">
      <c r="A79" s="1112" t="s">
        <v>96</v>
      </c>
      <c r="B79" s="1117" t="s">
        <v>536</v>
      </c>
      <c r="C79" s="1117">
        <v>12590</v>
      </c>
      <c r="D79" s="1117">
        <v>12540</v>
      </c>
      <c r="E79" s="1117">
        <v>12350</v>
      </c>
      <c r="F79" s="1125">
        <v>2740</v>
      </c>
      <c r="H79" s="1129"/>
    </row>
    <row r="80" spans="1:8" s="1107" customFormat="1" ht="14.25" customHeight="1">
      <c r="A80" s="1112" t="s">
        <v>96</v>
      </c>
      <c r="B80" s="1117" t="s">
        <v>537</v>
      </c>
      <c r="C80" s="1117">
        <v>12450</v>
      </c>
      <c r="D80" s="1117">
        <v>12370</v>
      </c>
      <c r="E80" s="1117">
        <v>10790</v>
      </c>
      <c r="F80" s="1125">
        <v>2290</v>
      </c>
      <c r="H80" s="1129"/>
    </row>
    <row r="81" spans="1:8" s="1107" customFormat="1" ht="14.25" customHeight="1">
      <c r="A81" s="1112" t="s">
        <v>96</v>
      </c>
      <c r="B81" s="1117" t="s">
        <v>538</v>
      </c>
      <c r="C81" s="1117">
        <v>14210</v>
      </c>
      <c r="D81" s="1117">
        <v>14150</v>
      </c>
      <c r="E81" s="1117">
        <v>12730</v>
      </c>
      <c r="F81" s="1125">
        <v>2240</v>
      </c>
      <c r="H81" s="1129"/>
    </row>
    <row r="82" spans="1:8" s="1107" customFormat="1" ht="14.25" customHeight="1">
      <c r="A82" s="1112" t="s">
        <v>96</v>
      </c>
      <c r="B82" s="1117" t="s">
        <v>539</v>
      </c>
      <c r="C82" s="1117">
        <v>10860</v>
      </c>
      <c r="D82" s="1117">
        <v>10820</v>
      </c>
      <c r="E82" s="1117">
        <v>14720</v>
      </c>
      <c r="F82" s="1125">
        <v>2490</v>
      </c>
      <c r="H82" s="1129"/>
    </row>
    <row r="83" spans="1:8" s="1107" customFormat="1" ht="14.25" customHeight="1">
      <c r="A83" s="1112" t="s">
        <v>96</v>
      </c>
      <c r="B83" s="1117" t="s">
        <v>540</v>
      </c>
      <c r="C83" s="1117">
        <v>12810</v>
      </c>
      <c r="D83" s="1117">
        <v>12760</v>
      </c>
      <c r="E83" s="1117">
        <v>14830</v>
      </c>
      <c r="F83" s="1125">
        <v>2450</v>
      </c>
      <c r="H83" s="1129"/>
    </row>
    <row r="84" spans="1:8" s="1107" customFormat="1" ht="14.25" customHeight="1">
      <c r="A84" s="1112" t="s">
        <v>96</v>
      </c>
      <c r="B84" s="1117" t="s">
        <v>541</v>
      </c>
      <c r="C84" s="1117">
        <v>14950</v>
      </c>
      <c r="D84" s="1117">
        <v>14810</v>
      </c>
      <c r="E84" s="1117">
        <v>12590</v>
      </c>
      <c r="F84" s="1125">
        <v>2540</v>
      </c>
      <c r="H84" s="1129"/>
    </row>
    <row r="85" spans="1:8" s="1107" customFormat="1" ht="14.25" customHeight="1">
      <c r="A85" s="1112" t="s">
        <v>96</v>
      </c>
      <c r="B85" s="1117" t="s">
        <v>542</v>
      </c>
      <c r="C85" s="1117">
        <v>14960</v>
      </c>
      <c r="D85" s="1117">
        <v>14890</v>
      </c>
      <c r="E85" s="1117">
        <v>12840</v>
      </c>
      <c r="F85" s="1125">
        <v>2840</v>
      </c>
      <c r="H85" s="1129"/>
    </row>
    <row r="86" spans="1:8" s="1107" customFormat="1" ht="14.25" customHeight="1">
      <c r="A86" s="1112" t="s">
        <v>96</v>
      </c>
      <c r="B86" s="1117" t="s">
        <v>543</v>
      </c>
      <c r="C86" s="1117">
        <v>12730</v>
      </c>
      <c r="D86" s="1117">
        <v>12660</v>
      </c>
      <c r="E86" s="1117">
        <v>13310</v>
      </c>
      <c r="F86" s="1125">
        <v>3140</v>
      </c>
      <c r="H86" s="1129"/>
    </row>
    <row r="87" spans="1:8" s="1107" customFormat="1" ht="14.25" customHeight="1">
      <c r="A87" s="1112" t="s">
        <v>96</v>
      </c>
      <c r="B87" s="1117" t="s">
        <v>544</v>
      </c>
      <c r="C87" s="1117">
        <v>12940</v>
      </c>
      <c r="D87" s="1117">
        <v>12890</v>
      </c>
      <c r="E87" s="1117">
        <v>11580</v>
      </c>
      <c r="F87" s="21"/>
      <c r="H87" s="1129"/>
    </row>
    <row r="88" spans="1:8" s="1107" customFormat="1" ht="14.25" customHeight="1">
      <c r="A88" s="1112" t="s">
        <v>96</v>
      </c>
      <c r="B88" s="1117" t="s">
        <v>545</v>
      </c>
      <c r="C88" s="1117">
        <v>13430</v>
      </c>
      <c r="D88" s="1117">
        <v>13360</v>
      </c>
      <c r="E88" s="1117">
        <v>12790</v>
      </c>
      <c r="F88" s="21"/>
      <c r="H88" s="1129"/>
    </row>
    <row r="89" spans="1:8" s="1107" customFormat="1" ht="14.25" customHeight="1">
      <c r="A89" s="1112" t="s">
        <v>96</v>
      </c>
      <c r="B89" s="1117" t="s">
        <v>546</v>
      </c>
      <c r="C89" s="1117">
        <v>11680</v>
      </c>
      <c r="D89" s="1117">
        <v>11630</v>
      </c>
      <c r="E89" s="1117">
        <v>11320</v>
      </c>
      <c r="F89" s="21"/>
      <c r="H89" s="1129"/>
    </row>
    <row r="90" spans="1:8" s="1107" customFormat="1" ht="14.25" customHeight="1">
      <c r="A90" s="1112" t="s">
        <v>96</v>
      </c>
      <c r="B90" s="1117" t="s">
        <v>547</v>
      </c>
      <c r="C90" s="1117">
        <v>12890</v>
      </c>
      <c r="D90" s="1117">
        <v>12820</v>
      </c>
      <c r="E90" s="1117">
        <v>12710</v>
      </c>
      <c r="F90" s="21"/>
      <c r="H90" s="1129"/>
    </row>
    <row r="91" spans="1:8" s="1107" customFormat="1" ht="14.25" customHeight="1">
      <c r="A91" s="1112" t="s">
        <v>96</v>
      </c>
      <c r="B91" s="1117" t="s">
        <v>548</v>
      </c>
      <c r="C91" s="1117">
        <v>11410</v>
      </c>
      <c r="D91" s="1117">
        <v>11360</v>
      </c>
      <c r="E91" s="1117">
        <v>12670</v>
      </c>
      <c r="F91" s="21"/>
      <c r="H91" s="1129"/>
    </row>
    <row r="92" spans="1:8" s="1107" customFormat="1" ht="14.25" customHeight="1">
      <c r="A92" s="1112" t="s">
        <v>96</v>
      </c>
      <c r="B92" s="1117" t="s">
        <v>549</v>
      </c>
      <c r="C92" s="1117">
        <v>12770</v>
      </c>
      <c r="D92" s="1117">
        <v>12740</v>
      </c>
      <c r="E92" s="1117">
        <v>11970</v>
      </c>
      <c r="F92" s="21"/>
      <c r="H92" s="1129"/>
    </row>
    <row r="93" spans="1:8" s="1107" customFormat="1" ht="14.25" customHeight="1">
      <c r="A93" s="1112" t="s">
        <v>96</v>
      </c>
      <c r="B93" s="1117" t="s">
        <v>550</v>
      </c>
      <c r="C93" s="1117">
        <v>12740</v>
      </c>
      <c r="D93" s="1117">
        <v>12700</v>
      </c>
      <c r="E93" s="1117">
        <v>12540</v>
      </c>
      <c r="F93" s="21"/>
      <c r="H93" s="1129"/>
    </row>
    <row r="94" spans="1:8" s="1107" customFormat="1" ht="14.25" customHeight="1">
      <c r="A94" s="1112" t="s">
        <v>96</v>
      </c>
      <c r="B94" s="1117" t="s">
        <v>551</v>
      </c>
      <c r="C94" s="1117">
        <v>12020</v>
      </c>
      <c r="D94" s="1117">
        <v>11990</v>
      </c>
      <c r="E94" s="1117">
        <v>13110</v>
      </c>
      <c r="F94" s="21"/>
      <c r="H94" s="1129"/>
    </row>
    <row r="95" spans="1:8" s="1107" customFormat="1" ht="14.25" customHeight="1">
      <c r="A95" s="1112" t="s">
        <v>96</v>
      </c>
      <c r="B95" s="1117" t="s">
        <v>552</v>
      </c>
      <c r="C95" s="1117">
        <v>12620</v>
      </c>
      <c r="D95" s="1117">
        <v>12580</v>
      </c>
      <c r="E95" s="1117">
        <v>13160</v>
      </c>
      <c r="F95" s="1125"/>
      <c r="H95" s="1129"/>
    </row>
    <row r="96" spans="1:8" s="1107" customFormat="1" ht="14.25" customHeight="1">
      <c r="A96" s="1112" t="s">
        <v>96</v>
      </c>
      <c r="B96" s="1117" t="s">
        <v>553</v>
      </c>
      <c r="C96" s="1117">
        <v>13200</v>
      </c>
      <c r="D96" s="1117">
        <v>13150</v>
      </c>
      <c r="E96" s="1117">
        <v>12900</v>
      </c>
      <c r="F96" s="1125"/>
      <c r="H96" s="1129"/>
    </row>
    <row r="97" spans="1:8" s="1107" customFormat="1" ht="14.25" customHeight="1">
      <c r="A97" s="1112" t="s">
        <v>96</v>
      </c>
      <c r="B97" s="1117" t="s">
        <v>554</v>
      </c>
      <c r="C97" s="1117">
        <v>13270</v>
      </c>
      <c r="D97" s="1117">
        <v>13210</v>
      </c>
      <c r="E97" s="1117">
        <v>11080</v>
      </c>
      <c r="F97" s="1125"/>
      <c r="H97" s="1129"/>
    </row>
    <row r="98" spans="1:8" s="1107" customFormat="1" ht="14.25" customHeight="1">
      <c r="A98" s="1112" t="s">
        <v>96</v>
      </c>
      <c r="B98" s="1117" t="s">
        <v>555</v>
      </c>
      <c r="C98" s="1117">
        <v>13010</v>
      </c>
      <c r="D98" s="1117">
        <v>12930</v>
      </c>
      <c r="E98" s="1117">
        <v>12840</v>
      </c>
      <c r="F98" s="1125"/>
      <c r="H98" s="1129"/>
    </row>
    <row r="99" spans="1:8" s="1107" customFormat="1" ht="14.25" customHeight="1">
      <c r="A99" s="1112" t="s">
        <v>96</v>
      </c>
      <c r="B99" s="1117" t="s">
        <v>556</v>
      </c>
      <c r="C99" s="1117">
        <v>11190</v>
      </c>
      <c r="D99" s="1117">
        <v>11130</v>
      </c>
      <c r="E99" s="1117"/>
      <c r="F99" s="1125"/>
      <c r="H99" s="1129"/>
    </row>
    <row r="100" spans="1:8" s="1107" customFormat="1" ht="14.25" customHeight="1">
      <c r="A100" s="1112" t="s">
        <v>96</v>
      </c>
      <c r="B100" s="1117" t="s">
        <v>557</v>
      </c>
      <c r="C100" s="1117">
        <v>14280</v>
      </c>
      <c r="D100" s="1117">
        <v>14180</v>
      </c>
      <c r="E100" s="1117"/>
      <c r="F100" s="1125"/>
      <c r="H100" s="1129"/>
    </row>
    <row r="101" spans="1:8" s="1107" customFormat="1" ht="14.25" customHeight="1">
      <c r="A101" s="1112" t="s">
        <v>96</v>
      </c>
      <c r="B101" s="1117" t="s">
        <v>558</v>
      </c>
      <c r="C101" s="1117">
        <v>12960</v>
      </c>
      <c r="D101" s="1117">
        <v>12890</v>
      </c>
      <c r="E101" s="1117"/>
      <c r="F101" s="1125"/>
      <c r="H101" s="1129"/>
    </row>
    <row r="102" spans="1:8" s="1107" customFormat="1" ht="14.25" customHeight="1">
      <c r="A102" s="1112" t="s">
        <v>96</v>
      </c>
      <c r="B102" s="1117" t="s">
        <v>559</v>
      </c>
      <c r="C102" s="1117"/>
      <c r="D102" s="1117"/>
      <c r="E102" s="1117"/>
      <c r="F102" s="1125">
        <v>3100</v>
      </c>
      <c r="H102" s="1129"/>
    </row>
    <row r="103" spans="1:8" s="1107" customFormat="1" ht="14.25" customHeight="1">
      <c r="A103" s="1112" t="s">
        <v>96</v>
      </c>
      <c r="B103" s="1117" t="s">
        <v>560</v>
      </c>
      <c r="C103" s="1117"/>
      <c r="D103" s="1117"/>
      <c r="E103" s="1117"/>
      <c r="F103" s="1125">
        <v>2320</v>
      </c>
      <c r="H103" s="1129"/>
    </row>
    <row r="104" spans="1:8" s="1107" customFormat="1" ht="14.25" customHeight="1">
      <c r="A104" s="1112" t="s">
        <v>96</v>
      </c>
      <c r="B104" s="1117" t="s">
        <v>561</v>
      </c>
      <c r="C104" s="1117"/>
      <c r="D104" s="1117"/>
      <c r="E104" s="1117"/>
      <c r="F104" s="1125">
        <v>2320</v>
      </c>
      <c r="H104" s="1129"/>
    </row>
    <row r="105" spans="1:8" s="1107" customFormat="1" ht="14.25" customHeight="1">
      <c r="A105" s="1112" t="s">
        <v>96</v>
      </c>
      <c r="B105" s="1117" t="s">
        <v>562</v>
      </c>
      <c r="C105" s="1117"/>
      <c r="D105" s="1117"/>
      <c r="E105" s="1117"/>
      <c r="F105" s="1125">
        <v>2320</v>
      </c>
      <c r="H105" s="1129"/>
    </row>
    <row r="106" spans="1:8" s="1107" customFormat="1" ht="14.25" customHeight="1">
      <c r="A106" s="1112" t="s">
        <v>96</v>
      </c>
      <c r="B106" s="1117" t="s">
        <v>563</v>
      </c>
      <c r="C106" s="1117"/>
      <c r="D106" s="1117"/>
      <c r="E106" s="1117"/>
      <c r="F106" s="1125">
        <v>2320</v>
      </c>
      <c r="H106" s="1129"/>
    </row>
    <row r="107" spans="1:8" s="1107" customFormat="1" ht="14.25" customHeight="1">
      <c r="A107" s="1112" t="s">
        <v>96</v>
      </c>
      <c r="B107" s="1117" t="s">
        <v>564</v>
      </c>
      <c r="C107" s="1117"/>
      <c r="D107" s="1117"/>
      <c r="E107" s="1117"/>
      <c r="F107" s="1125">
        <v>2280</v>
      </c>
      <c r="H107" s="1129"/>
    </row>
    <row r="108" spans="1:8" s="1107" customFormat="1" ht="14.25" customHeight="1">
      <c r="A108" s="1112" t="s">
        <v>96</v>
      </c>
      <c r="B108" s="1117" t="s">
        <v>565</v>
      </c>
      <c r="C108" s="1117"/>
      <c r="D108" s="1117"/>
      <c r="E108" s="1117"/>
      <c r="F108" s="1125">
        <v>2280</v>
      </c>
      <c r="H108" s="1129"/>
    </row>
    <row r="109" spans="1:8" s="1107" customFormat="1" ht="14.25" customHeight="1">
      <c r="A109" s="1112" t="s">
        <v>96</v>
      </c>
      <c r="B109" s="1123" t="s">
        <v>566</v>
      </c>
      <c r="C109" s="1123"/>
      <c r="D109" s="1123"/>
      <c r="E109" s="1123"/>
      <c r="F109" s="1132">
        <v>2280</v>
      </c>
      <c r="H109" s="1129"/>
    </row>
    <row r="110" spans="1:8" s="1107" customFormat="1" ht="14.25" customHeight="1">
      <c r="A110" s="1112" t="s">
        <v>103</v>
      </c>
      <c r="B110" s="1113" t="s">
        <v>567</v>
      </c>
      <c r="C110" s="1113">
        <v>10520</v>
      </c>
      <c r="D110" s="1113">
        <v>10490</v>
      </c>
      <c r="E110" s="1113">
        <v>10760</v>
      </c>
      <c r="F110" s="1114">
        <v>2160</v>
      </c>
      <c r="H110" s="1129"/>
    </row>
    <row r="111" spans="1:8" s="1107" customFormat="1" ht="14.25" customHeight="1">
      <c r="A111" s="1112" t="s">
        <v>103</v>
      </c>
      <c r="B111" s="1117" t="s">
        <v>568</v>
      </c>
      <c r="C111" s="1117">
        <v>10090</v>
      </c>
      <c r="D111" s="1117">
        <v>10060</v>
      </c>
      <c r="E111" s="1117">
        <v>10300</v>
      </c>
      <c r="F111" s="1125">
        <v>2010</v>
      </c>
      <c r="H111" s="1129"/>
    </row>
    <row r="112" spans="1:8" s="1107" customFormat="1" ht="14.25" customHeight="1">
      <c r="A112" s="1112" t="s">
        <v>103</v>
      </c>
      <c r="B112" s="1117" t="s">
        <v>569</v>
      </c>
      <c r="C112" s="1117">
        <v>9910</v>
      </c>
      <c r="D112" s="1117">
        <v>9850</v>
      </c>
      <c r="E112" s="1117">
        <v>9960</v>
      </c>
      <c r="F112" s="1125">
        <v>2090</v>
      </c>
      <c r="H112" s="1129"/>
    </row>
    <row r="113" spans="1:8" s="1107" customFormat="1" ht="14.25" customHeight="1">
      <c r="A113" s="1112" t="s">
        <v>103</v>
      </c>
      <c r="B113" s="1117" t="s">
        <v>570</v>
      </c>
      <c r="C113" s="1117">
        <v>11430</v>
      </c>
      <c r="D113" s="1117">
        <v>11400</v>
      </c>
      <c r="E113" s="1117">
        <v>11710</v>
      </c>
      <c r="F113" s="1125">
        <v>2050</v>
      </c>
      <c r="H113" s="1129"/>
    </row>
    <row r="114" spans="1:8" s="1107" customFormat="1" ht="14.25" customHeight="1">
      <c r="A114" s="1112" t="s">
        <v>103</v>
      </c>
      <c r="B114" s="1117" t="s">
        <v>571</v>
      </c>
      <c r="C114" s="1117">
        <v>11390</v>
      </c>
      <c r="D114" s="1117">
        <v>11350</v>
      </c>
      <c r="E114" s="1117">
        <v>11640</v>
      </c>
      <c r="F114" s="1125">
        <v>1620</v>
      </c>
      <c r="H114" s="1129"/>
    </row>
    <row r="115" spans="1:8" s="1107" customFormat="1" ht="14.25" customHeight="1">
      <c r="A115" s="1112" t="s">
        <v>103</v>
      </c>
      <c r="B115" s="1117" t="s">
        <v>572</v>
      </c>
      <c r="C115" s="1117">
        <v>9930</v>
      </c>
      <c r="D115" s="1117">
        <v>9900</v>
      </c>
      <c r="E115" s="1117">
        <v>10160</v>
      </c>
      <c r="F115" s="1125">
        <v>1580</v>
      </c>
      <c r="H115" s="1129"/>
    </row>
    <row r="116" spans="1:8" s="1107" customFormat="1" ht="14.25" customHeight="1">
      <c r="A116" s="1112" t="s">
        <v>103</v>
      </c>
      <c r="B116" s="1117" t="s">
        <v>573</v>
      </c>
      <c r="C116" s="1117">
        <v>9150</v>
      </c>
      <c r="D116" s="1117">
        <v>9120</v>
      </c>
      <c r="E116" s="1117">
        <v>9380</v>
      </c>
      <c r="F116" s="1125">
        <v>1750</v>
      </c>
      <c r="H116" s="1129"/>
    </row>
    <row r="117" spans="1:8" s="1107" customFormat="1" ht="14.25" customHeight="1">
      <c r="A117" s="1112" t="s">
        <v>103</v>
      </c>
      <c r="B117" s="1117" t="s">
        <v>574</v>
      </c>
      <c r="C117" s="1117">
        <v>10680</v>
      </c>
      <c r="D117" s="1117">
        <v>10650</v>
      </c>
      <c r="E117" s="1117">
        <v>10970</v>
      </c>
      <c r="F117" s="1125">
        <v>1730</v>
      </c>
      <c r="H117" s="1129"/>
    </row>
    <row r="118" spans="1:8" s="1107" customFormat="1" ht="14.25" customHeight="1">
      <c r="A118" s="1112" t="s">
        <v>103</v>
      </c>
      <c r="B118" s="1117" t="s">
        <v>575</v>
      </c>
      <c r="C118" s="1117">
        <v>10080</v>
      </c>
      <c r="D118" s="1117">
        <v>10050</v>
      </c>
      <c r="E118" s="1117">
        <v>10350</v>
      </c>
      <c r="F118" s="1125">
        <v>1920</v>
      </c>
      <c r="H118" s="1129"/>
    </row>
    <row r="119" spans="1:8" s="1107" customFormat="1" ht="14.25" customHeight="1">
      <c r="A119" s="1112" t="s">
        <v>103</v>
      </c>
      <c r="B119" s="1117" t="s">
        <v>576</v>
      </c>
      <c r="C119" s="1117">
        <v>9450</v>
      </c>
      <c r="D119" s="1117">
        <v>9410</v>
      </c>
      <c r="E119" s="1117">
        <v>9680</v>
      </c>
      <c r="F119" s="1125">
        <v>1880</v>
      </c>
      <c r="H119" s="1129"/>
    </row>
    <row r="120" spans="1:8" s="1107" customFormat="1" ht="14.25" customHeight="1">
      <c r="A120" s="1112" t="s">
        <v>103</v>
      </c>
      <c r="B120" s="1117" t="s">
        <v>577</v>
      </c>
      <c r="C120" s="1117">
        <v>8730</v>
      </c>
      <c r="D120" s="1117">
        <v>8700</v>
      </c>
      <c r="E120" s="1117">
        <v>8950</v>
      </c>
      <c r="F120" s="1125">
        <v>1830</v>
      </c>
      <c r="H120" s="1129"/>
    </row>
    <row r="121" spans="1:8" s="1107" customFormat="1" ht="14.25" customHeight="1">
      <c r="A121" s="1112" t="s">
        <v>103</v>
      </c>
      <c r="B121" s="1117" t="s">
        <v>578</v>
      </c>
      <c r="C121" s="1117">
        <v>10070</v>
      </c>
      <c r="D121" s="1117">
        <v>10040</v>
      </c>
      <c r="E121" s="1117">
        <v>10270</v>
      </c>
      <c r="F121" s="1125">
        <v>1960</v>
      </c>
      <c r="H121" s="1129"/>
    </row>
    <row r="122" spans="1:8" s="1107" customFormat="1" ht="14.25" customHeight="1">
      <c r="A122" s="1112" t="s">
        <v>103</v>
      </c>
      <c r="B122" s="1117" t="s">
        <v>579</v>
      </c>
      <c r="C122" s="1117">
        <v>10500</v>
      </c>
      <c r="D122" s="1117">
        <v>10470</v>
      </c>
      <c r="E122" s="1117">
        <v>10780</v>
      </c>
      <c r="F122" s="1125">
        <v>2180</v>
      </c>
      <c r="H122" s="1129"/>
    </row>
    <row r="123" spans="1:8" s="1107" customFormat="1" ht="14.25" customHeight="1">
      <c r="A123" s="1112" t="s">
        <v>103</v>
      </c>
      <c r="B123" s="1117" t="s">
        <v>580</v>
      </c>
      <c r="C123" s="1117">
        <v>10390</v>
      </c>
      <c r="D123" s="1117">
        <v>10360</v>
      </c>
      <c r="E123" s="1117">
        <v>10660</v>
      </c>
      <c r="F123" s="1125">
        <v>2040</v>
      </c>
      <c r="H123" s="1129"/>
    </row>
    <row r="124" spans="1:8" s="1107" customFormat="1" ht="14.25" customHeight="1">
      <c r="A124" s="1112" t="s">
        <v>103</v>
      </c>
      <c r="B124" s="1117" t="s">
        <v>581</v>
      </c>
      <c r="C124" s="1117">
        <v>10390</v>
      </c>
      <c r="D124" s="1117">
        <v>10360</v>
      </c>
      <c r="E124" s="1117">
        <v>10680</v>
      </c>
      <c r="F124" s="21"/>
      <c r="H124" s="1129"/>
    </row>
    <row r="125" spans="1:8" s="1107" customFormat="1" ht="14.25" customHeight="1">
      <c r="A125" s="1112" t="s">
        <v>103</v>
      </c>
      <c r="B125" s="1117" t="s">
        <v>582</v>
      </c>
      <c r="C125" s="1117">
        <v>10440</v>
      </c>
      <c r="D125" s="1117">
        <v>10410</v>
      </c>
      <c r="E125" s="1117">
        <v>10710</v>
      </c>
      <c r="F125" s="21"/>
      <c r="H125" s="1129"/>
    </row>
    <row r="126" spans="1:8" s="1107" customFormat="1" ht="14.25" customHeight="1">
      <c r="A126" s="1112" t="s">
        <v>103</v>
      </c>
      <c r="B126" s="1117" t="s">
        <v>583</v>
      </c>
      <c r="C126" s="1117">
        <v>10780</v>
      </c>
      <c r="D126" s="1117">
        <v>10750</v>
      </c>
      <c r="E126" s="1117">
        <v>11080</v>
      </c>
      <c r="F126" s="21"/>
      <c r="H126" s="1129"/>
    </row>
    <row r="127" spans="1:8" s="1107" customFormat="1" ht="14.25" customHeight="1">
      <c r="A127" s="1112" t="s">
        <v>103</v>
      </c>
      <c r="B127" s="1117" t="s">
        <v>584</v>
      </c>
      <c r="C127" s="1117">
        <v>10100</v>
      </c>
      <c r="D127" s="1117">
        <v>10070</v>
      </c>
      <c r="E127" s="1117">
        <v>10350</v>
      </c>
      <c r="F127" s="21"/>
      <c r="H127" s="1129"/>
    </row>
    <row r="128" spans="1:8" s="1107" customFormat="1" ht="14.25" customHeight="1">
      <c r="A128" s="1112" t="s">
        <v>103</v>
      </c>
      <c r="B128" s="1117" t="s">
        <v>585</v>
      </c>
      <c r="C128" s="1117">
        <v>9200</v>
      </c>
      <c r="D128" s="1117">
        <v>9160</v>
      </c>
      <c r="E128" s="1117">
        <v>9660</v>
      </c>
      <c r="F128" s="21"/>
      <c r="H128" s="1129"/>
    </row>
    <row r="129" spans="1:8" s="1107" customFormat="1" ht="14.25" customHeight="1">
      <c r="A129" s="1112" t="s">
        <v>103</v>
      </c>
      <c r="B129" s="1117" t="s">
        <v>586</v>
      </c>
      <c r="C129" s="1117">
        <v>10340</v>
      </c>
      <c r="D129" s="1117">
        <v>10310</v>
      </c>
      <c r="E129" s="1117">
        <v>10580</v>
      </c>
      <c r="F129" s="21"/>
      <c r="H129" s="1129"/>
    </row>
    <row r="130" spans="1:8" s="1107" customFormat="1" ht="14.25" customHeight="1">
      <c r="A130" s="1112" t="s">
        <v>103</v>
      </c>
      <c r="B130" s="1117" t="s">
        <v>587</v>
      </c>
      <c r="C130" s="1117">
        <v>9680</v>
      </c>
      <c r="D130" s="1117">
        <v>9660</v>
      </c>
      <c r="E130" s="1117">
        <v>9950</v>
      </c>
      <c r="F130" s="21"/>
      <c r="H130" s="1129"/>
    </row>
    <row r="131" spans="1:8" s="1107" customFormat="1" ht="14.25" customHeight="1">
      <c r="A131" s="1112" t="s">
        <v>103</v>
      </c>
      <c r="B131" s="1117" t="s">
        <v>588</v>
      </c>
      <c r="C131" s="1117">
        <v>9540</v>
      </c>
      <c r="D131" s="1117">
        <v>9510</v>
      </c>
      <c r="E131" s="1117">
        <v>9790</v>
      </c>
      <c r="F131" s="21"/>
      <c r="H131" s="1129"/>
    </row>
    <row r="132" spans="1:8" s="1107" customFormat="1" ht="14.25" customHeight="1">
      <c r="A132" s="1112" t="s">
        <v>103</v>
      </c>
      <c r="B132" s="1117" t="s">
        <v>589</v>
      </c>
      <c r="C132" s="1117">
        <v>9320</v>
      </c>
      <c r="D132" s="1117">
        <v>9290</v>
      </c>
      <c r="E132" s="1117">
        <v>9570</v>
      </c>
      <c r="F132" s="21"/>
      <c r="H132" s="1129"/>
    </row>
    <row r="133" spans="1:8" s="1107" customFormat="1" ht="14.25" customHeight="1">
      <c r="A133" s="1112" t="s">
        <v>103</v>
      </c>
      <c r="B133" s="1117" t="s">
        <v>590</v>
      </c>
      <c r="C133" s="1117">
        <v>10310</v>
      </c>
      <c r="D133" s="1117">
        <v>10280</v>
      </c>
      <c r="E133" s="1117">
        <v>10530</v>
      </c>
      <c r="F133" s="21"/>
      <c r="H133" s="1129"/>
    </row>
    <row r="134" spans="1:8" s="1107" customFormat="1" ht="14.25" customHeight="1">
      <c r="A134" s="1112" t="s">
        <v>103</v>
      </c>
      <c r="B134" s="1117" t="s">
        <v>591</v>
      </c>
      <c r="C134" s="1117">
        <v>10370</v>
      </c>
      <c r="D134" s="1117">
        <v>10310</v>
      </c>
      <c r="E134" s="1117">
        <v>10240</v>
      </c>
      <c r="F134" s="1125">
        <v>2060</v>
      </c>
      <c r="H134" s="1129"/>
    </row>
    <row r="135" spans="1:8" s="1107" customFormat="1" ht="14.25" customHeight="1">
      <c r="A135" s="1112" t="s">
        <v>103</v>
      </c>
      <c r="B135" s="1117" t="s">
        <v>592</v>
      </c>
      <c r="C135" s="1117">
        <v>9300</v>
      </c>
      <c r="D135" s="1117">
        <v>9270</v>
      </c>
      <c r="E135" s="1117">
        <v>9350</v>
      </c>
      <c r="F135" s="21"/>
      <c r="H135" s="1129"/>
    </row>
    <row r="136" spans="1:8" s="1107" customFormat="1" ht="14.25" customHeight="1">
      <c r="A136" s="1112" t="s">
        <v>103</v>
      </c>
      <c r="B136" s="1117" t="s">
        <v>593</v>
      </c>
      <c r="C136" s="1117">
        <v>10160</v>
      </c>
      <c r="D136" s="1117">
        <v>10110</v>
      </c>
      <c r="E136" s="1117">
        <v>10080</v>
      </c>
      <c r="F136" s="21"/>
      <c r="H136" s="1129"/>
    </row>
    <row r="137" spans="1:8" s="1107" customFormat="1" ht="14.25" customHeight="1">
      <c r="A137" s="1112" t="s">
        <v>103</v>
      </c>
      <c r="B137" s="1117" t="s">
        <v>594</v>
      </c>
      <c r="C137" s="1117">
        <v>9200</v>
      </c>
      <c r="D137" s="1117">
        <v>9170</v>
      </c>
      <c r="E137" s="1117">
        <v>9450</v>
      </c>
      <c r="F137" s="21"/>
      <c r="H137" s="1129"/>
    </row>
    <row r="138" spans="1:8" s="1107" customFormat="1" ht="14.25" customHeight="1">
      <c r="A138" s="1112" t="s">
        <v>103</v>
      </c>
      <c r="B138" s="1117" t="s">
        <v>595</v>
      </c>
      <c r="C138" s="1117">
        <v>9690</v>
      </c>
      <c r="D138" s="1117">
        <v>9660</v>
      </c>
      <c r="E138" s="1117">
        <v>9840</v>
      </c>
      <c r="F138" s="21"/>
      <c r="H138" s="1129"/>
    </row>
    <row r="139" spans="1:8" s="1107" customFormat="1" ht="14.25" customHeight="1">
      <c r="A139" s="1112" t="s">
        <v>103</v>
      </c>
      <c r="B139" s="1117" t="s">
        <v>596</v>
      </c>
      <c r="C139" s="1117">
        <v>10290</v>
      </c>
      <c r="D139" s="1117">
        <v>10260</v>
      </c>
      <c r="E139" s="1117">
        <v>10550</v>
      </c>
      <c r="F139" s="1125">
        <v>1700</v>
      </c>
      <c r="H139" s="1129"/>
    </row>
    <row r="140" spans="1:8" s="1107" customFormat="1" ht="14.25" customHeight="1">
      <c r="A140" s="1112" t="s">
        <v>103</v>
      </c>
      <c r="B140" s="1117" t="s">
        <v>597</v>
      </c>
      <c r="C140" s="1117">
        <v>9740</v>
      </c>
      <c r="D140" s="1117">
        <v>9710</v>
      </c>
      <c r="E140" s="1117">
        <v>10000</v>
      </c>
      <c r="F140" s="1125">
        <v>2000</v>
      </c>
      <c r="H140" s="1129"/>
    </row>
    <row r="141" spans="1:8" s="1107" customFormat="1" ht="14.25" customHeight="1">
      <c r="A141" s="1112" t="s">
        <v>103</v>
      </c>
      <c r="B141" s="1117" t="s">
        <v>598</v>
      </c>
      <c r="C141" s="1117">
        <v>9810</v>
      </c>
      <c r="D141" s="1117">
        <v>9770</v>
      </c>
      <c r="E141" s="1117">
        <v>10060</v>
      </c>
      <c r="F141" s="21"/>
      <c r="H141" s="1129"/>
    </row>
    <row r="142" spans="1:8" s="1107" customFormat="1" ht="14.25" customHeight="1">
      <c r="A142" s="1112" t="s">
        <v>103</v>
      </c>
      <c r="B142" s="1117" t="s">
        <v>599</v>
      </c>
      <c r="C142" s="1117">
        <v>9300</v>
      </c>
      <c r="D142" s="1117">
        <v>9270</v>
      </c>
      <c r="E142" s="1117">
        <v>9530</v>
      </c>
      <c r="F142" s="21"/>
      <c r="H142" s="1129"/>
    </row>
    <row r="143" spans="1:8" s="1107" customFormat="1" ht="14.25" customHeight="1">
      <c r="A143" s="1112" t="s">
        <v>103</v>
      </c>
      <c r="B143" s="1117" t="s">
        <v>600</v>
      </c>
      <c r="C143" s="1117">
        <v>10080</v>
      </c>
      <c r="D143" s="1117">
        <v>10050</v>
      </c>
      <c r="E143" s="1117">
        <v>10340</v>
      </c>
      <c r="F143" s="21"/>
      <c r="H143" s="1129"/>
    </row>
    <row r="144" spans="1:8" s="1107" customFormat="1" ht="14.25" customHeight="1">
      <c r="A144" s="1112" t="s">
        <v>103</v>
      </c>
      <c r="B144" s="1117" t="s">
        <v>601</v>
      </c>
      <c r="C144" s="1117">
        <v>9820</v>
      </c>
      <c r="D144" s="1117">
        <v>9750</v>
      </c>
      <c r="E144" s="1117">
        <v>9900</v>
      </c>
      <c r="F144" s="21"/>
      <c r="H144" s="1129"/>
    </row>
    <row r="145" spans="1:8" s="1107" customFormat="1" ht="14.25" customHeight="1">
      <c r="A145" s="1112" t="s">
        <v>103</v>
      </c>
      <c r="B145" s="1117" t="s">
        <v>602</v>
      </c>
      <c r="C145" s="1117"/>
      <c r="D145" s="1117"/>
      <c r="E145" s="1117"/>
      <c r="F145" s="1125">
        <v>1740</v>
      </c>
      <c r="H145" s="1129"/>
    </row>
    <row r="146" spans="1:8" s="1107" customFormat="1" ht="14.25" customHeight="1">
      <c r="A146" s="1112" t="s">
        <v>103</v>
      </c>
      <c r="B146" s="1117" t="s">
        <v>603</v>
      </c>
      <c r="C146" s="1117"/>
      <c r="D146" s="1117"/>
      <c r="E146" s="1117"/>
      <c r="F146" s="1125">
        <v>1740</v>
      </c>
      <c r="H146" s="1129"/>
    </row>
    <row r="147" spans="1:8" s="1107" customFormat="1" ht="14.25" customHeight="1">
      <c r="A147" s="1112" t="s">
        <v>103</v>
      </c>
      <c r="B147" s="1117" t="s">
        <v>604</v>
      </c>
      <c r="C147" s="1117"/>
      <c r="D147" s="1117"/>
      <c r="E147" s="1117"/>
      <c r="F147" s="1125">
        <v>1740</v>
      </c>
      <c r="H147" s="1129"/>
    </row>
    <row r="148" spans="1:8" s="1107" customFormat="1" ht="14.25" customHeight="1">
      <c r="A148" s="1112" t="s">
        <v>103</v>
      </c>
      <c r="B148" s="1117" t="s">
        <v>605</v>
      </c>
      <c r="C148" s="1117"/>
      <c r="D148" s="1117"/>
      <c r="E148" s="1117"/>
      <c r="F148" s="1125">
        <v>1740</v>
      </c>
      <c r="H148" s="1129"/>
    </row>
    <row r="149" spans="1:8" s="1107" customFormat="1" ht="14.25" customHeight="1">
      <c r="A149" s="1112" t="s">
        <v>103</v>
      </c>
      <c r="B149" s="1117" t="s">
        <v>606</v>
      </c>
      <c r="C149" s="1117"/>
      <c r="D149" s="1117"/>
      <c r="E149" s="1117"/>
      <c r="F149" s="1125">
        <v>1740</v>
      </c>
      <c r="H149" s="1129"/>
    </row>
    <row r="150" spans="1:8" s="1107" customFormat="1" ht="14.25" customHeight="1">
      <c r="A150" s="1112" t="s">
        <v>103</v>
      </c>
      <c r="B150" s="1117" t="s">
        <v>607</v>
      </c>
      <c r="C150" s="1117"/>
      <c r="D150" s="1117"/>
      <c r="E150" s="1117"/>
      <c r="F150" s="1125">
        <v>1610</v>
      </c>
      <c r="H150" s="1129"/>
    </row>
    <row r="151" spans="1:8" s="1107" customFormat="1" ht="14.25" customHeight="1">
      <c r="A151" s="1112" t="s">
        <v>103</v>
      </c>
      <c r="B151" s="1117" t="s">
        <v>608</v>
      </c>
      <c r="C151" s="1117"/>
      <c r="D151" s="1117"/>
      <c r="E151" s="1117"/>
      <c r="F151" s="1125">
        <v>1610</v>
      </c>
      <c r="H151" s="1129"/>
    </row>
    <row r="152" spans="1:8" s="1107" customFormat="1" ht="14.25" customHeight="1">
      <c r="A152" s="1112" t="s">
        <v>103</v>
      </c>
      <c r="B152" s="1117" t="s">
        <v>609</v>
      </c>
      <c r="C152" s="1117"/>
      <c r="D152" s="1117"/>
      <c r="E152" s="1117"/>
      <c r="F152" s="1125">
        <v>1610</v>
      </c>
      <c r="H152" s="1129"/>
    </row>
    <row r="153" spans="1:8" s="1107" customFormat="1" ht="14.25" customHeight="1">
      <c r="A153" s="1112" t="s">
        <v>103</v>
      </c>
      <c r="B153" s="1117" t="s">
        <v>610</v>
      </c>
      <c r="C153" s="1117"/>
      <c r="D153" s="1117"/>
      <c r="E153" s="1117"/>
      <c r="F153" s="1125">
        <v>1610</v>
      </c>
      <c r="H153" s="1129"/>
    </row>
    <row r="154" spans="1:8" s="1107" customFormat="1" ht="14.25" customHeight="1">
      <c r="A154" s="1112" t="s">
        <v>103</v>
      </c>
      <c r="B154" s="1117" t="s">
        <v>611</v>
      </c>
      <c r="C154" s="1117"/>
      <c r="D154" s="1117"/>
      <c r="E154" s="1117"/>
      <c r="F154" s="1125">
        <v>1610</v>
      </c>
      <c r="H154" s="1129"/>
    </row>
    <row r="155" spans="1:8" s="1107" customFormat="1" ht="14.25" customHeight="1">
      <c r="A155" s="1112" t="s">
        <v>103</v>
      </c>
      <c r="B155" s="1117" t="s">
        <v>612</v>
      </c>
      <c r="C155" s="1117"/>
      <c r="D155" s="1117"/>
      <c r="E155" s="1117"/>
      <c r="F155" s="1125">
        <v>1800</v>
      </c>
      <c r="H155" s="1129"/>
    </row>
    <row r="156" spans="1:8" s="1107" customFormat="1" ht="14.25" customHeight="1">
      <c r="A156" s="1112" t="s">
        <v>103</v>
      </c>
      <c r="B156" s="1117" t="s">
        <v>613</v>
      </c>
      <c r="C156" s="1117"/>
      <c r="D156" s="1117"/>
      <c r="E156" s="1117"/>
      <c r="F156" s="1125">
        <v>1910</v>
      </c>
      <c r="H156" s="1129"/>
    </row>
    <row r="157" spans="1:8" s="1107" customFormat="1" ht="14.25" customHeight="1">
      <c r="A157" s="1112" t="s">
        <v>103</v>
      </c>
      <c r="B157" s="1123" t="s">
        <v>614</v>
      </c>
      <c r="C157" s="1123"/>
      <c r="D157" s="1123"/>
      <c r="E157" s="1123"/>
      <c r="F157" s="1132">
        <v>1500</v>
      </c>
      <c r="H157" s="1129"/>
    </row>
    <row r="158" spans="1:8" s="1107" customFormat="1" ht="14.25" customHeight="1">
      <c r="A158" s="1112" t="s">
        <v>108</v>
      </c>
      <c r="B158" s="1113" t="s">
        <v>615</v>
      </c>
      <c r="C158" s="1113">
        <v>8170</v>
      </c>
      <c r="D158" s="1113">
        <v>8140</v>
      </c>
      <c r="E158" s="1113">
        <v>8590</v>
      </c>
      <c r="F158" s="1114">
        <v>1450</v>
      </c>
      <c r="H158" s="1129"/>
    </row>
    <row r="159" spans="1:8" s="1107" customFormat="1" ht="14.25" customHeight="1">
      <c r="A159" s="1112" t="s">
        <v>108</v>
      </c>
      <c r="B159" s="1117" t="s">
        <v>616</v>
      </c>
      <c r="C159" s="1117">
        <v>7410</v>
      </c>
      <c r="D159" s="1117">
        <v>7370</v>
      </c>
      <c r="E159" s="1117">
        <v>8030</v>
      </c>
      <c r="F159" s="1125">
        <v>1510</v>
      </c>
      <c r="H159" s="1129"/>
    </row>
    <row r="160" spans="1:8" s="1107" customFormat="1" ht="14.25" customHeight="1">
      <c r="A160" s="1112" t="s">
        <v>108</v>
      </c>
      <c r="B160" s="1117" t="s">
        <v>617</v>
      </c>
      <c r="C160" s="1117">
        <v>7240</v>
      </c>
      <c r="D160" s="1117">
        <v>7210</v>
      </c>
      <c r="E160" s="1117">
        <v>7860</v>
      </c>
      <c r="F160" s="1125">
        <v>1370</v>
      </c>
      <c r="H160" s="1129"/>
    </row>
    <row r="161" spans="1:8" s="1107" customFormat="1" ht="14.25" customHeight="1">
      <c r="A161" s="1112" t="s">
        <v>108</v>
      </c>
      <c r="B161" s="1117" t="s">
        <v>618</v>
      </c>
      <c r="C161" s="1117">
        <v>7720</v>
      </c>
      <c r="D161" s="1117">
        <v>7690</v>
      </c>
      <c r="E161" s="1117">
        <v>8200</v>
      </c>
      <c r="F161" s="1125">
        <v>1190</v>
      </c>
      <c r="H161" s="1129"/>
    </row>
    <row r="162" spans="1:8" s="1107" customFormat="1" ht="14.25" customHeight="1">
      <c r="A162" s="1112" t="s">
        <v>108</v>
      </c>
      <c r="B162" s="1117" t="s">
        <v>619</v>
      </c>
      <c r="C162" s="1117">
        <v>6900</v>
      </c>
      <c r="D162" s="1117">
        <v>6870</v>
      </c>
      <c r="E162" s="1117">
        <v>7500</v>
      </c>
      <c r="F162" s="1125">
        <v>1390</v>
      </c>
      <c r="H162" s="1129"/>
    </row>
    <row r="163" spans="1:8" s="1107" customFormat="1" ht="14.25" customHeight="1">
      <c r="A163" s="1112" t="s">
        <v>108</v>
      </c>
      <c r="B163" s="1117" t="s">
        <v>620</v>
      </c>
      <c r="C163" s="1117">
        <v>7120</v>
      </c>
      <c r="D163" s="1117">
        <v>7090</v>
      </c>
      <c r="E163" s="1117">
        <v>7690</v>
      </c>
      <c r="F163" s="1125">
        <v>1230</v>
      </c>
      <c r="H163" s="1129"/>
    </row>
    <row r="164" spans="1:8" s="1107" customFormat="1" ht="14.25" customHeight="1">
      <c r="A164" s="1112" t="s">
        <v>108</v>
      </c>
      <c r="B164" s="1117" t="s">
        <v>621</v>
      </c>
      <c r="C164" s="1117">
        <v>6560</v>
      </c>
      <c r="D164" s="1117">
        <v>6530</v>
      </c>
      <c r="E164" s="1117">
        <v>7110</v>
      </c>
      <c r="F164" s="1125">
        <v>1340</v>
      </c>
      <c r="H164" s="1129"/>
    </row>
    <row r="165" spans="1:8" s="1107" customFormat="1" ht="14.25" customHeight="1">
      <c r="A165" s="1112" t="s">
        <v>108</v>
      </c>
      <c r="B165" s="1117" t="s">
        <v>622</v>
      </c>
      <c r="C165" s="1117">
        <v>7450</v>
      </c>
      <c r="D165" s="1117">
        <v>7430</v>
      </c>
      <c r="E165" s="1117">
        <v>8110</v>
      </c>
      <c r="F165" s="1125">
        <v>1290</v>
      </c>
      <c r="H165" s="1129"/>
    </row>
    <row r="166" spans="1:8" s="1107" customFormat="1" ht="14.25" customHeight="1">
      <c r="A166" s="1112" t="s">
        <v>108</v>
      </c>
      <c r="B166" s="1117" t="s">
        <v>623</v>
      </c>
      <c r="C166" s="1117">
        <v>7490</v>
      </c>
      <c r="D166" s="1117">
        <v>7460</v>
      </c>
      <c r="E166" s="1117">
        <v>8150</v>
      </c>
      <c r="F166" s="1125">
        <v>1350</v>
      </c>
      <c r="H166" s="1129"/>
    </row>
    <row r="167" spans="1:8" s="1107" customFormat="1" ht="14.25" customHeight="1">
      <c r="A167" s="1112" t="s">
        <v>108</v>
      </c>
      <c r="B167" s="1117" t="s">
        <v>624</v>
      </c>
      <c r="C167" s="1117">
        <v>7540</v>
      </c>
      <c r="D167" s="1117">
        <v>7510</v>
      </c>
      <c r="E167" s="1117">
        <v>8030</v>
      </c>
      <c r="F167" s="21"/>
      <c r="H167" s="1129"/>
    </row>
    <row r="168" spans="1:8" s="1107" customFormat="1" ht="14.25" customHeight="1">
      <c r="A168" s="1112" t="s">
        <v>108</v>
      </c>
      <c r="B168" s="1117" t="s">
        <v>625</v>
      </c>
      <c r="C168" s="1117">
        <v>7210</v>
      </c>
      <c r="D168" s="1117">
        <v>7180</v>
      </c>
      <c r="E168" s="1117">
        <v>7830</v>
      </c>
      <c r="F168" s="21"/>
      <c r="H168" s="1129"/>
    </row>
    <row r="169" spans="1:8" s="1107" customFormat="1" ht="14.25" customHeight="1">
      <c r="A169" s="1112" t="s">
        <v>108</v>
      </c>
      <c r="B169" s="1117" t="s">
        <v>626</v>
      </c>
      <c r="C169" s="1117">
        <v>7040</v>
      </c>
      <c r="D169" s="1117">
        <v>7020</v>
      </c>
      <c r="E169" s="1117">
        <v>7670</v>
      </c>
      <c r="F169" s="21"/>
      <c r="H169" s="1129"/>
    </row>
    <row r="170" spans="1:8" s="1107" customFormat="1" ht="14.25" customHeight="1">
      <c r="A170" s="1112" t="s">
        <v>108</v>
      </c>
      <c r="B170" s="1117" t="s">
        <v>627</v>
      </c>
      <c r="C170" s="1117">
        <v>8040</v>
      </c>
      <c r="D170" s="1117">
        <v>7190</v>
      </c>
      <c r="E170" s="1117">
        <v>7850</v>
      </c>
      <c r="F170" s="21"/>
      <c r="H170" s="1129"/>
    </row>
    <row r="171" spans="1:8" s="1107" customFormat="1" ht="14.25" customHeight="1">
      <c r="A171" s="1112" t="s">
        <v>108</v>
      </c>
      <c r="B171" s="1117" t="s">
        <v>628</v>
      </c>
      <c r="C171" s="1117">
        <v>7860</v>
      </c>
      <c r="D171" s="1117">
        <v>7720</v>
      </c>
      <c r="E171" s="1117">
        <v>8150</v>
      </c>
      <c r="F171" s="1125">
        <v>1110</v>
      </c>
      <c r="H171" s="1129"/>
    </row>
    <row r="172" spans="1:8" s="1107" customFormat="1" ht="14.25" customHeight="1">
      <c r="A172" s="1112" t="s">
        <v>108</v>
      </c>
      <c r="B172" s="1117" t="s">
        <v>629</v>
      </c>
      <c r="C172" s="1117">
        <v>7210</v>
      </c>
      <c r="D172" s="1117">
        <v>7170</v>
      </c>
      <c r="E172" s="1117">
        <v>7320</v>
      </c>
      <c r="F172" s="21"/>
      <c r="H172" s="1129"/>
    </row>
    <row r="173" spans="1:8" s="1107" customFormat="1" ht="14.25" customHeight="1">
      <c r="A173" s="1112" t="s">
        <v>108</v>
      </c>
      <c r="B173" s="1117" t="s">
        <v>630</v>
      </c>
      <c r="C173" s="1117">
        <v>6860</v>
      </c>
      <c r="D173" s="1117">
        <v>6810</v>
      </c>
      <c r="E173" s="1117">
        <v>7440</v>
      </c>
      <c r="F173" s="21"/>
      <c r="H173" s="1129"/>
    </row>
    <row r="174" spans="1:8" s="1107" customFormat="1" ht="14.25" customHeight="1">
      <c r="A174" s="1112" t="s">
        <v>108</v>
      </c>
      <c r="B174" s="1117" t="s">
        <v>631</v>
      </c>
      <c r="C174" s="1117">
        <v>7120</v>
      </c>
      <c r="D174" s="1117">
        <v>7090</v>
      </c>
      <c r="E174" s="1117">
        <v>7500</v>
      </c>
      <c r="F174" s="1125">
        <v>1490</v>
      </c>
      <c r="H174" s="1129"/>
    </row>
    <row r="175" spans="1:8" s="1107" customFormat="1" ht="14.25" customHeight="1">
      <c r="A175" s="1112" t="s">
        <v>108</v>
      </c>
      <c r="B175" s="1117" t="s">
        <v>632</v>
      </c>
      <c r="C175" s="1117">
        <v>7850</v>
      </c>
      <c r="D175" s="1117">
        <v>7820</v>
      </c>
      <c r="E175" s="1117">
        <v>8120</v>
      </c>
      <c r="F175" s="1125">
        <v>1530</v>
      </c>
      <c r="H175" s="1129"/>
    </row>
    <row r="176" spans="1:8" s="1107" customFormat="1" ht="14.25" customHeight="1">
      <c r="A176" s="1112" t="s">
        <v>108</v>
      </c>
      <c r="B176" s="1117" t="s">
        <v>633</v>
      </c>
      <c r="C176" s="1117">
        <v>7620</v>
      </c>
      <c r="D176" s="1117">
        <v>7570</v>
      </c>
      <c r="E176" s="1117">
        <v>7990</v>
      </c>
      <c r="F176" s="1125">
        <v>1480</v>
      </c>
      <c r="H176" s="1129"/>
    </row>
    <row r="177" spans="1:8" s="1107" customFormat="1" ht="14.25" customHeight="1">
      <c r="A177" s="1112" t="s">
        <v>108</v>
      </c>
      <c r="B177" s="1117" t="s">
        <v>634</v>
      </c>
      <c r="C177" s="1117">
        <v>8590</v>
      </c>
      <c r="D177" s="1117">
        <v>8570</v>
      </c>
      <c r="E177" s="1117">
        <v>8740</v>
      </c>
      <c r="F177" s="1125">
        <v>1540</v>
      </c>
      <c r="H177" s="1129"/>
    </row>
    <row r="178" spans="1:8" s="1107" customFormat="1" ht="14.25" customHeight="1">
      <c r="A178" s="1112" t="s">
        <v>108</v>
      </c>
      <c r="B178" s="1117" t="s">
        <v>635</v>
      </c>
      <c r="C178" s="1117">
        <v>7510</v>
      </c>
      <c r="D178" s="1117">
        <v>7470</v>
      </c>
      <c r="E178" s="1117">
        <v>8090</v>
      </c>
      <c r="F178" s="1125">
        <v>1320</v>
      </c>
      <c r="H178" s="1129"/>
    </row>
    <row r="179" spans="1:8" s="1107" customFormat="1" ht="14.25" customHeight="1">
      <c r="A179" s="1112" t="s">
        <v>108</v>
      </c>
      <c r="B179" s="1117" t="s">
        <v>636</v>
      </c>
      <c r="C179" s="1117">
        <v>6380</v>
      </c>
      <c r="D179" s="1117">
        <v>6340</v>
      </c>
      <c r="E179" s="1117">
        <v>6810</v>
      </c>
      <c r="F179" s="21"/>
      <c r="H179" s="1129"/>
    </row>
    <row r="180" spans="1:8" s="1107" customFormat="1" ht="14.25" customHeight="1">
      <c r="A180" s="1112" t="s">
        <v>108</v>
      </c>
      <c r="B180" s="1117" t="s">
        <v>637</v>
      </c>
      <c r="C180" s="1117">
        <v>7830</v>
      </c>
      <c r="D180" s="1117">
        <v>7800</v>
      </c>
      <c r="E180" s="1117">
        <v>7780</v>
      </c>
      <c r="F180" s="1125">
        <v>1440</v>
      </c>
      <c r="H180" s="1129"/>
    </row>
    <row r="181" spans="1:8" s="1107" customFormat="1" ht="14.25" customHeight="1">
      <c r="A181" s="1112" t="s">
        <v>108</v>
      </c>
      <c r="B181" s="1117" t="s">
        <v>638</v>
      </c>
      <c r="C181" s="1117">
        <v>7110</v>
      </c>
      <c r="D181" s="1117">
        <v>7080</v>
      </c>
      <c r="E181" s="1117">
        <v>7730</v>
      </c>
      <c r="F181" s="1125">
        <v>1350</v>
      </c>
      <c r="H181" s="1129"/>
    </row>
    <row r="182" spans="1:8" s="1107" customFormat="1" ht="14.25" customHeight="1">
      <c r="A182" s="1112" t="s">
        <v>108</v>
      </c>
      <c r="B182" s="1117" t="s">
        <v>639</v>
      </c>
      <c r="C182" s="1117">
        <v>7310</v>
      </c>
      <c r="D182" s="1117">
        <v>7280</v>
      </c>
      <c r="E182" s="1117">
        <v>7950</v>
      </c>
      <c r="F182" s="1125">
        <v>1220</v>
      </c>
      <c r="H182" s="1129"/>
    </row>
    <row r="183" spans="1:8" s="1107" customFormat="1" ht="14.25" customHeight="1">
      <c r="A183" s="1112" t="s">
        <v>108</v>
      </c>
      <c r="B183" s="1117" t="s">
        <v>640</v>
      </c>
      <c r="C183" s="1117">
        <v>7470</v>
      </c>
      <c r="D183" s="1117">
        <v>7440</v>
      </c>
      <c r="E183" s="1117">
        <v>7880</v>
      </c>
      <c r="F183" s="21"/>
      <c r="H183" s="1129"/>
    </row>
    <row r="184" spans="1:8" s="1107" customFormat="1" ht="14.25" customHeight="1">
      <c r="A184" s="1112" t="s">
        <v>108</v>
      </c>
      <c r="B184" s="1117" t="s">
        <v>641</v>
      </c>
      <c r="C184" s="1117">
        <v>6960</v>
      </c>
      <c r="D184" s="1117">
        <v>6930</v>
      </c>
      <c r="E184" s="1117">
        <v>7570</v>
      </c>
      <c r="F184" s="21"/>
      <c r="H184" s="1129"/>
    </row>
    <row r="185" spans="1:8" s="1107" customFormat="1" ht="14.25" customHeight="1">
      <c r="A185" s="1112" t="s">
        <v>108</v>
      </c>
      <c r="B185" s="1117" t="s">
        <v>642</v>
      </c>
      <c r="C185" s="1117">
        <v>7260</v>
      </c>
      <c r="D185" s="1117">
        <v>7230</v>
      </c>
      <c r="E185" s="1117">
        <v>7710</v>
      </c>
      <c r="F185" s="1125">
        <v>1360</v>
      </c>
      <c r="H185" s="1129"/>
    </row>
    <row r="186" spans="1:8" s="1107" customFormat="1" ht="14.25" customHeight="1">
      <c r="A186" s="1112" t="s">
        <v>108</v>
      </c>
      <c r="B186" s="1117" t="s">
        <v>643</v>
      </c>
      <c r="C186" s="1117"/>
      <c r="D186" s="1117"/>
      <c r="E186" s="1117"/>
      <c r="F186" s="1125">
        <v>1560</v>
      </c>
      <c r="H186" s="1129"/>
    </row>
    <row r="187" spans="1:8" s="1107" customFormat="1" ht="14.25" customHeight="1">
      <c r="A187" s="1112" t="s">
        <v>108</v>
      </c>
      <c r="B187" s="1117" t="s">
        <v>644</v>
      </c>
      <c r="C187" s="1117"/>
      <c r="D187" s="1117"/>
      <c r="E187" s="1117"/>
      <c r="F187" s="1125">
        <v>1560</v>
      </c>
      <c r="H187" s="1129"/>
    </row>
    <row r="188" spans="1:8" s="1107" customFormat="1" ht="14.25" customHeight="1">
      <c r="A188" s="1112" t="s">
        <v>108</v>
      </c>
      <c r="B188" s="1117" t="s">
        <v>645</v>
      </c>
      <c r="C188" s="1117"/>
      <c r="D188" s="1117"/>
      <c r="E188" s="1117"/>
      <c r="F188" s="1125">
        <v>1560</v>
      </c>
      <c r="H188" s="1129"/>
    </row>
    <row r="189" spans="1:8" s="1107" customFormat="1" ht="14.25" customHeight="1">
      <c r="A189" s="1112" t="s">
        <v>108</v>
      </c>
      <c r="B189" s="1117" t="s">
        <v>646</v>
      </c>
      <c r="C189" s="1117"/>
      <c r="D189" s="1117"/>
      <c r="E189" s="1117"/>
      <c r="F189" s="1125">
        <v>1320</v>
      </c>
      <c r="H189" s="1129"/>
    </row>
    <row r="190" spans="1:8" s="1107" customFormat="1" ht="14.25" customHeight="1">
      <c r="A190" s="1112" t="s">
        <v>108</v>
      </c>
      <c r="B190" s="1117" t="s">
        <v>647</v>
      </c>
      <c r="C190" s="1117"/>
      <c r="D190" s="1117"/>
      <c r="E190" s="1117"/>
      <c r="F190" s="1125">
        <v>1320</v>
      </c>
      <c r="H190" s="1129"/>
    </row>
    <row r="191" spans="1:8" s="1107" customFormat="1" ht="14.25" customHeight="1">
      <c r="A191" s="1112" t="s">
        <v>108</v>
      </c>
      <c r="B191" s="1117" t="s">
        <v>648</v>
      </c>
      <c r="C191" s="1117"/>
      <c r="D191" s="1117"/>
      <c r="E191" s="1117"/>
      <c r="F191" s="1125">
        <v>1320</v>
      </c>
      <c r="H191" s="1129"/>
    </row>
    <row r="192" spans="1:8" s="1107" customFormat="1" ht="14.25" customHeight="1">
      <c r="A192" s="1112" t="s">
        <v>108</v>
      </c>
      <c r="B192" s="1117" t="s">
        <v>649</v>
      </c>
      <c r="C192" s="1117"/>
      <c r="D192" s="1117"/>
      <c r="E192" s="1117"/>
      <c r="F192" s="1125">
        <v>1100</v>
      </c>
      <c r="H192" s="1129"/>
    </row>
    <row r="193" spans="1:8" s="1107" customFormat="1" ht="14.25" customHeight="1">
      <c r="A193" s="1112" t="s">
        <v>108</v>
      </c>
      <c r="B193" s="1117" t="s">
        <v>650</v>
      </c>
      <c r="C193" s="1117"/>
      <c r="D193" s="1117"/>
      <c r="E193" s="1117"/>
      <c r="F193" s="1125">
        <v>1100</v>
      </c>
      <c r="H193" s="1129"/>
    </row>
    <row r="194" spans="1:8" s="1107" customFormat="1" ht="14.25" customHeight="1">
      <c r="A194" s="1112" t="s">
        <v>108</v>
      </c>
      <c r="B194" s="1117" t="s">
        <v>651</v>
      </c>
      <c r="C194" s="1117"/>
      <c r="D194" s="1117"/>
      <c r="E194" s="1117"/>
      <c r="F194" s="1125">
        <v>1080</v>
      </c>
      <c r="H194" s="1129"/>
    </row>
    <row r="195" spans="1:8" s="1107" customFormat="1" ht="14.25" customHeight="1">
      <c r="A195" s="1112" t="s">
        <v>108</v>
      </c>
      <c r="B195" s="1117" t="s">
        <v>652</v>
      </c>
      <c r="C195" s="1117"/>
      <c r="D195" s="1117"/>
      <c r="E195" s="1117"/>
      <c r="F195" s="1125">
        <v>1270</v>
      </c>
      <c r="H195" s="1129"/>
    </row>
    <row r="196" spans="1:8" s="1107" customFormat="1" ht="14.25" customHeight="1">
      <c r="A196" s="1112" t="s">
        <v>108</v>
      </c>
      <c r="B196" s="1117" t="s">
        <v>653</v>
      </c>
      <c r="C196" s="1117"/>
      <c r="D196" s="1117"/>
      <c r="E196" s="1117"/>
      <c r="F196" s="1125">
        <v>1150</v>
      </c>
      <c r="H196" s="1129"/>
    </row>
    <row r="197" spans="1:8" s="1107" customFormat="1" ht="14.25" customHeight="1">
      <c r="A197" s="1112" t="s">
        <v>108</v>
      </c>
      <c r="B197" s="1117" t="s">
        <v>654</v>
      </c>
      <c r="C197" s="1117"/>
      <c r="D197" s="1117"/>
      <c r="E197" s="1117"/>
      <c r="F197" s="1125">
        <v>1330</v>
      </c>
      <c r="H197" s="1129"/>
    </row>
    <row r="198" spans="1:8" s="1107" customFormat="1" ht="14.25" customHeight="1">
      <c r="A198" s="1112" t="s">
        <v>108</v>
      </c>
      <c r="B198" s="1117" t="s">
        <v>655</v>
      </c>
      <c r="C198" s="1117"/>
      <c r="D198" s="1117"/>
      <c r="E198" s="1117"/>
      <c r="F198" s="1125">
        <v>1170</v>
      </c>
      <c r="H198" s="1129"/>
    </row>
    <row r="199" spans="1:8" s="1107" customFormat="1" ht="14.25" customHeight="1">
      <c r="A199" s="1112" t="s">
        <v>108</v>
      </c>
      <c r="B199" s="1117" t="s">
        <v>656</v>
      </c>
      <c r="C199" s="1117"/>
      <c r="D199" s="1117"/>
      <c r="E199" s="1117"/>
      <c r="F199" s="1125">
        <v>1120</v>
      </c>
      <c r="H199" s="1129"/>
    </row>
    <row r="200" spans="1:8" s="1107" customFormat="1" ht="14.25" customHeight="1">
      <c r="A200" s="1112" t="s">
        <v>108</v>
      </c>
      <c r="B200" s="1117" t="s">
        <v>657</v>
      </c>
      <c r="C200" s="1117"/>
      <c r="D200" s="1117"/>
      <c r="E200" s="1117"/>
      <c r="F200" s="1125">
        <v>1120</v>
      </c>
      <c r="H200" s="1129"/>
    </row>
    <row r="201" spans="1:8" s="1107" customFormat="1" ht="14.25" customHeight="1">
      <c r="A201" s="1112" t="s">
        <v>108</v>
      </c>
      <c r="B201" s="1117" t="s">
        <v>658</v>
      </c>
      <c r="C201" s="1117"/>
      <c r="D201" s="1117"/>
      <c r="E201" s="1117"/>
      <c r="F201" s="1125">
        <v>1540</v>
      </c>
      <c r="H201" s="1129"/>
    </row>
    <row r="202" spans="1:8" s="1107" customFormat="1" ht="14.25" customHeight="1">
      <c r="A202" s="1112" t="s">
        <v>108</v>
      </c>
      <c r="B202" s="1117" t="s">
        <v>659</v>
      </c>
      <c r="C202" s="1117"/>
      <c r="D202" s="1117"/>
      <c r="E202" s="1117"/>
      <c r="F202" s="1125">
        <v>1310</v>
      </c>
      <c r="H202" s="1129"/>
    </row>
    <row r="203" spans="1:8" s="1107" customFormat="1" ht="14.25" customHeight="1">
      <c r="A203" s="1112" t="s">
        <v>108</v>
      </c>
      <c r="B203" s="1117" t="s">
        <v>660</v>
      </c>
      <c r="C203" s="1117"/>
      <c r="D203" s="1117"/>
      <c r="E203" s="1117"/>
      <c r="F203" s="1125">
        <v>1310</v>
      </c>
      <c r="H203" s="1129"/>
    </row>
    <row r="204" spans="1:8" s="1107" customFormat="1" ht="14.25" customHeight="1">
      <c r="A204" s="1112" t="s">
        <v>108</v>
      </c>
      <c r="B204" s="1117" t="s">
        <v>661</v>
      </c>
      <c r="C204" s="1117"/>
      <c r="D204" s="1117"/>
      <c r="E204" s="1117"/>
      <c r="F204" s="1125">
        <v>1080</v>
      </c>
      <c r="H204" s="1129"/>
    </row>
    <row r="205" spans="1:8" s="1107" customFormat="1" ht="14.25" customHeight="1">
      <c r="A205" s="1112" t="s">
        <v>108</v>
      </c>
      <c r="B205" s="1117" t="s">
        <v>662</v>
      </c>
      <c r="C205" s="1117"/>
      <c r="D205" s="1117"/>
      <c r="E205" s="1117"/>
      <c r="F205" s="1125">
        <v>1080</v>
      </c>
      <c r="H205" s="1129"/>
    </row>
    <row r="206" spans="1:8" s="1107" customFormat="1" ht="14.25" customHeight="1">
      <c r="A206" s="1112" t="s">
        <v>113</v>
      </c>
      <c r="B206" s="1113" t="s">
        <v>663</v>
      </c>
      <c r="C206" s="1113">
        <v>5450</v>
      </c>
      <c r="D206" s="1113">
        <v>5430</v>
      </c>
      <c r="E206" s="1113">
        <v>5700</v>
      </c>
      <c r="F206" s="1114">
        <v>1020</v>
      </c>
      <c r="H206" s="1129"/>
    </row>
    <row r="207" spans="1:8" s="1107" customFormat="1" ht="14.25" customHeight="1">
      <c r="A207" s="1112" t="s">
        <v>113</v>
      </c>
      <c r="B207" s="1117" t="s">
        <v>664</v>
      </c>
      <c r="C207" s="1117">
        <v>5860</v>
      </c>
      <c r="D207" s="1117">
        <v>5820</v>
      </c>
      <c r="E207" s="1117">
        <v>6050</v>
      </c>
      <c r="F207" s="1125">
        <v>1080</v>
      </c>
      <c r="H207" s="1129"/>
    </row>
    <row r="208" spans="1:8" s="1107" customFormat="1" ht="14.25" customHeight="1">
      <c r="A208" s="1112" t="s">
        <v>113</v>
      </c>
      <c r="B208" s="1117" t="s">
        <v>665</v>
      </c>
      <c r="C208" s="1117">
        <v>4630</v>
      </c>
      <c r="D208" s="1117">
        <v>4600</v>
      </c>
      <c r="E208" s="1117">
        <v>4840</v>
      </c>
      <c r="F208" s="1125">
        <v>900</v>
      </c>
      <c r="H208" s="1129"/>
    </row>
    <row r="209" spans="1:8" s="1107" customFormat="1" ht="14.25" customHeight="1">
      <c r="A209" s="1112" t="s">
        <v>113</v>
      </c>
      <c r="B209" s="1117" t="s">
        <v>666</v>
      </c>
      <c r="C209" s="1117">
        <v>5320</v>
      </c>
      <c r="D209" s="1117">
        <v>5270</v>
      </c>
      <c r="E209" s="1117">
        <v>5540</v>
      </c>
      <c r="F209" s="1125">
        <v>980</v>
      </c>
      <c r="H209" s="1129"/>
    </row>
    <row r="210" spans="1:8" s="1107" customFormat="1" ht="14.25" customHeight="1">
      <c r="A210" s="1112" t="s">
        <v>113</v>
      </c>
      <c r="B210" s="1117" t="s">
        <v>667</v>
      </c>
      <c r="C210" s="1117">
        <v>5760</v>
      </c>
      <c r="D210" s="1117">
        <v>5710</v>
      </c>
      <c r="E210" s="1117">
        <v>6010</v>
      </c>
      <c r="F210" s="1125">
        <v>870</v>
      </c>
      <c r="H210" s="1129"/>
    </row>
    <row r="211" spans="1:8" s="1107" customFormat="1" ht="14.25" customHeight="1">
      <c r="A211" s="1112" t="s">
        <v>113</v>
      </c>
      <c r="B211" s="1117" t="s">
        <v>668</v>
      </c>
      <c r="C211" s="1117">
        <v>4160</v>
      </c>
      <c r="D211" s="1117">
        <v>4100</v>
      </c>
      <c r="E211" s="1117">
        <v>4270</v>
      </c>
      <c r="F211" s="1125">
        <v>790</v>
      </c>
      <c r="H211" s="1129"/>
    </row>
    <row r="212" spans="1:8" s="1107" customFormat="1" ht="14.25" customHeight="1">
      <c r="A212" s="1112" t="s">
        <v>113</v>
      </c>
      <c r="B212" s="1117" t="s">
        <v>669</v>
      </c>
      <c r="C212" s="1117">
        <v>4880</v>
      </c>
      <c r="D212" s="1117">
        <v>4850</v>
      </c>
      <c r="E212" s="1117">
        <v>5110</v>
      </c>
      <c r="F212" s="1125">
        <v>940</v>
      </c>
      <c r="H212" s="1129"/>
    </row>
    <row r="213" spans="1:8" s="1107" customFormat="1" ht="14.25" customHeight="1">
      <c r="A213" s="1112" t="s">
        <v>113</v>
      </c>
      <c r="B213" s="1117" t="s">
        <v>670</v>
      </c>
      <c r="C213" s="1117">
        <v>4640</v>
      </c>
      <c r="D213" s="1117">
        <v>4590</v>
      </c>
      <c r="E213" s="1117">
        <v>4700</v>
      </c>
      <c r="F213" s="1125">
        <v>1030</v>
      </c>
      <c r="H213" s="1129"/>
    </row>
    <row r="214" spans="1:8" s="1107" customFormat="1" ht="14.25" customHeight="1">
      <c r="A214" s="1112" t="s">
        <v>113</v>
      </c>
      <c r="B214" s="1117" t="s">
        <v>671</v>
      </c>
      <c r="C214" s="1117">
        <v>4540</v>
      </c>
      <c r="D214" s="1117">
        <v>4490</v>
      </c>
      <c r="E214" s="1117">
        <v>4610</v>
      </c>
      <c r="F214" s="21"/>
      <c r="H214" s="1129"/>
    </row>
    <row r="215" spans="1:8" s="1107" customFormat="1" ht="14.25" customHeight="1">
      <c r="A215" s="1112" t="s">
        <v>113</v>
      </c>
      <c r="B215" s="1117" t="s">
        <v>672</v>
      </c>
      <c r="C215" s="1117">
        <v>5280</v>
      </c>
      <c r="D215" s="1117">
        <v>5250</v>
      </c>
      <c r="E215" s="1117">
        <v>5520</v>
      </c>
      <c r="F215" s="1125">
        <v>1000</v>
      </c>
      <c r="H215" s="1129"/>
    </row>
    <row r="216" spans="1:8" s="1107" customFormat="1" ht="14.25" customHeight="1">
      <c r="A216" s="1112" t="s">
        <v>113</v>
      </c>
      <c r="B216" s="1117" t="s">
        <v>673</v>
      </c>
      <c r="C216" s="1117">
        <v>5100</v>
      </c>
      <c r="D216" s="1117">
        <v>5050</v>
      </c>
      <c r="E216" s="1117">
        <v>5300</v>
      </c>
      <c r="F216" s="1125">
        <v>950</v>
      </c>
      <c r="H216" s="1129"/>
    </row>
    <row r="217" spans="1:8" s="1107" customFormat="1" ht="14.25" customHeight="1">
      <c r="A217" s="1112" t="s">
        <v>113</v>
      </c>
      <c r="B217" s="1117" t="s">
        <v>674</v>
      </c>
      <c r="C217" s="1117">
        <v>5370</v>
      </c>
      <c r="D217" s="1117">
        <v>5320</v>
      </c>
      <c r="E217" s="1117">
        <v>5410</v>
      </c>
      <c r="F217" s="1125">
        <v>950</v>
      </c>
      <c r="H217" s="1129"/>
    </row>
    <row r="218" spans="1:8" s="1107" customFormat="1" ht="14.25" customHeight="1">
      <c r="A218" s="1112" t="s">
        <v>113</v>
      </c>
      <c r="B218" s="1117" t="s">
        <v>675</v>
      </c>
      <c r="C218" s="1117">
        <v>5540</v>
      </c>
      <c r="D218" s="1117">
        <v>5480</v>
      </c>
      <c r="E218" s="1117">
        <v>5740</v>
      </c>
      <c r="F218" s="1125">
        <v>1020</v>
      </c>
      <c r="H218" s="1129"/>
    </row>
    <row r="219" spans="1:8" s="1107" customFormat="1" ht="14.25" customHeight="1">
      <c r="A219" s="1112" t="s">
        <v>113</v>
      </c>
      <c r="B219" s="1117" t="s">
        <v>676</v>
      </c>
      <c r="C219" s="1117">
        <v>5140</v>
      </c>
      <c r="D219" s="1117">
        <v>5100</v>
      </c>
      <c r="E219" s="1117">
        <v>5350</v>
      </c>
      <c r="F219" s="1125">
        <v>1120</v>
      </c>
      <c r="H219" s="1129"/>
    </row>
    <row r="220" spans="1:8" s="1107" customFormat="1" ht="14.25" customHeight="1">
      <c r="A220" s="1112" t="s">
        <v>113</v>
      </c>
      <c r="B220" s="1117" t="s">
        <v>677</v>
      </c>
      <c r="C220" s="1117">
        <v>5040</v>
      </c>
      <c r="D220" s="1117">
        <v>5000</v>
      </c>
      <c r="E220" s="1117">
        <v>5240</v>
      </c>
      <c r="F220" s="1125">
        <v>980</v>
      </c>
      <c r="H220" s="1129"/>
    </row>
    <row r="221" spans="1:8" s="1107" customFormat="1" ht="14.25" customHeight="1">
      <c r="A221" s="1112" t="s">
        <v>113</v>
      </c>
      <c r="B221" s="1117" t="s">
        <v>678</v>
      </c>
      <c r="C221" s="23"/>
      <c r="D221" s="23"/>
      <c r="E221" s="23"/>
      <c r="F221" s="1125">
        <v>1070</v>
      </c>
      <c r="H221" s="1129"/>
    </row>
    <row r="222" spans="1:8" s="1107" customFormat="1" ht="14.25" customHeight="1">
      <c r="A222" s="1112" t="s">
        <v>113</v>
      </c>
      <c r="B222" s="1117" t="s">
        <v>679</v>
      </c>
      <c r="C222" s="23"/>
      <c r="D222" s="23"/>
      <c r="E222" s="23"/>
      <c r="F222" s="1125">
        <v>870</v>
      </c>
      <c r="H222" s="1129"/>
    </row>
    <row r="223" spans="1:8" s="1107" customFormat="1" ht="14.25" customHeight="1">
      <c r="A223" s="1112" t="s">
        <v>113</v>
      </c>
      <c r="B223" s="1117" t="s">
        <v>680</v>
      </c>
      <c r="C223" s="23"/>
      <c r="D223" s="23"/>
      <c r="E223" s="23"/>
      <c r="F223" s="1125">
        <v>940</v>
      </c>
      <c r="H223" s="1129"/>
    </row>
    <row r="224" spans="1:8" s="1107" customFormat="1" ht="14.25" customHeight="1">
      <c r="A224" s="1112" t="s">
        <v>113</v>
      </c>
      <c r="B224" s="1117" t="s">
        <v>681</v>
      </c>
      <c r="C224" s="23"/>
      <c r="D224" s="23"/>
      <c r="E224" s="23"/>
      <c r="F224" s="1125">
        <v>990</v>
      </c>
      <c r="H224" s="1129"/>
    </row>
    <row r="225" spans="1:8" s="1107" customFormat="1" ht="14.25" customHeight="1">
      <c r="A225" s="1112" t="s">
        <v>113</v>
      </c>
      <c r="B225" s="1117" t="s">
        <v>682</v>
      </c>
      <c r="C225" s="1117">
        <v>5730</v>
      </c>
      <c r="D225" s="1117">
        <v>5680</v>
      </c>
      <c r="E225" s="1117">
        <v>6020</v>
      </c>
      <c r="F225" s="1125">
        <v>1000</v>
      </c>
      <c r="H225" s="1129"/>
    </row>
    <row r="226" spans="1:8" s="1107" customFormat="1" ht="14.25" customHeight="1">
      <c r="A226" s="1112" t="s">
        <v>113</v>
      </c>
      <c r="B226" s="1117" t="s">
        <v>683</v>
      </c>
      <c r="C226" s="1117">
        <v>4970</v>
      </c>
      <c r="D226" s="1117">
        <v>4940</v>
      </c>
      <c r="E226" s="1117">
        <v>5180</v>
      </c>
      <c r="F226" s="1125">
        <v>960</v>
      </c>
      <c r="H226" s="1129"/>
    </row>
    <row r="227" spans="1:8" s="1107" customFormat="1" ht="14.25" customHeight="1">
      <c r="A227" s="1112" t="s">
        <v>113</v>
      </c>
      <c r="B227" s="1117" t="s">
        <v>684</v>
      </c>
      <c r="C227" s="1117">
        <v>5550</v>
      </c>
      <c r="D227" s="1117">
        <v>5500</v>
      </c>
      <c r="E227" s="1117">
        <v>5780</v>
      </c>
      <c r="F227" s="1125">
        <v>940</v>
      </c>
      <c r="H227" s="1129"/>
    </row>
    <row r="228" spans="1:8" s="1107" customFormat="1" ht="14.25" customHeight="1">
      <c r="A228" s="1112" t="s">
        <v>113</v>
      </c>
      <c r="B228" s="1117" t="s">
        <v>685</v>
      </c>
      <c r="C228" s="1117">
        <v>5460</v>
      </c>
      <c r="D228" s="1117">
        <v>5420</v>
      </c>
      <c r="E228" s="1117">
        <v>5690</v>
      </c>
      <c r="F228" s="1125">
        <v>910</v>
      </c>
      <c r="H228" s="1129"/>
    </row>
    <row r="229" spans="1:8" s="1107" customFormat="1" ht="14.25" customHeight="1">
      <c r="A229" s="1112" t="s">
        <v>113</v>
      </c>
      <c r="B229" s="1117" t="s">
        <v>686</v>
      </c>
      <c r="C229" s="1117">
        <v>5310</v>
      </c>
      <c r="D229" s="1117">
        <v>5270</v>
      </c>
      <c r="E229" s="1117">
        <v>5510</v>
      </c>
      <c r="F229" s="21"/>
      <c r="H229" s="1129"/>
    </row>
    <row r="230" spans="1:8" s="1107" customFormat="1" ht="14.25" customHeight="1">
      <c r="A230" s="1112" t="s">
        <v>113</v>
      </c>
      <c r="B230" s="1117" t="s">
        <v>687</v>
      </c>
      <c r="C230" s="1117">
        <v>4540</v>
      </c>
      <c r="D230" s="1117">
        <v>4500</v>
      </c>
      <c r="E230" s="1117">
        <v>4730</v>
      </c>
      <c r="F230" s="21"/>
      <c r="H230" s="1129"/>
    </row>
    <row r="231" spans="1:8" s="1107" customFormat="1" ht="14.25" customHeight="1">
      <c r="A231" s="1112" t="s">
        <v>113</v>
      </c>
      <c r="B231" s="1117" t="s">
        <v>688</v>
      </c>
      <c r="C231" s="1117">
        <v>4480</v>
      </c>
      <c r="D231" s="1117">
        <v>4410</v>
      </c>
      <c r="E231" s="1117">
        <v>4640</v>
      </c>
      <c r="F231" s="21"/>
      <c r="H231" s="1129"/>
    </row>
    <row r="232" spans="1:8" s="1107" customFormat="1" ht="14.25" customHeight="1">
      <c r="A232" s="1112" t="s">
        <v>113</v>
      </c>
      <c r="B232" s="1117" t="s">
        <v>689</v>
      </c>
      <c r="C232" s="1117">
        <v>5670</v>
      </c>
      <c r="D232" s="1117">
        <v>5600</v>
      </c>
      <c r="E232" s="1117">
        <v>5890</v>
      </c>
      <c r="F232" s="1125">
        <v>1150</v>
      </c>
      <c r="H232" s="1129"/>
    </row>
    <row r="233" spans="1:8" s="1107" customFormat="1" ht="14.25" customHeight="1">
      <c r="A233" s="1112" t="s">
        <v>113</v>
      </c>
      <c r="B233" s="1117" t="s">
        <v>690</v>
      </c>
      <c r="C233" s="1117">
        <v>4590</v>
      </c>
      <c r="D233" s="1117">
        <v>4500</v>
      </c>
      <c r="E233" s="1117">
        <v>4600</v>
      </c>
      <c r="F233" s="21"/>
      <c r="H233" s="1129"/>
    </row>
    <row r="234" spans="1:8" s="1107" customFormat="1" ht="14.25" customHeight="1">
      <c r="A234" s="1112" t="s">
        <v>113</v>
      </c>
      <c r="B234" s="1117" t="s">
        <v>691</v>
      </c>
      <c r="C234" s="1117">
        <v>3990</v>
      </c>
      <c r="D234" s="1117">
        <v>3950</v>
      </c>
      <c r="E234" s="1117">
        <v>4180</v>
      </c>
      <c r="F234" s="21"/>
      <c r="H234" s="1129"/>
    </row>
    <row r="235" spans="1:8" s="1107" customFormat="1" ht="14.25" customHeight="1">
      <c r="A235" s="1112" t="s">
        <v>113</v>
      </c>
      <c r="B235" s="1117" t="s">
        <v>692</v>
      </c>
      <c r="C235" s="1117">
        <v>5590</v>
      </c>
      <c r="D235" s="1117">
        <v>5540</v>
      </c>
      <c r="E235" s="1117">
        <v>5810</v>
      </c>
      <c r="F235" s="1125">
        <v>970</v>
      </c>
      <c r="H235" s="1129"/>
    </row>
    <row r="236" spans="1:8" s="1107" customFormat="1" ht="14.25" customHeight="1">
      <c r="A236" s="1112" t="s">
        <v>113</v>
      </c>
      <c r="B236" s="1117" t="s">
        <v>693</v>
      </c>
      <c r="C236" s="1117"/>
      <c r="D236" s="1117"/>
      <c r="E236" s="1117"/>
      <c r="F236" s="1125">
        <v>1020</v>
      </c>
      <c r="H236" s="1129"/>
    </row>
    <row r="237" spans="1:8" s="1107" customFormat="1" ht="14.25" customHeight="1">
      <c r="A237" s="1112" t="s">
        <v>113</v>
      </c>
      <c r="B237" s="1117" t="s">
        <v>694</v>
      </c>
      <c r="C237" s="1117"/>
      <c r="D237" s="1117"/>
      <c r="E237" s="1117"/>
      <c r="F237" s="1125">
        <v>960</v>
      </c>
      <c r="H237" s="1129"/>
    </row>
    <row r="238" spans="1:8" s="1107" customFormat="1" ht="14.25" customHeight="1">
      <c r="A238" s="1112" t="s">
        <v>113</v>
      </c>
      <c r="B238" s="1117" t="s">
        <v>695</v>
      </c>
      <c r="C238" s="1117"/>
      <c r="D238" s="1117"/>
      <c r="E238" s="1117"/>
      <c r="F238" s="1125">
        <v>960</v>
      </c>
      <c r="H238" s="1129"/>
    </row>
    <row r="239" spans="1:8" s="1107" customFormat="1" ht="14.25" customHeight="1">
      <c r="A239" s="1112" t="s">
        <v>113</v>
      </c>
      <c r="B239" s="1117" t="s">
        <v>696</v>
      </c>
      <c r="C239" s="1117"/>
      <c r="D239" s="1117"/>
      <c r="E239" s="1117"/>
      <c r="F239" s="1125">
        <v>960</v>
      </c>
      <c r="H239" s="1129"/>
    </row>
    <row r="240" spans="1:8" s="1107" customFormat="1" ht="14.25" customHeight="1">
      <c r="A240" s="1112" t="s">
        <v>113</v>
      </c>
      <c r="B240" s="1117" t="s">
        <v>697</v>
      </c>
      <c r="C240" s="1117"/>
      <c r="D240" s="1117"/>
      <c r="E240" s="1117"/>
      <c r="F240" s="1125">
        <v>990</v>
      </c>
      <c r="H240" s="1129"/>
    </row>
    <row r="241" spans="1:8" s="1107" customFormat="1" ht="14.25" customHeight="1">
      <c r="A241" s="1112" t="s">
        <v>113</v>
      </c>
      <c r="B241" s="1117" t="s">
        <v>698</v>
      </c>
      <c r="C241" s="1117"/>
      <c r="D241" s="1117"/>
      <c r="E241" s="1117"/>
      <c r="F241" s="1125">
        <v>1000</v>
      </c>
      <c r="H241" s="1129"/>
    </row>
    <row r="242" spans="1:8" s="1107" customFormat="1" ht="14.25" customHeight="1">
      <c r="A242" s="1112" t="s">
        <v>113</v>
      </c>
      <c r="B242" s="1117" t="s">
        <v>699</v>
      </c>
      <c r="C242" s="1117"/>
      <c r="D242" s="1117"/>
      <c r="E242" s="1117"/>
      <c r="F242" s="1125">
        <v>980</v>
      </c>
      <c r="H242" s="1129"/>
    </row>
    <row r="243" spans="1:8" s="1107" customFormat="1" ht="14.25" customHeight="1">
      <c r="A243" s="1112" t="s">
        <v>113</v>
      </c>
      <c r="B243" s="1117" t="s">
        <v>700</v>
      </c>
      <c r="C243" s="1117"/>
      <c r="D243" s="1117"/>
      <c r="E243" s="1117"/>
      <c r="F243" s="1125">
        <v>970</v>
      </c>
      <c r="H243" s="1129"/>
    </row>
    <row r="244" spans="1:8" s="1107" customFormat="1" ht="14.25" customHeight="1">
      <c r="A244" s="1112" t="s">
        <v>113</v>
      </c>
      <c r="B244" s="1123" t="s">
        <v>701</v>
      </c>
      <c r="C244" s="1123"/>
      <c r="D244" s="1123"/>
      <c r="E244" s="1123"/>
      <c r="F244" s="1132">
        <v>970</v>
      </c>
      <c r="H244" s="1129"/>
    </row>
    <row r="245" spans="1:8" s="1107" customFormat="1" ht="14.25" customHeight="1">
      <c r="A245" s="1112" t="s">
        <v>116</v>
      </c>
      <c r="B245" s="1113" t="s">
        <v>702</v>
      </c>
      <c r="C245" s="1113">
        <v>4050</v>
      </c>
      <c r="D245" s="1113">
        <v>4020</v>
      </c>
      <c r="E245" s="1113">
        <v>4160</v>
      </c>
      <c r="F245" s="1114">
        <v>840</v>
      </c>
      <c r="H245" s="1129"/>
    </row>
    <row r="246" spans="1:8" s="1107" customFormat="1" ht="14.25" customHeight="1">
      <c r="A246" s="1112" t="s">
        <v>116</v>
      </c>
      <c r="B246" s="1117" t="s">
        <v>703</v>
      </c>
      <c r="C246" s="1117">
        <v>4010</v>
      </c>
      <c r="D246" s="1117">
        <v>3960</v>
      </c>
      <c r="E246" s="1117">
        <v>4130</v>
      </c>
      <c r="F246" s="1125">
        <v>840</v>
      </c>
      <c r="H246" s="1129"/>
    </row>
    <row r="247" spans="1:8" s="1107" customFormat="1" ht="14.25" customHeight="1">
      <c r="A247" s="1112" t="s">
        <v>116</v>
      </c>
      <c r="B247" s="1117" t="s">
        <v>704</v>
      </c>
      <c r="C247" s="1117">
        <v>3170</v>
      </c>
      <c r="D247" s="1117">
        <v>3140</v>
      </c>
      <c r="E247" s="1117">
        <v>3270</v>
      </c>
      <c r="F247" s="1125">
        <v>640</v>
      </c>
      <c r="H247" s="1129"/>
    </row>
    <row r="248" spans="1:8" s="1107" customFormat="1" ht="14.25" customHeight="1">
      <c r="A248" s="1112" t="s">
        <v>116</v>
      </c>
      <c r="B248" s="1117" t="s">
        <v>705</v>
      </c>
      <c r="C248" s="1117">
        <v>3140</v>
      </c>
      <c r="D248" s="1117">
        <v>3120</v>
      </c>
      <c r="E248" s="1117">
        <v>3240</v>
      </c>
      <c r="F248" s="1125">
        <v>620</v>
      </c>
      <c r="H248" s="1129"/>
    </row>
    <row r="249" spans="1:8" s="1107" customFormat="1" ht="14.25" customHeight="1">
      <c r="A249" s="1112" t="s">
        <v>116</v>
      </c>
      <c r="B249" s="1117" t="s">
        <v>706</v>
      </c>
      <c r="C249" s="1117">
        <v>3200</v>
      </c>
      <c r="D249" s="1117">
        <v>3100</v>
      </c>
      <c r="E249" s="1117">
        <v>3230</v>
      </c>
      <c r="F249" s="1125">
        <v>750</v>
      </c>
      <c r="H249" s="1129"/>
    </row>
    <row r="250" spans="1:8" s="1107" customFormat="1" ht="14.25" customHeight="1">
      <c r="A250" s="1112" t="s">
        <v>116</v>
      </c>
      <c r="B250" s="1117" t="s">
        <v>707</v>
      </c>
      <c r="C250" s="1117">
        <v>4060</v>
      </c>
      <c r="D250" s="1117">
        <v>4000</v>
      </c>
      <c r="E250" s="1117">
        <v>4140</v>
      </c>
      <c r="F250" s="1125">
        <v>790</v>
      </c>
      <c r="H250" s="1129"/>
    </row>
    <row r="251" spans="1:8" s="1107" customFormat="1" ht="14.25" customHeight="1">
      <c r="A251" s="1112" t="s">
        <v>116</v>
      </c>
      <c r="B251" s="1117" t="s">
        <v>708</v>
      </c>
      <c r="C251" s="1117">
        <v>3990</v>
      </c>
      <c r="D251" s="1117">
        <v>3970</v>
      </c>
      <c r="E251" s="1117">
        <v>4110</v>
      </c>
      <c r="F251" s="1125">
        <v>730</v>
      </c>
      <c r="H251" s="1129"/>
    </row>
    <row r="252" spans="1:8" s="1107" customFormat="1" ht="14.25" customHeight="1">
      <c r="A252" s="1112" t="s">
        <v>116</v>
      </c>
      <c r="B252" s="1117" t="s">
        <v>709</v>
      </c>
      <c r="C252" s="1117">
        <v>3560</v>
      </c>
      <c r="D252" s="1117">
        <v>3530</v>
      </c>
      <c r="E252" s="1117">
        <v>3650</v>
      </c>
      <c r="F252" s="1125">
        <v>750</v>
      </c>
      <c r="H252" s="1129"/>
    </row>
    <row r="253" spans="1:8" s="1107" customFormat="1" ht="14.25" customHeight="1">
      <c r="A253" s="1112" t="s">
        <v>116</v>
      </c>
      <c r="B253" s="1117" t="s">
        <v>710</v>
      </c>
      <c r="C253" s="1117">
        <v>3780</v>
      </c>
      <c r="D253" s="1117">
        <v>3750</v>
      </c>
      <c r="E253" s="1117">
        <v>3870</v>
      </c>
      <c r="F253" s="1125">
        <v>770</v>
      </c>
      <c r="H253" s="1129"/>
    </row>
    <row r="254" spans="1:8" s="1107" customFormat="1" ht="14.25" customHeight="1">
      <c r="A254" s="1112" t="s">
        <v>116</v>
      </c>
      <c r="B254" s="1117" t="s">
        <v>711</v>
      </c>
      <c r="C254" s="23"/>
      <c r="D254" s="23"/>
      <c r="E254" s="23"/>
      <c r="F254" s="1125">
        <v>740</v>
      </c>
      <c r="H254" s="1129"/>
    </row>
    <row r="255" spans="1:8" s="1107" customFormat="1" ht="14.25" customHeight="1">
      <c r="A255" s="1112" t="s">
        <v>116</v>
      </c>
      <c r="B255" s="1117" t="s">
        <v>712</v>
      </c>
      <c r="C255" s="23"/>
      <c r="D255" s="23"/>
      <c r="E255" s="23"/>
      <c r="F255" s="1125">
        <v>760</v>
      </c>
      <c r="H255" s="1129"/>
    </row>
    <row r="256" spans="1:8" s="1107" customFormat="1" ht="14.25" customHeight="1">
      <c r="A256" s="1112" t="s">
        <v>116</v>
      </c>
      <c r="B256" s="1117" t="s">
        <v>713</v>
      </c>
      <c r="C256" s="1117">
        <v>3760</v>
      </c>
      <c r="D256" s="1117">
        <v>3730</v>
      </c>
      <c r="E256" s="1117">
        <v>3870</v>
      </c>
      <c r="F256" s="1125">
        <v>830</v>
      </c>
      <c r="H256" s="1129"/>
    </row>
    <row r="257" spans="1:8" s="1107" customFormat="1" ht="14.25" customHeight="1">
      <c r="A257" s="1112" t="s">
        <v>116</v>
      </c>
      <c r="B257" s="1117" t="s">
        <v>714</v>
      </c>
      <c r="C257" s="1117">
        <v>3570</v>
      </c>
      <c r="D257" s="1117">
        <v>3540</v>
      </c>
      <c r="E257" s="1117">
        <v>3650</v>
      </c>
      <c r="F257" s="1125">
        <v>790</v>
      </c>
      <c r="H257" s="1129"/>
    </row>
    <row r="258" spans="1:8" s="1107" customFormat="1" ht="14.25" customHeight="1">
      <c r="A258" s="1112" t="s">
        <v>116</v>
      </c>
      <c r="B258" s="1117" t="s">
        <v>715</v>
      </c>
      <c r="C258" s="1117">
        <v>3410</v>
      </c>
      <c r="D258" s="1117">
        <v>3380</v>
      </c>
      <c r="E258" s="1117">
        <v>3500</v>
      </c>
      <c r="F258" s="1125">
        <v>830</v>
      </c>
      <c r="H258" s="1129"/>
    </row>
    <row r="259" spans="1:8" s="1107" customFormat="1" ht="14.25" customHeight="1">
      <c r="A259" s="1112" t="s">
        <v>116</v>
      </c>
      <c r="B259" s="1117" t="s">
        <v>716</v>
      </c>
      <c r="C259" s="1117">
        <v>3870</v>
      </c>
      <c r="D259" s="1117">
        <v>3840</v>
      </c>
      <c r="E259" s="1117">
        <v>3970</v>
      </c>
      <c r="F259" s="1125">
        <v>830</v>
      </c>
      <c r="H259" s="1129"/>
    </row>
    <row r="260" spans="1:8" s="1107" customFormat="1" ht="14.25" customHeight="1">
      <c r="A260" s="1112" t="s">
        <v>116</v>
      </c>
      <c r="B260" s="1117" t="s">
        <v>717</v>
      </c>
      <c r="C260" s="1117">
        <v>3700</v>
      </c>
      <c r="D260" s="1117">
        <v>3660</v>
      </c>
      <c r="E260" s="1117">
        <v>3810</v>
      </c>
      <c r="F260" s="1125">
        <v>790</v>
      </c>
      <c r="H260" s="1129"/>
    </row>
    <row r="261" spans="1:8" s="1107" customFormat="1" ht="14.25" customHeight="1">
      <c r="A261" s="1112" t="s">
        <v>116</v>
      </c>
      <c r="B261" s="1117" t="s">
        <v>718</v>
      </c>
      <c r="C261" s="1117">
        <v>3470</v>
      </c>
      <c r="D261" s="1117">
        <v>3430</v>
      </c>
      <c r="E261" s="1117">
        <v>3640</v>
      </c>
      <c r="F261" s="1125">
        <v>760</v>
      </c>
      <c r="H261" s="1129"/>
    </row>
    <row r="262" spans="1:8" s="1107" customFormat="1" ht="14.25" customHeight="1">
      <c r="A262" s="1112" t="s">
        <v>116</v>
      </c>
      <c r="B262" s="1117" t="s">
        <v>719</v>
      </c>
      <c r="C262" s="1117">
        <v>3510</v>
      </c>
      <c r="D262" s="1117">
        <v>3470</v>
      </c>
      <c r="E262" s="1117">
        <v>3680</v>
      </c>
      <c r="F262" s="21"/>
      <c r="H262" s="1129"/>
    </row>
    <row r="263" spans="1:8" s="1107" customFormat="1" ht="14.25" customHeight="1">
      <c r="A263" s="1112" t="s">
        <v>116</v>
      </c>
      <c r="B263" s="1117" t="s">
        <v>720</v>
      </c>
      <c r="C263" s="1117">
        <v>3960</v>
      </c>
      <c r="D263" s="1117">
        <v>3930</v>
      </c>
      <c r="E263" s="1117">
        <v>4070</v>
      </c>
      <c r="F263" s="1125">
        <v>830</v>
      </c>
      <c r="H263" s="1129"/>
    </row>
    <row r="264" spans="1:8" s="1107" customFormat="1" ht="14.25" customHeight="1">
      <c r="A264" s="1112" t="s">
        <v>116</v>
      </c>
      <c r="B264" s="1117" t="s">
        <v>721</v>
      </c>
      <c r="C264" s="1117">
        <v>4010</v>
      </c>
      <c r="D264" s="1117">
        <v>3980</v>
      </c>
      <c r="E264" s="1117">
        <v>4150</v>
      </c>
      <c r="F264" s="1125">
        <v>760</v>
      </c>
      <c r="H264" s="1129"/>
    </row>
    <row r="265" spans="1:8" s="1107" customFormat="1" ht="14.25" customHeight="1">
      <c r="A265" s="1112" t="s">
        <v>116</v>
      </c>
      <c r="B265" s="1117" t="s">
        <v>722</v>
      </c>
      <c r="C265" s="1117">
        <v>3910</v>
      </c>
      <c r="D265" s="1117">
        <v>3890</v>
      </c>
      <c r="E265" s="1117">
        <v>4040</v>
      </c>
      <c r="F265" s="1125">
        <v>780</v>
      </c>
      <c r="H265" s="1129"/>
    </row>
    <row r="266" spans="1:8" s="1107" customFormat="1" ht="14.25" customHeight="1">
      <c r="A266" s="1112" t="s">
        <v>116</v>
      </c>
      <c r="B266" s="1117" t="s">
        <v>723</v>
      </c>
      <c r="C266" s="1117">
        <v>3930</v>
      </c>
      <c r="D266" s="1117">
        <v>3900</v>
      </c>
      <c r="E266" s="1117">
        <v>4080</v>
      </c>
      <c r="F266" s="1125">
        <v>770</v>
      </c>
      <c r="H266" s="1129"/>
    </row>
    <row r="267" spans="1:8" s="1107" customFormat="1" ht="14.25" customHeight="1">
      <c r="A267" s="1112" t="s">
        <v>116</v>
      </c>
      <c r="B267" s="1117" t="s">
        <v>724</v>
      </c>
      <c r="C267" s="1117">
        <v>3800</v>
      </c>
      <c r="D267" s="1117">
        <v>3780</v>
      </c>
      <c r="E267" s="1117">
        <v>3930</v>
      </c>
      <c r="F267" s="21"/>
      <c r="H267" s="1129"/>
    </row>
    <row r="268" spans="1:8" s="1107" customFormat="1" ht="14.25" customHeight="1">
      <c r="A268" s="1112" t="s">
        <v>116</v>
      </c>
      <c r="B268" s="1117" t="s">
        <v>725</v>
      </c>
      <c r="C268" s="1117">
        <v>3460</v>
      </c>
      <c r="D268" s="1117">
        <v>3430</v>
      </c>
      <c r="E268" s="1117">
        <v>3560</v>
      </c>
      <c r="F268" s="1125">
        <v>840</v>
      </c>
      <c r="H268" s="1129"/>
    </row>
    <row r="269" spans="1:8" s="1107" customFormat="1" ht="14.25" customHeight="1">
      <c r="A269" s="1112" t="s">
        <v>116</v>
      </c>
      <c r="B269" s="1117" t="s">
        <v>726</v>
      </c>
      <c r="C269" s="1117">
        <v>3210</v>
      </c>
      <c r="D269" s="1117">
        <v>3190</v>
      </c>
      <c r="E269" s="1117">
        <v>3310</v>
      </c>
      <c r="F269" s="1125">
        <v>730</v>
      </c>
      <c r="H269" s="1129"/>
    </row>
    <row r="270" spans="1:8" s="1107" customFormat="1" ht="14.25" customHeight="1">
      <c r="A270" s="1112" t="s">
        <v>116</v>
      </c>
      <c r="B270" s="1117" t="s">
        <v>727</v>
      </c>
      <c r="C270" s="1117">
        <v>3240</v>
      </c>
      <c r="D270" s="1117">
        <v>3210</v>
      </c>
      <c r="E270" s="1117">
        <v>3390</v>
      </c>
      <c r="F270" s="1125">
        <v>820</v>
      </c>
      <c r="H270" s="1129"/>
    </row>
    <row r="271" spans="1:8" s="1107" customFormat="1" ht="14.25" customHeight="1">
      <c r="A271" s="1112" t="s">
        <v>116</v>
      </c>
      <c r="B271" s="1117" t="s">
        <v>728</v>
      </c>
      <c r="C271" s="1117">
        <v>3300</v>
      </c>
      <c r="D271" s="1117">
        <v>3270</v>
      </c>
      <c r="E271" s="1117">
        <v>3380</v>
      </c>
      <c r="F271" s="1125">
        <v>750</v>
      </c>
      <c r="H271" s="1129"/>
    </row>
    <row r="272" spans="1:8" s="1107" customFormat="1" ht="14.25" customHeight="1">
      <c r="A272" s="1112" t="s">
        <v>116</v>
      </c>
      <c r="B272" s="1117" t="s">
        <v>729</v>
      </c>
      <c r="C272" s="23"/>
      <c r="D272" s="23"/>
      <c r="E272" s="23"/>
      <c r="F272" s="1125">
        <v>740</v>
      </c>
      <c r="H272" s="1129"/>
    </row>
    <row r="273" spans="1:8" s="1107" customFormat="1" ht="14.25" customHeight="1">
      <c r="A273" s="1112" t="s">
        <v>116</v>
      </c>
      <c r="B273" s="1117" t="s">
        <v>730</v>
      </c>
      <c r="C273" s="1117">
        <v>3130</v>
      </c>
      <c r="D273" s="1117">
        <v>3100</v>
      </c>
      <c r="E273" s="1117">
        <v>3230</v>
      </c>
      <c r="F273" s="1125">
        <v>700</v>
      </c>
      <c r="H273" s="1129"/>
    </row>
    <row r="274" spans="1:8" s="1107" customFormat="1" ht="14.25" customHeight="1">
      <c r="A274" s="1112" t="s">
        <v>116</v>
      </c>
      <c r="B274" s="1117" t="s">
        <v>731</v>
      </c>
      <c r="C274" s="1117">
        <v>3460</v>
      </c>
      <c r="D274" s="1117">
        <v>3430</v>
      </c>
      <c r="E274" s="1117">
        <v>3560</v>
      </c>
      <c r="F274" s="1125">
        <v>690</v>
      </c>
      <c r="H274" s="1129"/>
    </row>
    <row r="275" spans="1:8" s="1107" customFormat="1" ht="14.25" customHeight="1">
      <c r="A275" s="1112" t="s">
        <v>116</v>
      </c>
      <c r="B275" s="1117" t="s">
        <v>732</v>
      </c>
      <c r="C275" s="1117">
        <v>4040</v>
      </c>
      <c r="D275" s="1117">
        <v>4020</v>
      </c>
      <c r="E275" s="1117">
        <v>4160</v>
      </c>
      <c r="F275" s="1125">
        <v>820</v>
      </c>
      <c r="H275" s="1129"/>
    </row>
    <row r="276" spans="1:8" s="1107" customFormat="1" ht="14.25" customHeight="1">
      <c r="A276" s="1112" t="s">
        <v>116</v>
      </c>
      <c r="B276" s="1117" t="s">
        <v>733</v>
      </c>
      <c r="C276" s="1117">
        <v>3270</v>
      </c>
      <c r="D276" s="1117">
        <v>3240</v>
      </c>
      <c r="E276" s="1117">
        <v>3350</v>
      </c>
      <c r="F276" s="1125">
        <v>680</v>
      </c>
      <c r="H276" s="1129"/>
    </row>
    <row r="277" spans="1:8" s="1107" customFormat="1" ht="14.25" customHeight="1">
      <c r="A277" s="1112" t="s">
        <v>116</v>
      </c>
      <c r="B277" s="1117" t="s">
        <v>734</v>
      </c>
      <c r="C277" s="1117">
        <v>2930</v>
      </c>
      <c r="D277" s="1117">
        <v>2900</v>
      </c>
      <c r="E277" s="1117">
        <v>3000</v>
      </c>
      <c r="F277" s="1125">
        <v>640</v>
      </c>
      <c r="H277" s="1129"/>
    </row>
    <row r="278" spans="1:8" s="1107" customFormat="1" ht="14.25" customHeight="1">
      <c r="A278" s="1112" t="s">
        <v>116</v>
      </c>
      <c r="B278" s="1117" t="s">
        <v>735</v>
      </c>
      <c r="C278" s="1117">
        <v>4080</v>
      </c>
      <c r="D278" s="1117">
        <v>4030</v>
      </c>
      <c r="E278" s="1117">
        <v>4140</v>
      </c>
      <c r="F278" s="1125">
        <v>850</v>
      </c>
      <c r="H278" s="1129"/>
    </row>
    <row r="279" spans="1:8" s="1107" customFormat="1" ht="14.25" customHeight="1">
      <c r="A279" s="1112" t="s">
        <v>116</v>
      </c>
      <c r="B279" s="1117" t="s">
        <v>736</v>
      </c>
      <c r="C279" s="1117"/>
      <c r="D279" s="1117"/>
      <c r="E279" s="1117"/>
      <c r="F279" s="1125">
        <v>760</v>
      </c>
      <c r="H279" s="1129"/>
    </row>
    <row r="280" spans="1:8" s="1107" customFormat="1" ht="14.25" customHeight="1">
      <c r="A280" s="1112" t="s">
        <v>116</v>
      </c>
      <c r="B280" s="1117" t="s">
        <v>737</v>
      </c>
      <c r="C280" s="1117"/>
      <c r="D280" s="1117"/>
      <c r="E280" s="1117"/>
      <c r="F280" s="1125">
        <v>760</v>
      </c>
      <c r="H280" s="1129"/>
    </row>
    <row r="281" spans="1:8" s="1107" customFormat="1" ht="14.25" customHeight="1">
      <c r="A281" s="1112" t="s">
        <v>116</v>
      </c>
      <c r="B281" s="1117" t="s">
        <v>738</v>
      </c>
      <c r="C281" s="1117"/>
      <c r="D281" s="1117"/>
      <c r="E281" s="1117"/>
      <c r="F281" s="1125">
        <v>780</v>
      </c>
      <c r="H281" s="1129"/>
    </row>
    <row r="282" spans="1:8" s="1107" customFormat="1" ht="14.25" customHeight="1">
      <c r="A282" s="1112" t="s">
        <v>116</v>
      </c>
      <c r="B282" s="1117" t="s">
        <v>739</v>
      </c>
      <c r="C282" s="1117"/>
      <c r="D282" s="1117"/>
      <c r="E282" s="1117"/>
      <c r="F282" s="1125">
        <v>730</v>
      </c>
      <c r="H282" s="1129"/>
    </row>
    <row r="283" spans="1:8" s="1107" customFormat="1" ht="14.25" customHeight="1">
      <c r="A283" s="1112" t="s">
        <v>116</v>
      </c>
      <c r="B283" s="1117" t="s">
        <v>740</v>
      </c>
      <c r="C283" s="1117"/>
      <c r="D283" s="1117"/>
      <c r="E283" s="1117"/>
      <c r="F283" s="1125">
        <v>770</v>
      </c>
      <c r="H283" s="1129"/>
    </row>
    <row r="284" spans="1:8" s="1107" customFormat="1" ht="14.25" customHeight="1">
      <c r="A284" s="1112" t="s">
        <v>116</v>
      </c>
      <c r="B284" s="1117" t="s">
        <v>741</v>
      </c>
      <c r="C284" s="1117"/>
      <c r="D284" s="1117"/>
      <c r="E284" s="1117"/>
      <c r="F284" s="1125">
        <v>640</v>
      </c>
      <c r="H284" s="1129"/>
    </row>
    <row r="285" spans="1:8" s="1107" customFormat="1" ht="14.25" customHeight="1">
      <c r="A285" s="1112" t="s">
        <v>116</v>
      </c>
      <c r="B285" s="1117" t="s">
        <v>742</v>
      </c>
      <c r="C285" s="1117"/>
      <c r="D285" s="1117"/>
      <c r="E285" s="1117"/>
      <c r="F285" s="1125">
        <v>640</v>
      </c>
      <c r="H285" s="1129"/>
    </row>
    <row r="286" spans="1:8" s="1107" customFormat="1" ht="14.25" customHeight="1">
      <c r="A286" s="1112" t="s">
        <v>116</v>
      </c>
      <c r="B286" s="1117" t="s">
        <v>743</v>
      </c>
      <c r="C286" s="1117"/>
      <c r="D286" s="1117"/>
      <c r="E286" s="1117"/>
      <c r="F286" s="1125">
        <v>850</v>
      </c>
      <c r="H286" s="1129"/>
    </row>
    <row r="287" spans="1:8" s="1107" customFormat="1" ht="14.25" customHeight="1">
      <c r="A287" s="1112" t="s">
        <v>116</v>
      </c>
      <c r="B287" s="1117" t="s">
        <v>744</v>
      </c>
      <c r="C287" s="1117"/>
      <c r="D287" s="1117"/>
      <c r="E287" s="1117"/>
      <c r="F287" s="1125">
        <v>760</v>
      </c>
      <c r="H287" s="1129"/>
    </row>
    <row r="288" spans="1:8" s="1107" customFormat="1" ht="14.25" customHeight="1">
      <c r="A288" s="1112" t="s">
        <v>116</v>
      </c>
      <c r="B288" s="1117" t="s">
        <v>745</v>
      </c>
      <c r="C288" s="1117"/>
      <c r="D288" s="1117"/>
      <c r="E288" s="1117"/>
      <c r="F288" s="1125">
        <v>830</v>
      </c>
      <c r="H288" s="1129"/>
    </row>
    <row r="289" spans="1:8" s="1107" customFormat="1" ht="14.25" customHeight="1">
      <c r="A289" s="1112" t="s">
        <v>116</v>
      </c>
      <c r="B289" s="1123" t="s">
        <v>746</v>
      </c>
      <c r="C289" s="1123"/>
      <c r="D289" s="1123"/>
      <c r="E289" s="1123"/>
      <c r="F289" s="1132">
        <v>680</v>
      </c>
      <c r="H289" s="1129"/>
    </row>
    <row r="290" spans="1:8" s="1107" customFormat="1" ht="14.25" customHeight="1">
      <c r="A290" s="1112" t="s">
        <v>118</v>
      </c>
      <c r="B290" s="1113" t="s">
        <v>747</v>
      </c>
      <c r="C290" s="1113">
        <v>2770</v>
      </c>
      <c r="D290" s="1113">
        <v>2740</v>
      </c>
      <c r="E290" s="1113">
        <v>2720</v>
      </c>
      <c r="F290" s="1135"/>
      <c r="H290" s="1129"/>
    </row>
    <row r="291" spans="1:8" s="1107" customFormat="1" ht="14.25" customHeight="1">
      <c r="A291" s="1112" t="s">
        <v>118</v>
      </c>
      <c r="B291" s="1117" t="s">
        <v>748</v>
      </c>
      <c r="C291" s="1117">
        <v>2670</v>
      </c>
      <c r="D291" s="1117">
        <v>2640</v>
      </c>
      <c r="E291" s="1117">
        <v>2620</v>
      </c>
      <c r="F291" s="21"/>
      <c r="H291" s="1129"/>
    </row>
    <row r="292" spans="1:8" s="1107" customFormat="1" ht="14.25" customHeight="1">
      <c r="A292" s="1112" t="s">
        <v>118</v>
      </c>
      <c r="B292" s="1117" t="s">
        <v>749</v>
      </c>
      <c r="C292" s="1117">
        <v>2180</v>
      </c>
      <c r="D292" s="1117">
        <v>2140</v>
      </c>
      <c r="E292" s="1117">
        <v>2120</v>
      </c>
      <c r="F292" s="1125">
        <v>490</v>
      </c>
      <c r="H292" s="1129"/>
    </row>
    <row r="293" spans="1:8" s="1107" customFormat="1" ht="14.25" customHeight="1">
      <c r="A293" s="1112" t="s">
        <v>118</v>
      </c>
      <c r="B293" s="1117" t="s">
        <v>750</v>
      </c>
      <c r="C293" s="1117"/>
      <c r="D293" s="1117"/>
      <c r="E293" s="1117"/>
      <c r="F293" s="1125">
        <v>470</v>
      </c>
      <c r="H293" s="1129"/>
    </row>
    <row r="294" spans="1:8" s="1107" customFormat="1" ht="14.25" customHeight="1">
      <c r="A294" s="1112" t="s">
        <v>118</v>
      </c>
      <c r="B294" s="1117" t="s">
        <v>751</v>
      </c>
      <c r="C294" s="1117">
        <v>2730</v>
      </c>
      <c r="D294" s="1117">
        <v>2700</v>
      </c>
      <c r="E294" s="1117">
        <v>2680</v>
      </c>
      <c r="F294" s="1125">
        <v>490</v>
      </c>
      <c r="H294" s="1129"/>
    </row>
    <row r="295" spans="1:8" s="1107" customFormat="1" ht="14.25" customHeight="1">
      <c r="A295" s="1112" t="s">
        <v>118</v>
      </c>
      <c r="B295" s="1117" t="s">
        <v>752</v>
      </c>
      <c r="C295" s="1117">
        <v>2380</v>
      </c>
      <c r="D295" s="1117">
        <v>2350</v>
      </c>
      <c r="E295" s="1117">
        <v>2330</v>
      </c>
      <c r="F295" s="1125">
        <v>530</v>
      </c>
      <c r="H295" s="1129"/>
    </row>
    <row r="296" spans="1:8" s="1107" customFormat="1" ht="14.25" customHeight="1">
      <c r="A296" s="1112" t="s">
        <v>118</v>
      </c>
      <c r="B296" s="1117" t="s">
        <v>753</v>
      </c>
      <c r="C296" s="1117">
        <v>2650</v>
      </c>
      <c r="D296" s="1117">
        <v>2620</v>
      </c>
      <c r="E296" s="1117">
        <v>2590</v>
      </c>
      <c r="F296" s="1125">
        <v>590</v>
      </c>
      <c r="H296" s="1129"/>
    </row>
    <row r="297" spans="1:8" s="1107" customFormat="1" ht="14.25" customHeight="1">
      <c r="A297" s="1112" t="s">
        <v>118</v>
      </c>
      <c r="B297" s="1117" t="s">
        <v>754</v>
      </c>
      <c r="C297" s="1117">
        <v>2700</v>
      </c>
      <c r="D297" s="1117">
        <v>2670</v>
      </c>
      <c r="E297" s="1117">
        <v>2650</v>
      </c>
      <c r="F297" s="1125">
        <v>630</v>
      </c>
      <c r="H297" s="1129"/>
    </row>
    <row r="298" spans="1:8" s="1107" customFormat="1" ht="14.25" customHeight="1">
      <c r="A298" s="1112" t="s">
        <v>118</v>
      </c>
      <c r="B298" s="1117" t="s">
        <v>755</v>
      </c>
      <c r="C298" s="1117">
        <v>2650</v>
      </c>
      <c r="D298" s="1117">
        <v>2620</v>
      </c>
      <c r="E298" s="1117">
        <v>2590</v>
      </c>
      <c r="F298" s="1125">
        <v>640</v>
      </c>
      <c r="H298" s="1129"/>
    </row>
    <row r="299" spans="1:8" s="1107" customFormat="1" ht="14.25" customHeight="1">
      <c r="A299" s="1112" t="s">
        <v>118</v>
      </c>
      <c r="B299" s="1117" t="s">
        <v>756</v>
      </c>
      <c r="C299" s="1117">
        <v>2500</v>
      </c>
      <c r="D299" s="1117">
        <v>2480</v>
      </c>
      <c r="E299" s="1117">
        <v>2460</v>
      </c>
      <c r="F299" s="21"/>
      <c r="H299" s="1129"/>
    </row>
    <row r="300" spans="1:8" s="1107" customFormat="1" ht="14.25" customHeight="1">
      <c r="A300" s="1112" t="s">
        <v>118</v>
      </c>
      <c r="B300" s="1117" t="s">
        <v>757</v>
      </c>
      <c r="C300" s="1117">
        <v>2760</v>
      </c>
      <c r="D300" s="1117">
        <v>2730</v>
      </c>
      <c r="E300" s="1117">
        <v>2700</v>
      </c>
      <c r="F300" s="1125">
        <v>630</v>
      </c>
      <c r="H300" s="1129"/>
    </row>
    <row r="301" spans="1:8" s="1107" customFormat="1" ht="14.25" customHeight="1">
      <c r="A301" s="1112" t="s">
        <v>118</v>
      </c>
      <c r="B301" s="1117" t="s">
        <v>758</v>
      </c>
      <c r="C301" s="1117">
        <v>2510</v>
      </c>
      <c r="D301" s="1117">
        <v>2480</v>
      </c>
      <c r="E301" s="1117">
        <v>2460</v>
      </c>
      <c r="F301" s="21"/>
      <c r="H301" s="1129"/>
    </row>
    <row r="302" spans="1:8" s="1107" customFormat="1" ht="14.25" customHeight="1">
      <c r="A302" s="1112" t="s">
        <v>118</v>
      </c>
      <c r="B302" s="1117" t="s">
        <v>759</v>
      </c>
      <c r="C302" s="1117">
        <v>2480</v>
      </c>
      <c r="D302" s="1117">
        <v>2450</v>
      </c>
      <c r="E302" s="1117">
        <v>2420</v>
      </c>
      <c r="F302" s="1125">
        <v>600</v>
      </c>
      <c r="H302" s="1129"/>
    </row>
    <row r="303" spans="1:8" s="1107" customFormat="1" ht="14.25" customHeight="1">
      <c r="A303" s="1112" t="s">
        <v>118</v>
      </c>
      <c r="B303" s="1117" t="s">
        <v>760</v>
      </c>
      <c r="C303" s="1117">
        <v>2270</v>
      </c>
      <c r="D303" s="1117">
        <v>2240</v>
      </c>
      <c r="E303" s="1117">
        <v>2210</v>
      </c>
      <c r="F303" s="1125">
        <v>540</v>
      </c>
      <c r="H303" s="1129"/>
    </row>
    <row r="304" spans="1:8" s="1107" customFormat="1" ht="14.25" customHeight="1">
      <c r="A304" s="1112" t="s">
        <v>118</v>
      </c>
      <c r="B304" s="1117" t="s">
        <v>761</v>
      </c>
      <c r="C304" s="1117">
        <v>2310</v>
      </c>
      <c r="D304" s="1117">
        <v>2290</v>
      </c>
      <c r="E304" s="1117">
        <v>2270</v>
      </c>
      <c r="F304" s="21"/>
      <c r="H304" s="1129"/>
    </row>
    <row r="305" spans="1:8" s="1107" customFormat="1" ht="14.25" customHeight="1">
      <c r="A305" s="1112" t="s">
        <v>118</v>
      </c>
      <c r="B305" s="1117" t="s">
        <v>762</v>
      </c>
      <c r="C305" s="1117">
        <v>2490</v>
      </c>
      <c r="D305" s="1117">
        <v>2470</v>
      </c>
      <c r="E305" s="1117">
        <v>2440</v>
      </c>
      <c r="F305" s="1125">
        <v>560</v>
      </c>
      <c r="H305" s="1129"/>
    </row>
    <row r="306" spans="1:8" s="1107" customFormat="1" ht="14.25" customHeight="1">
      <c r="A306" s="1112" t="s">
        <v>118</v>
      </c>
      <c r="B306" s="1117" t="s">
        <v>763</v>
      </c>
      <c r="C306" s="1117">
        <v>2420</v>
      </c>
      <c r="D306" s="1117">
        <v>2400</v>
      </c>
      <c r="E306" s="1117">
        <v>2380</v>
      </c>
      <c r="F306" s="21"/>
      <c r="H306" s="1129"/>
    </row>
    <row r="307" spans="1:8" s="1107" customFormat="1" ht="14.25" customHeight="1">
      <c r="A307" s="1112" t="s">
        <v>118</v>
      </c>
      <c r="B307" s="1117" t="s">
        <v>764</v>
      </c>
      <c r="C307" s="1117">
        <v>2770</v>
      </c>
      <c r="D307" s="1117">
        <v>2740</v>
      </c>
      <c r="E307" s="1117">
        <v>2710</v>
      </c>
      <c r="F307" s="1125">
        <v>650</v>
      </c>
      <c r="H307" s="1129"/>
    </row>
    <row r="308" spans="1:8" s="1107" customFormat="1" ht="14.25" customHeight="1">
      <c r="A308" s="1112" t="s">
        <v>118</v>
      </c>
      <c r="B308" s="1117" t="s">
        <v>765</v>
      </c>
      <c r="C308" s="1117">
        <v>2610</v>
      </c>
      <c r="D308" s="1117">
        <v>2580</v>
      </c>
      <c r="E308" s="1117">
        <v>2550</v>
      </c>
      <c r="F308" s="1125">
        <v>580</v>
      </c>
      <c r="H308" s="1129"/>
    </row>
    <row r="309" spans="1:8" s="1107" customFormat="1" ht="14.25" customHeight="1">
      <c r="A309" s="1112" t="s">
        <v>118</v>
      </c>
      <c r="B309" s="1117" t="s">
        <v>766</v>
      </c>
      <c r="C309" s="1117">
        <v>2690</v>
      </c>
      <c r="D309" s="1117">
        <v>2670</v>
      </c>
      <c r="E309" s="1117">
        <v>2650</v>
      </c>
      <c r="F309" s="21"/>
      <c r="H309" s="1129"/>
    </row>
    <row r="310" spans="1:8" s="1107" customFormat="1" ht="14.25" customHeight="1">
      <c r="A310" s="1112" t="s">
        <v>118</v>
      </c>
      <c r="B310" s="1117" t="s">
        <v>767</v>
      </c>
      <c r="C310" s="1117">
        <v>2360</v>
      </c>
      <c r="D310" s="1117">
        <v>2330</v>
      </c>
      <c r="E310" s="1117">
        <v>2310</v>
      </c>
      <c r="F310" s="1125">
        <v>560</v>
      </c>
      <c r="H310" s="1129"/>
    </row>
    <row r="311" spans="1:8" s="1107" customFormat="1" ht="14.25" customHeight="1">
      <c r="A311" s="1112" t="s">
        <v>118</v>
      </c>
      <c r="B311" s="1117" t="s">
        <v>768</v>
      </c>
      <c r="C311" s="1117">
        <v>1970</v>
      </c>
      <c r="D311" s="1117">
        <v>1950</v>
      </c>
      <c r="E311" s="1117">
        <v>1920</v>
      </c>
      <c r="F311" s="1125">
        <v>470</v>
      </c>
      <c r="H311" s="1129"/>
    </row>
    <row r="312" spans="1:8" s="1107" customFormat="1" ht="14.25" customHeight="1">
      <c r="A312" s="1112" t="s">
        <v>118</v>
      </c>
      <c r="B312" s="1117" t="s">
        <v>769</v>
      </c>
      <c r="C312" s="1117">
        <v>2230</v>
      </c>
      <c r="D312" s="1117">
        <v>2200</v>
      </c>
      <c r="E312" s="1117">
        <v>2170</v>
      </c>
      <c r="F312" s="1125">
        <v>460</v>
      </c>
      <c r="H312" s="1129"/>
    </row>
    <row r="313" spans="1:8" s="1107" customFormat="1" ht="14.25" customHeight="1">
      <c r="A313" s="1112" t="s">
        <v>118</v>
      </c>
      <c r="B313" s="1117" t="s">
        <v>770</v>
      </c>
      <c r="C313" s="1117">
        <v>2770</v>
      </c>
      <c r="D313" s="1117">
        <v>2740</v>
      </c>
      <c r="E313" s="1117">
        <v>2710</v>
      </c>
      <c r="F313" s="1125">
        <v>610</v>
      </c>
      <c r="H313" s="1129"/>
    </row>
    <row r="314" spans="1:8" s="1107" customFormat="1" ht="14.25" customHeight="1">
      <c r="A314" s="1112" t="s">
        <v>118</v>
      </c>
      <c r="B314" s="1117" t="s">
        <v>771</v>
      </c>
      <c r="C314" s="1117"/>
      <c r="D314" s="1117"/>
      <c r="E314" s="1117"/>
      <c r="F314" s="1125">
        <v>490</v>
      </c>
      <c r="H314" s="1129"/>
    </row>
    <row r="315" spans="1:8" s="1107" customFormat="1" ht="14.25" customHeight="1">
      <c r="A315" s="1112" t="s">
        <v>118</v>
      </c>
      <c r="B315" s="1117" t="s">
        <v>772</v>
      </c>
      <c r="C315" s="1117"/>
      <c r="D315" s="1117"/>
      <c r="E315" s="1117"/>
      <c r="F315" s="1125">
        <v>520</v>
      </c>
      <c r="H315" s="1129"/>
    </row>
    <row r="316" spans="1:8" s="1107" customFormat="1" ht="14.25" customHeight="1">
      <c r="A316" s="1112" t="s">
        <v>118</v>
      </c>
      <c r="B316" s="1123" t="s">
        <v>773</v>
      </c>
      <c r="C316" s="1123"/>
      <c r="D316" s="1123"/>
      <c r="E316" s="1123"/>
      <c r="F316" s="1132">
        <v>460</v>
      </c>
      <c r="H316" s="1129"/>
    </row>
    <row r="317" spans="1:8" s="1107" customFormat="1" ht="14.25" customHeight="1">
      <c r="A317" s="1112" t="s">
        <v>120</v>
      </c>
      <c r="B317" s="1113" t="s">
        <v>774</v>
      </c>
      <c r="C317" s="1113">
        <v>1200</v>
      </c>
      <c r="D317" s="1113">
        <v>1180</v>
      </c>
      <c r="E317" s="1113">
        <v>1160</v>
      </c>
      <c r="F317" s="1114">
        <v>370</v>
      </c>
      <c r="H317" s="839"/>
    </row>
    <row r="318" spans="1:8" s="1107" customFormat="1" ht="14.25" customHeight="1">
      <c r="A318" s="1112" t="s">
        <v>120</v>
      </c>
      <c r="B318" s="1117" t="s">
        <v>775</v>
      </c>
      <c r="C318" s="1117">
        <v>1090</v>
      </c>
      <c r="D318" s="1117">
        <v>1060</v>
      </c>
      <c r="E318" s="1117">
        <v>1040</v>
      </c>
      <c r="F318" s="21"/>
      <c r="H318" s="839"/>
    </row>
    <row r="319" spans="1:8" s="1107" customFormat="1" ht="14.25" customHeight="1">
      <c r="A319" s="1112" t="s">
        <v>120</v>
      </c>
      <c r="B319" s="1117" t="s">
        <v>776</v>
      </c>
      <c r="C319" s="1117">
        <v>1520</v>
      </c>
      <c r="D319" s="1117">
        <v>1470</v>
      </c>
      <c r="E319" s="1117">
        <v>1440</v>
      </c>
      <c r="F319" s="1125">
        <v>370</v>
      </c>
      <c r="H319" s="839"/>
    </row>
    <row r="320" spans="1:8" s="1107" customFormat="1" ht="14.25" customHeight="1">
      <c r="A320" s="1112" t="s">
        <v>120</v>
      </c>
      <c r="B320" s="1117" t="s">
        <v>777</v>
      </c>
      <c r="C320" s="1117">
        <v>1360</v>
      </c>
      <c r="D320" s="1117">
        <v>1300</v>
      </c>
      <c r="E320" s="1117">
        <v>1270</v>
      </c>
      <c r="F320" s="21"/>
      <c r="H320" s="839"/>
    </row>
    <row r="321" spans="1:8" s="1107" customFormat="1" ht="14.25" customHeight="1">
      <c r="A321" s="1112" t="s">
        <v>120</v>
      </c>
      <c r="B321" s="1117" t="s">
        <v>778</v>
      </c>
      <c r="C321" s="1117">
        <v>1750</v>
      </c>
      <c r="D321" s="1117">
        <v>1690</v>
      </c>
      <c r="E321" s="1117">
        <v>1660</v>
      </c>
      <c r="F321" s="21"/>
      <c r="H321" s="839"/>
    </row>
    <row r="322" spans="1:8" s="1107" customFormat="1" ht="14.25" customHeight="1">
      <c r="A322" s="1112" t="s">
        <v>120</v>
      </c>
      <c r="B322" s="1117" t="s">
        <v>779</v>
      </c>
      <c r="C322" s="1117">
        <v>1650</v>
      </c>
      <c r="D322" s="1117">
        <v>1610</v>
      </c>
      <c r="E322" s="1117">
        <v>1580</v>
      </c>
      <c r="F322" s="1125">
        <v>500</v>
      </c>
      <c r="H322" s="839"/>
    </row>
    <row r="323" spans="1:8" s="1107" customFormat="1" ht="14.25" customHeight="1">
      <c r="A323" s="1112" t="s">
        <v>120</v>
      </c>
      <c r="B323" s="1117" t="s">
        <v>780</v>
      </c>
      <c r="C323" s="1117">
        <v>1780</v>
      </c>
      <c r="D323" s="1117">
        <v>1740</v>
      </c>
      <c r="E323" s="1117">
        <v>1720</v>
      </c>
      <c r="F323" s="21"/>
      <c r="H323" s="839"/>
    </row>
    <row r="324" spans="1:8" s="1107" customFormat="1" ht="14.25" customHeight="1">
      <c r="A324" s="1112" t="s">
        <v>120</v>
      </c>
      <c r="B324" s="1117" t="s">
        <v>781</v>
      </c>
      <c r="C324" s="1117">
        <v>1650</v>
      </c>
      <c r="D324" s="1117">
        <v>1610</v>
      </c>
      <c r="E324" s="1117">
        <v>1580</v>
      </c>
      <c r="F324" s="21"/>
      <c r="H324" s="839"/>
    </row>
    <row r="325" spans="1:8" s="1107" customFormat="1" ht="14.25" customHeight="1">
      <c r="A325" s="1112" t="s">
        <v>120</v>
      </c>
      <c r="B325" s="1117" t="s">
        <v>782</v>
      </c>
      <c r="C325" s="1117">
        <v>1330</v>
      </c>
      <c r="D325" s="1117">
        <v>1270</v>
      </c>
      <c r="E325" s="1117">
        <v>1240</v>
      </c>
      <c r="F325" s="1125">
        <v>430</v>
      </c>
      <c r="H325" s="839"/>
    </row>
    <row r="326" spans="1:8" s="1107" customFormat="1" ht="14.25" customHeight="1">
      <c r="A326" s="1112" t="s">
        <v>120</v>
      </c>
      <c r="B326" s="1117" t="s">
        <v>783</v>
      </c>
      <c r="C326" s="1117">
        <v>1470</v>
      </c>
      <c r="D326" s="1117">
        <v>1430</v>
      </c>
      <c r="E326" s="1117">
        <v>1400</v>
      </c>
      <c r="F326" s="21"/>
      <c r="H326" s="839"/>
    </row>
    <row r="327" spans="1:8" s="1107" customFormat="1" ht="14.25" customHeight="1">
      <c r="A327" s="1112" t="s">
        <v>120</v>
      </c>
      <c r="B327" s="1117" t="s">
        <v>784</v>
      </c>
      <c r="C327" s="1117">
        <v>1420</v>
      </c>
      <c r="D327" s="1117">
        <v>1380</v>
      </c>
      <c r="E327" s="1117">
        <v>1360</v>
      </c>
      <c r="F327" s="1125">
        <v>420</v>
      </c>
      <c r="H327" s="839"/>
    </row>
    <row r="328" spans="1:8" s="1107" customFormat="1" ht="14.25" customHeight="1">
      <c r="A328" s="1112" t="s">
        <v>120</v>
      </c>
      <c r="B328" s="1117" t="s">
        <v>785</v>
      </c>
      <c r="C328" s="1117">
        <v>1400</v>
      </c>
      <c r="D328" s="1117">
        <v>1360</v>
      </c>
      <c r="E328" s="1117">
        <v>1330</v>
      </c>
      <c r="F328" s="1125">
        <v>460</v>
      </c>
      <c r="H328" s="839"/>
    </row>
    <row r="329" spans="1:8" s="1107" customFormat="1" ht="14.25" customHeight="1">
      <c r="A329" s="1112" t="s">
        <v>120</v>
      </c>
      <c r="B329" s="1117" t="s">
        <v>786</v>
      </c>
      <c r="C329" s="1117">
        <v>1640</v>
      </c>
      <c r="D329" s="1117">
        <v>1610</v>
      </c>
      <c r="E329" s="1117">
        <v>1580</v>
      </c>
      <c r="F329" s="1125">
        <v>410</v>
      </c>
      <c r="H329" s="839"/>
    </row>
    <row r="330" spans="1:8" s="1107" customFormat="1" ht="14.25" customHeight="1">
      <c r="A330" s="1112" t="s">
        <v>120</v>
      </c>
      <c r="B330" s="1117" t="s">
        <v>787</v>
      </c>
      <c r="C330" s="1117">
        <v>1260</v>
      </c>
      <c r="D330" s="1117">
        <v>1220</v>
      </c>
      <c r="E330" s="1117">
        <v>1200</v>
      </c>
      <c r="F330" s="21"/>
      <c r="H330" s="839"/>
    </row>
    <row r="331" spans="1:8" s="1107" customFormat="1" ht="14.25" customHeight="1">
      <c r="A331" s="1112" t="s">
        <v>120</v>
      </c>
      <c r="B331" s="1117" t="s">
        <v>788</v>
      </c>
      <c r="C331" s="1117">
        <v>1620</v>
      </c>
      <c r="D331" s="1117">
        <v>1560</v>
      </c>
      <c r="E331" s="1117">
        <v>1530</v>
      </c>
      <c r="F331" s="1125">
        <v>490</v>
      </c>
      <c r="H331" s="839"/>
    </row>
    <row r="332" spans="1:8" s="1107" customFormat="1" ht="14.25" customHeight="1">
      <c r="A332" s="1112" t="s">
        <v>120</v>
      </c>
      <c r="B332" s="1117" t="s">
        <v>789</v>
      </c>
      <c r="C332" s="1117">
        <v>1520</v>
      </c>
      <c r="D332" s="1117">
        <v>1470</v>
      </c>
      <c r="E332" s="1117">
        <v>1440</v>
      </c>
      <c r="F332" s="1125">
        <v>440</v>
      </c>
      <c r="H332" s="839"/>
    </row>
    <row r="333" spans="1:8" s="1107" customFormat="1" ht="14.25" customHeight="1">
      <c r="A333" s="1112" t="s">
        <v>120</v>
      </c>
      <c r="B333" s="1117" t="s">
        <v>790</v>
      </c>
      <c r="C333" s="1117">
        <v>1370</v>
      </c>
      <c r="D333" s="1117">
        <v>1320</v>
      </c>
      <c r="E333" s="1117">
        <v>1300</v>
      </c>
      <c r="F333" s="1125">
        <v>460</v>
      </c>
      <c r="H333" s="839"/>
    </row>
    <row r="334" spans="1:8" s="1107" customFormat="1" ht="14.25" customHeight="1">
      <c r="A334" s="1112" t="s">
        <v>120</v>
      </c>
      <c r="B334" s="1117" t="s">
        <v>791</v>
      </c>
      <c r="C334" s="1117">
        <v>1410</v>
      </c>
      <c r="D334" s="1117">
        <v>1340</v>
      </c>
      <c r="E334" s="1117">
        <v>1310</v>
      </c>
      <c r="F334" s="1125">
        <v>410</v>
      </c>
      <c r="H334" s="839"/>
    </row>
    <row r="335" spans="1:8" s="1107" customFormat="1" ht="14.25" customHeight="1">
      <c r="A335" s="1112" t="s">
        <v>120</v>
      </c>
      <c r="B335" s="1117" t="s">
        <v>792</v>
      </c>
      <c r="C335" s="1117">
        <v>1260</v>
      </c>
      <c r="D335" s="1117">
        <v>1220</v>
      </c>
      <c r="E335" s="1117">
        <v>1200</v>
      </c>
      <c r="F335" s="21"/>
      <c r="H335" s="839"/>
    </row>
    <row r="336" spans="1:8" s="1107" customFormat="1" ht="14.25" customHeight="1">
      <c r="A336" s="1112" t="s">
        <v>120</v>
      </c>
      <c r="B336" s="1117" t="s">
        <v>793</v>
      </c>
      <c r="C336" s="1117">
        <v>1160</v>
      </c>
      <c r="D336" s="1117">
        <v>1140</v>
      </c>
      <c r="E336" s="1117">
        <v>1120</v>
      </c>
      <c r="F336" s="1125">
        <v>430</v>
      </c>
      <c r="H336" s="839"/>
    </row>
    <row r="337" spans="1:8" s="1107" customFormat="1" ht="14.25" customHeight="1">
      <c r="A337" s="1112" t="s">
        <v>120</v>
      </c>
      <c r="B337" s="1123" t="s">
        <v>794</v>
      </c>
      <c r="C337" s="1123"/>
      <c r="D337" s="1123"/>
      <c r="E337" s="1123"/>
      <c r="F337" s="1132">
        <v>380</v>
      </c>
      <c r="H337" s="839"/>
    </row>
    <row r="338" spans="1:8" s="1107" customFormat="1" ht="14.25" customHeight="1">
      <c r="A338" s="1112" t="s">
        <v>122</v>
      </c>
      <c r="B338" s="1113" t="s">
        <v>795</v>
      </c>
      <c r="C338" s="1113">
        <v>880</v>
      </c>
      <c r="D338" s="1113">
        <v>850</v>
      </c>
      <c r="E338" s="1113">
        <v>830</v>
      </c>
      <c r="F338" s="1135"/>
      <c r="H338" s="839"/>
    </row>
    <row r="339" spans="1:8" s="1107" customFormat="1" ht="14.25" customHeight="1">
      <c r="A339" s="1112" t="s">
        <v>122</v>
      </c>
      <c r="B339" s="1117" t="s">
        <v>796</v>
      </c>
      <c r="C339" s="1117">
        <v>830</v>
      </c>
      <c r="D339" s="1117">
        <v>800</v>
      </c>
      <c r="E339" s="1117">
        <v>780</v>
      </c>
      <c r="F339" s="21"/>
      <c r="H339" s="839"/>
    </row>
    <row r="340" spans="1:8" s="1107" customFormat="1" ht="14.25" customHeight="1">
      <c r="A340" s="1112" t="s">
        <v>122</v>
      </c>
      <c r="B340" s="1117" t="s">
        <v>797</v>
      </c>
      <c r="C340" s="1117">
        <v>980</v>
      </c>
      <c r="D340" s="1117">
        <v>950</v>
      </c>
      <c r="E340" s="1117">
        <v>920</v>
      </c>
      <c r="F340" s="21"/>
      <c r="H340" s="839"/>
    </row>
    <row r="341" spans="1:8" s="1107" customFormat="1" ht="14.25" customHeight="1">
      <c r="A341" s="1112" t="s">
        <v>122</v>
      </c>
      <c r="B341" s="1117" t="s">
        <v>798</v>
      </c>
      <c r="C341" s="1117">
        <v>760</v>
      </c>
      <c r="D341" s="1117">
        <v>720</v>
      </c>
      <c r="E341" s="1117">
        <v>690</v>
      </c>
      <c r="F341" s="1125">
        <v>350</v>
      </c>
      <c r="H341" s="839"/>
    </row>
    <row r="342" spans="1:8" s="1107" customFormat="1" ht="14.25" customHeight="1">
      <c r="A342" s="1112" t="s">
        <v>122</v>
      </c>
      <c r="B342" s="1117" t="s">
        <v>799</v>
      </c>
      <c r="C342" s="1117">
        <v>910</v>
      </c>
      <c r="D342" s="1117">
        <v>870</v>
      </c>
      <c r="E342" s="1117">
        <v>850</v>
      </c>
      <c r="F342" s="1125">
        <v>370</v>
      </c>
      <c r="H342" s="839"/>
    </row>
    <row r="343" spans="1:8" s="1107" customFormat="1" ht="14.25" customHeight="1">
      <c r="A343" s="1112" t="s">
        <v>122</v>
      </c>
      <c r="B343" s="1117" t="s">
        <v>800</v>
      </c>
      <c r="C343" s="1117">
        <v>800</v>
      </c>
      <c r="D343" s="1117">
        <v>760</v>
      </c>
      <c r="E343" s="1117">
        <v>730</v>
      </c>
      <c r="F343" s="1125">
        <v>340</v>
      </c>
      <c r="H343" s="839"/>
    </row>
    <row r="344" spans="1:8" s="1107" customFormat="1" ht="14.25" customHeight="1">
      <c r="A344" s="1112" t="s">
        <v>122</v>
      </c>
      <c r="B344" s="1123" t="s">
        <v>801</v>
      </c>
      <c r="C344" s="1123">
        <v>720</v>
      </c>
      <c r="D344" s="1123">
        <v>690</v>
      </c>
      <c r="E344" s="1123">
        <v>660</v>
      </c>
      <c r="F344" s="1132">
        <v>300</v>
      </c>
      <c r="H344" s="839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Sheet1</vt:lpstr>
      <vt:lpstr>地价（废）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2017-02-10T06:38:00Z</cp:lastPrinted>
  <dcterms:created xsi:type="dcterms:W3CDTF">2015-07-13T07:17:00Z</dcterms:created>
  <dcterms:modified xsi:type="dcterms:W3CDTF">2024-02-19T02:42:36Z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0D1B3C9D795C4FA18D3FF817A810AFD6_13</vt:lpwstr>
  </property>
  <property fmtid="{D5CDD505-2E9C-101B-9397-08002B2CF9AE}" pid="3" name="KSOProductBuildVer">
    <vt:lpwstr>2052-11.1.0.14309</vt:lpwstr>
  </property>
</Properties>
</file>